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18-0025\OEB Submissions\11162018\"/>
    </mc:Choice>
  </mc:AlternateContent>
  <bookViews>
    <workbookView xWindow="0" yWindow="0" windowWidth="19200" windowHeight="11415" tabRatio="855" firstSheet="1" activeTab="5"/>
  </bookViews>
  <sheets>
    <sheet name="IRM Chart" sheetId="90" state="hidden" r:id="rId1"/>
    <sheet name="Contents" sheetId="62" r:id="rId2"/>
    <sheet name="Instructions" sheetId="87" state="hidden" r:id="rId3"/>
    <sheet name="LRAMVA Checklist Schematic" sheetId="63" state="hidden" r:id="rId4"/>
    <sheet name="DropDownList" sheetId="80" state="hidden" r:id="rId5"/>
    <sheet name="1.  LRAMVA Summary" sheetId="43" r:id="rId6"/>
    <sheet name="1-a.  Summary of Changes" sheetId="83" r:id="rId7"/>
    <sheet name="2. LRAMVA Threshold" sheetId="44" r:id="rId8"/>
    <sheet name="3.  Distribution Rates" sheetId="45" r:id="rId9"/>
    <sheet name="3-a.  Rate Class Allocations" sheetId="86" r:id="rId10"/>
    <sheet name="4.  2011-2014 LRAM" sheetId="46" r:id="rId11"/>
    <sheet name="5.  2015-2020 LRAM" sheetId="79" r:id="rId12"/>
    <sheet name="6.  Carrying Charges" sheetId="47" r:id="rId13"/>
    <sheet name="7.  Persistence Report" sheetId="68" r:id="rId14"/>
    <sheet name="8.  Streetlighting" sheetId="85" r:id="rId15"/>
  </sheets>
  <externalReferences>
    <externalReference r:id="rId16"/>
    <externalReference r:id="rId17"/>
  </externalReferences>
  <definedNames>
    <definedName name="_xlnm._FilterDatabase" localSheetId="13" hidden="1">'7.  Persistence Report'!$C$26:$BT$94</definedName>
    <definedName name="_xlnm._FilterDatabase" localSheetId="4" hidden="1">DropDownList!$A$1:$A$40</definedName>
    <definedName name="listdata">'[1]4. Billing Det. for Def-Var'!#REF!</definedName>
    <definedName name="_xlnm.Print_Area" localSheetId="5">'1.  LRAMVA Summary'!$A$1:$R$105</definedName>
    <definedName name="_xlnm.Print_Area" localSheetId="7">'2. LRAMVA Threshold'!$A$1:$R$62</definedName>
    <definedName name="_xlnm.Print_Area" localSheetId="8">'3.  Distribution Rates'!$A$1:$P$134</definedName>
    <definedName name="_xlnm.Print_Area" localSheetId="10">'4.  2011-2014 LRAM'!$A$1:$AM$533</definedName>
    <definedName name="_xlnm.Print_Area" localSheetId="11">'5.  2015-2020 LRAM'!$A:$AN</definedName>
    <definedName name="_xlnm.Print_Area" localSheetId="12">'6.  Carrying Charges'!$A$1:$X$164</definedName>
    <definedName name="_xlnm.Print_Area" localSheetId="13">'7.  Persistence Report'!$A$1:$BT$54</definedName>
    <definedName name="_xlnm.Print_Area" localSheetId="1">Contents!$A$1:$D$27</definedName>
    <definedName name="_xlnm.Print_Area" localSheetId="3">'LRAMVA Checklist Schematic'!$A$1:$H$31</definedName>
    <definedName name="_xlnm.Print_Titles" localSheetId="10">'4.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'[2]LDC Targets'!$A$3:$D$83</definedName>
  </definedNames>
  <calcPr calcId="162913"/>
</workbook>
</file>

<file path=xl/calcChain.xml><?xml version="1.0" encoding="utf-8"?>
<calcChain xmlns="http://schemas.openxmlformats.org/spreadsheetml/2006/main">
  <c r="C69" i="90" l="1"/>
  <c r="C70" i="90"/>
  <c r="C71" i="90"/>
  <c r="C72" i="90"/>
  <c r="C73" i="90"/>
  <c r="C74" i="90"/>
  <c r="C75" i="90"/>
  <c r="C78" i="90"/>
  <c r="C81" i="90"/>
  <c r="C84" i="90"/>
  <c r="K94" i="90"/>
  <c r="J94" i="90"/>
  <c r="I94" i="90"/>
  <c r="H94" i="90"/>
  <c r="G94" i="90"/>
  <c r="H84" i="90"/>
  <c r="H81" i="90"/>
  <c r="H78" i="90"/>
  <c r="H75" i="90"/>
  <c r="H72" i="90"/>
  <c r="H69" i="90"/>
  <c r="P51" i="90"/>
  <c r="O51" i="90"/>
  <c r="N51" i="90"/>
  <c r="M51" i="90"/>
  <c r="L51" i="90"/>
  <c r="K51" i="90"/>
  <c r="J51" i="90"/>
  <c r="I51" i="90"/>
  <c r="G51" i="90"/>
  <c r="F51" i="90"/>
  <c r="E51" i="90"/>
  <c r="D51" i="90"/>
  <c r="C51" i="90"/>
  <c r="P50" i="90"/>
  <c r="O50" i="90"/>
  <c r="N50" i="90"/>
  <c r="M50" i="90"/>
  <c r="L50" i="90"/>
  <c r="K50" i="90"/>
  <c r="J50" i="90"/>
  <c r="I50" i="90"/>
  <c r="G50" i="90"/>
  <c r="F50" i="90"/>
  <c r="E50" i="90"/>
  <c r="D50" i="90"/>
  <c r="C50" i="90"/>
  <c r="H140" i="47" l="1"/>
  <c r="L71" i="45" l="1"/>
  <c r="K71" i="45"/>
  <c r="L72" i="45" s="1"/>
  <c r="J71" i="45"/>
  <c r="K72" i="45" s="1"/>
  <c r="I71" i="45"/>
  <c r="J72" i="45" s="1"/>
  <c r="H71" i="45"/>
  <c r="G71" i="45"/>
  <c r="H72" i="45" s="1"/>
  <c r="F71" i="45"/>
  <c r="G72" i="45" s="1"/>
  <c r="E71" i="45"/>
  <c r="F72" i="45" s="1"/>
  <c r="D71" i="45"/>
  <c r="L64" i="45"/>
  <c r="K64" i="45"/>
  <c r="L65" i="45" s="1"/>
  <c r="J64" i="45"/>
  <c r="K65" i="45" s="1"/>
  <c r="I64" i="45"/>
  <c r="H64" i="45"/>
  <c r="I65" i="45" s="1"/>
  <c r="G64" i="45"/>
  <c r="H65" i="45" s="1"/>
  <c r="F64" i="45"/>
  <c r="G65" i="45" s="1"/>
  <c r="E64" i="45"/>
  <c r="D64" i="45"/>
  <c r="E65" i="45" s="1"/>
  <c r="L57" i="45"/>
  <c r="K57" i="45"/>
  <c r="L58" i="45" s="1"/>
  <c r="J57" i="45"/>
  <c r="I57" i="45"/>
  <c r="J58" i="45" s="1"/>
  <c r="H57" i="45"/>
  <c r="I58" i="45" s="1"/>
  <c r="G57" i="45"/>
  <c r="H58" i="45" s="1"/>
  <c r="F57" i="45"/>
  <c r="E57" i="45"/>
  <c r="F58" i="45" s="1"/>
  <c r="D57" i="45"/>
  <c r="E58" i="45" s="1"/>
  <c r="L50" i="45"/>
  <c r="L51" i="45" s="1"/>
  <c r="K50" i="45"/>
  <c r="J50" i="45"/>
  <c r="K51" i="45" s="1"/>
  <c r="I50" i="45"/>
  <c r="J51" i="45" s="1"/>
  <c r="H50" i="45"/>
  <c r="I51" i="45" s="1"/>
  <c r="F50" i="45"/>
  <c r="E50" i="45"/>
  <c r="F51" i="45" s="1"/>
  <c r="D50" i="45"/>
  <c r="E51" i="45" s="1"/>
  <c r="G48" i="45"/>
  <c r="G50" i="45" s="1"/>
  <c r="H51" i="45" s="1"/>
  <c r="L43" i="45"/>
  <c r="K43" i="45"/>
  <c r="L44" i="45" s="1"/>
  <c r="J43" i="45"/>
  <c r="K44" i="45" s="1"/>
  <c r="I43" i="45"/>
  <c r="H43" i="45"/>
  <c r="I44" i="45" s="1"/>
  <c r="F43" i="45"/>
  <c r="F44" i="45" s="1"/>
  <c r="E43" i="45"/>
  <c r="D43" i="45"/>
  <c r="E44" i="45" s="1"/>
  <c r="G41" i="45"/>
  <c r="G43" i="45" s="1"/>
  <c r="H44" i="45" s="1"/>
  <c r="L36" i="45"/>
  <c r="L37" i="45" s="1"/>
  <c r="K36" i="45"/>
  <c r="J36" i="45"/>
  <c r="K37" i="45" s="1"/>
  <c r="I36" i="45"/>
  <c r="J37" i="45" s="1"/>
  <c r="H36" i="45"/>
  <c r="I37" i="45" s="1"/>
  <c r="F36" i="45"/>
  <c r="G37" i="45" s="1"/>
  <c r="E36" i="45"/>
  <c r="F37" i="45" s="1"/>
  <c r="D36" i="45"/>
  <c r="E37" i="45" s="1"/>
  <c r="G34" i="45"/>
  <c r="G36" i="45" s="1"/>
  <c r="H37" i="45" s="1"/>
  <c r="L29" i="45"/>
  <c r="K29" i="45"/>
  <c r="L30" i="45" s="1"/>
  <c r="J29" i="45"/>
  <c r="J30" i="45" s="1"/>
  <c r="I29" i="45"/>
  <c r="H29" i="45"/>
  <c r="I30" i="45" s="1"/>
  <c r="F29" i="45"/>
  <c r="G30" i="45" s="1"/>
  <c r="E29" i="45"/>
  <c r="D29" i="45"/>
  <c r="E30" i="45" s="1"/>
  <c r="G27" i="45"/>
  <c r="G29" i="45" s="1"/>
  <c r="H30" i="45" s="1"/>
  <c r="L22" i="45"/>
  <c r="I22" i="45"/>
  <c r="H22" i="45"/>
  <c r="I23" i="45" s="1"/>
  <c r="F22" i="45"/>
  <c r="G23" i="45" s="1"/>
  <c r="E22" i="45"/>
  <c r="F23" i="45" s="1"/>
  <c r="D22" i="45"/>
  <c r="E23" i="45" s="1"/>
  <c r="G20" i="45"/>
  <c r="G22" i="45" s="1"/>
  <c r="H23" i="45" s="1"/>
  <c r="L19" i="45"/>
  <c r="K19" i="45"/>
  <c r="K22" i="45" s="1"/>
  <c r="L23" i="45" s="1"/>
  <c r="J19" i="45"/>
  <c r="J22" i="45" s="1"/>
  <c r="K23" i="45" l="1"/>
  <c r="J23" i="45"/>
  <c r="G51" i="45"/>
  <c r="F30" i="45"/>
  <c r="J44" i="45"/>
  <c r="G58" i="45"/>
  <c r="K58" i="45"/>
  <c r="F65" i="45"/>
  <c r="I72" i="45"/>
  <c r="K30" i="45"/>
  <c r="G44" i="45"/>
  <c r="J65" i="45"/>
  <c r="E72" i="45"/>
  <c r="AL278" i="79" l="1"/>
  <c r="AK278" i="79"/>
  <c r="AJ278" i="79"/>
  <c r="AI278" i="79"/>
  <c r="AH278" i="79"/>
  <c r="AG278" i="79"/>
  <c r="AF278" i="79"/>
  <c r="AE278" i="79"/>
  <c r="AD278" i="79"/>
  <c r="AC278" i="79"/>
  <c r="AB278" i="79"/>
  <c r="AA278" i="79"/>
  <c r="Z278" i="79"/>
  <c r="Y278" i="79"/>
  <c r="N278" i="79"/>
  <c r="AM277" i="79"/>
  <c r="P695" i="79" l="1"/>
  <c r="Q695" i="79" s="1"/>
  <c r="R695" i="79" s="1"/>
  <c r="P670" i="79"/>
  <c r="Q670" i="79" s="1"/>
  <c r="R670" i="79" s="1"/>
  <c r="S670" i="79" s="1"/>
  <c r="T670" i="79" s="1"/>
  <c r="E695" i="79"/>
  <c r="F695" i="79" s="1"/>
  <c r="G695" i="79" s="1"/>
  <c r="E670" i="79"/>
  <c r="F670" i="79" s="1"/>
  <c r="G670" i="79" s="1"/>
  <c r="H670" i="79" s="1"/>
  <c r="I670" i="79" s="1"/>
  <c r="R660" i="79"/>
  <c r="F657" i="79" l="1"/>
  <c r="J657" i="79"/>
  <c r="F673" i="79"/>
  <c r="J673" i="79"/>
  <c r="H666" i="79"/>
  <c r="L666" i="79"/>
  <c r="H701" i="79"/>
  <c r="L701" i="79"/>
  <c r="S657" i="79"/>
  <c r="W657" i="79"/>
  <c r="Q660" i="79"/>
  <c r="Q673" i="79"/>
  <c r="Q701" i="79"/>
  <c r="H660" i="79"/>
  <c r="L660" i="79"/>
  <c r="F676" i="79"/>
  <c r="J676" i="79"/>
  <c r="U660" i="79"/>
  <c r="S666" i="79"/>
  <c r="W666" i="79"/>
  <c r="U673" i="79"/>
  <c r="S676" i="79"/>
  <c r="W676" i="79"/>
  <c r="U701" i="79"/>
  <c r="G657" i="79"/>
  <c r="K657" i="79"/>
  <c r="G673" i="79"/>
  <c r="K673" i="79"/>
  <c r="E666" i="79"/>
  <c r="I666" i="79"/>
  <c r="M666" i="79"/>
  <c r="G676" i="79"/>
  <c r="K676" i="79"/>
  <c r="E701" i="79"/>
  <c r="I701" i="79"/>
  <c r="M701" i="79"/>
  <c r="P657" i="79"/>
  <c r="T657" i="79"/>
  <c r="X657" i="79"/>
  <c r="V660" i="79"/>
  <c r="P666" i="79"/>
  <c r="T666" i="79"/>
  <c r="X666" i="79"/>
  <c r="R673" i="79"/>
  <c r="V673" i="79"/>
  <c r="P676" i="79"/>
  <c r="T676" i="79"/>
  <c r="X676" i="79"/>
  <c r="R701" i="79"/>
  <c r="V701" i="79"/>
  <c r="H657" i="79"/>
  <c r="L657" i="79"/>
  <c r="F660" i="79"/>
  <c r="J660" i="79"/>
  <c r="H673" i="79"/>
  <c r="L673" i="79"/>
  <c r="F666" i="79"/>
  <c r="J666" i="79"/>
  <c r="H676" i="79"/>
  <c r="L676" i="79"/>
  <c r="F701" i="79"/>
  <c r="J701" i="79"/>
  <c r="Q657" i="79"/>
  <c r="U657" i="79"/>
  <c r="S660" i="79"/>
  <c r="W660" i="79"/>
  <c r="Q666" i="79"/>
  <c r="U666" i="79"/>
  <c r="S673" i="79"/>
  <c r="W673" i="79"/>
  <c r="Q676" i="79"/>
  <c r="U676" i="79"/>
  <c r="S701" i="79"/>
  <c r="W701" i="79"/>
  <c r="E657" i="79"/>
  <c r="I657" i="79"/>
  <c r="M657" i="79"/>
  <c r="G660" i="79"/>
  <c r="K660" i="79"/>
  <c r="E673" i="79"/>
  <c r="I673" i="79"/>
  <c r="M673" i="79"/>
  <c r="G666" i="79"/>
  <c r="K666" i="79"/>
  <c r="E676" i="79"/>
  <c r="I676" i="79"/>
  <c r="M676" i="79"/>
  <c r="G701" i="79"/>
  <c r="K701" i="79"/>
  <c r="R657" i="79"/>
  <c r="V657" i="79"/>
  <c r="P660" i="79"/>
  <c r="T660" i="79"/>
  <c r="X660" i="79"/>
  <c r="R666" i="79"/>
  <c r="V666" i="79"/>
  <c r="P673" i="79"/>
  <c r="T673" i="79"/>
  <c r="X673" i="79"/>
  <c r="R676" i="79"/>
  <c r="V676" i="79"/>
  <c r="P701" i="79"/>
  <c r="T701" i="79"/>
  <c r="X701" i="79"/>
  <c r="M660" i="79"/>
  <c r="I660" i="79"/>
  <c r="E660" i="79"/>
  <c r="AA101" i="79"/>
  <c r="D381" i="79" l="1"/>
  <c r="O930" i="79" l="1"/>
  <c r="E44" i="44" l="1"/>
  <c r="AM139" i="79" l="1"/>
  <c r="H46" i="44"/>
  <c r="G46" i="44"/>
  <c r="F46" i="44"/>
  <c r="E46" i="44"/>
  <c r="D46" i="44"/>
  <c r="O1113" i="79" l="1"/>
  <c r="O747" i="79"/>
  <c r="O564" i="79"/>
  <c r="O381" i="79"/>
  <c r="O195" i="79"/>
  <c r="O513" i="46"/>
  <c r="O127" i="46"/>
  <c r="D195" i="79"/>
  <c r="N623" i="79" l="1"/>
  <c r="N440" i="79"/>
  <c r="N254" i="79"/>
  <c r="N71" i="79"/>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7" i="79"/>
  <c r="N284" i="79"/>
  <c r="N281"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3" i="79" l="1"/>
  <c r="Y947"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N51" i="46"/>
  <c r="Z138" i="46" l="1"/>
  <c r="Z140" i="46"/>
  <c r="Z142" i="46"/>
  <c r="Z139" i="46"/>
  <c r="Z141" i="46"/>
  <c r="Z143" i="46"/>
  <c r="Y764" i="79"/>
  <c r="Y581" i="79"/>
  <c r="Y579" i="79"/>
  <c r="Y580" i="79"/>
  <c r="Y395" i="79"/>
  <c r="Y398" i="79"/>
  <c r="Y397" i="79"/>
  <c r="Y396" i="79"/>
  <c r="Z397" i="79"/>
  <c r="Z395" i="79"/>
  <c r="Z396"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D78" i="45"/>
  <c r="B74" i="45"/>
  <c r="B67" i="45"/>
  <c r="N78" i="45"/>
  <c r="M78" i="45"/>
  <c r="L78" i="45"/>
  <c r="K78" i="45"/>
  <c r="J78" i="45"/>
  <c r="I78" i="45"/>
  <c r="H78" i="45"/>
  <c r="G78" i="45"/>
  <c r="F78" i="45"/>
  <c r="N71" i="45"/>
  <c r="M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5" i="79"/>
  <c r="AF405" i="79"/>
  <c r="AJ588" i="79"/>
  <c r="AF588" i="79"/>
  <c r="AJ771" i="79"/>
  <c r="AF771" i="79"/>
  <c r="AJ954" i="79"/>
  <c r="AF954" i="79"/>
  <c r="K14" i="44"/>
  <c r="K18" i="44" s="1"/>
  <c r="O14" i="44"/>
  <c r="O18" i="44" s="1"/>
  <c r="O29" i="44"/>
  <c r="O33" i="44" s="1"/>
  <c r="O43" i="44"/>
  <c r="AF21" i="46"/>
  <c r="AI149" i="46"/>
  <c r="AI278" i="46"/>
  <c r="AI407" i="46"/>
  <c r="AI36" i="79"/>
  <c r="AI219" i="79"/>
  <c r="AI405" i="79"/>
  <c r="AI588" i="79"/>
  <c r="AI771" i="79"/>
  <c r="AI954" i="79"/>
  <c r="M43" i="44"/>
  <c r="M46" i="44" s="1"/>
  <c r="AL21" i="46"/>
  <c r="AL149" i="46"/>
  <c r="AH149" i="46"/>
  <c r="AL278" i="46"/>
  <c r="AH278" i="46"/>
  <c r="AL407" i="46"/>
  <c r="AH407" i="46"/>
  <c r="AL36" i="79"/>
  <c r="AH36" i="79"/>
  <c r="AL219" i="79"/>
  <c r="AH219" i="79"/>
  <c r="AL405" i="79"/>
  <c r="AH405" i="79"/>
  <c r="AL588" i="79"/>
  <c r="AH588" i="79"/>
  <c r="AL771" i="79"/>
  <c r="AH771" i="79"/>
  <c r="AL954" i="79"/>
  <c r="AH954" i="79"/>
  <c r="N29" i="44"/>
  <c r="N33" i="44" s="1"/>
  <c r="K43" i="44"/>
  <c r="AH21" i="46"/>
  <c r="AK21" i="46"/>
  <c r="AK149" i="46"/>
  <c r="AG149" i="46"/>
  <c r="AK278" i="46"/>
  <c r="AG278" i="46"/>
  <c r="AK407" i="46"/>
  <c r="AG407" i="46"/>
  <c r="AK36" i="79"/>
  <c r="AG36" i="79"/>
  <c r="AK219" i="79"/>
  <c r="AG219" i="79"/>
  <c r="AK405" i="79"/>
  <c r="AG405" i="79"/>
  <c r="AK588" i="79"/>
  <c r="AG588" i="79"/>
  <c r="AK771" i="79"/>
  <c r="AG771" i="79"/>
  <c r="AK954" i="79"/>
  <c r="AK1113" i="79" s="1"/>
  <c r="AG954" i="79"/>
  <c r="K122" i="45"/>
  <c r="AK404" i="79"/>
  <c r="AJ20" i="46"/>
  <c r="AG587" i="79"/>
  <c r="AG148" i="46"/>
  <c r="AK406" i="46"/>
  <c r="AF770" i="79"/>
  <c r="AG35" i="79"/>
  <c r="L13" i="44"/>
  <c r="P13" i="44"/>
  <c r="S14" i="47"/>
  <c r="AF148" i="46"/>
  <c r="AK277" i="46"/>
  <c r="AG406" i="46"/>
  <c r="AF35" i="79"/>
  <c r="AI404" i="79"/>
  <c r="AK770" i="79"/>
  <c r="AJ953" i="79"/>
  <c r="N28" i="44"/>
  <c r="Q14" i="47"/>
  <c r="AI20" i="46"/>
  <c r="AK148" i="46"/>
  <c r="AI277" i="46"/>
  <c r="AK35" i="79"/>
  <c r="AJ218" i="79"/>
  <c r="AG404"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4" i="79"/>
  <c r="AH404"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4" i="79"/>
  <c r="AF404"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M64" i="45" l="1"/>
  <c r="N64" i="45"/>
  <c r="M57" i="45"/>
  <c r="N57" i="45"/>
  <c r="M50" i="45"/>
  <c r="N50" i="45"/>
  <c r="M43" i="45"/>
  <c r="N43" i="45"/>
  <c r="N36" i="45"/>
  <c r="M36" i="45"/>
  <c r="M29" i="45"/>
  <c r="N29" i="45"/>
  <c r="M22" i="45"/>
  <c r="N22" i="45"/>
  <c r="D1113" i="79"/>
  <c r="D930" i="79"/>
  <c r="D747" i="79"/>
  <c r="D564" i="79"/>
  <c r="AL381" i="79" l="1"/>
  <c r="AL396" i="79"/>
  <c r="AL395" i="79"/>
  <c r="AL397" i="79"/>
  <c r="AL398"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47" i="79"/>
  <c r="Z764" i="79"/>
  <c r="Z763" i="79"/>
  <c r="Z398" i="79"/>
  <c r="Z580" i="79"/>
  <c r="Z581" i="79"/>
  <c r="Z579"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4" i="79"/>
  <c r="Z770" i="79"/>
  <c r="Z218" i="79"/>
  <c r="Z953" i="79"/>
  <c r="Z587" i="79"/>
  <c r="Z35" i="79"/>
  <c r="D123" i="45"/>
  <c r="E14" i="44"/>
  <c r="E18" i="44" s="1"/>
  <c r="Z588" i="79"/>
  <c r="Z747" i="79" s="1"/>
  <c r="Z219" i="79"/>
  <c r="Z381" i="79" s="1"/>
  <c r="Z405" i="79"/>
  <c r="Z564" i="79" s="1"/>
  <c r="Z771" i="79"/>
  <c r="Z930" i="79" s="1"/>
  <c r="Z954" i="79"/>
  <c r="Z1113" i="79" s="1"/>
  <c r="Z36" i="79"/>
  <c r="Z195" i="79" s="1"/>
  <c r="AE406" i="46"/>
  <c r="J13" i="44"/>
  <c r="AE953" i="79"/>
  <c r="AE404" i="79"/>
  <c r="AE770" i="79"/>
  <c r="AE587" i="79"/>
  <c r="AE218" i="79"/>
  <c r="AE35" i="79"/>
  <c r="J43" i="44"/>
  <c r="J14" i="44"/>
  <c r="J18" i="44" s="1"/>
  <c r="AE405" i="79"/>
  <c r="AE588" i="79"/>
  <c r="AE954" i="79"/>
  <c r="AE1113" i="79" s="1"/>
  <c r="AE771" i="79"/>
  <c r="AE219" i="79"/>
  <c r="AE36" i="79"/>
  <c r="Y277" i="46"/>
  <c r="D13" i="44"/>
  <c r="Y770" i="79"/>
  <c r="Y587" i="79"/>
  <c r="Y218" i="79"/>
  <c r="Y953" i="79"/>
  <c r="Y404" i="79"/>
  <c r="Y35" i="79"/>
  <c r="AC148" i="46"/>
  <c r="H13" i="44"/>
  <c r="AC770" i="79"/>
  <c r="AC953" i="79"/>
  <c r="AC404" i="79"/>
  <c r="AC587" i="79"/>
  <c r="AC218" i="79"/>
  <c r="AC35" i="79"/>
  <c r="Y407" i="46"/>
  <c r="Y513" i="46" s="1"/>
  <c r="D14" i="44"/>
  <c r="D18" i="44" s="1"/>
  <c r="Y954" i="79"/>
  <c r="Y1113" i="79" s="1"/>
  <c r="Y405" i="79"/>
  <c r="Y564" i="79" s="1"/>
  <c r="Y771" i="79"/>
  <c r="Y930" i="79" s="1"/>
  <c r="Y588" i="79"/>
  <c r="Y747" i="79" s="1"/>
  <c r="Y219" i="79"/>
  <c r="Y381" i="79" s="1"/>
  <c r="Y36" i="79"/>
  <c r="Y195" i="79" s="1"/>
  <c r="AC278" i="46"/>
  <c r="AC395" i="46" s="1"/>
  <c r="H14" i="44"/>
  <c r="H18" i="44" s="1"/>
  <c r="AC771" i="79"/>
  <c r="AC947" i="79" s="1"/>
  <c r="AC588" i="79"/>
  <c r="AC219" i="79"/>
  <c r="AC954" i="79"/>
  <c r="AC1113" i="79" s="1"/>
  <c r="AC405" i="79"/>
  <c r="AC36" i="79"/>
  <c r="AD148" i="46"/>
  <c r="I13" i="44"/>
  <c r="AD404" i="79"/>
  <c r="AD587" i="79"/>
  <c r="AD953" i="79"/>
  <c r="AD770" i="79"/>
  <c r="AD218" i="79"/>
  <c r="AD35" i="79"/>
  <c r="H123" i="45"/>
  <c r="I14" i="44"/>
  <c r="I18" i="44" s="1"/>
  <c r="AD771" i="79"/>
  <c r="AD947" i="79" s="1"/>
  <c r="AD954" i="79"/>
  <c r="AD1113" i="79" s="1"/>
  <c r="AD405" i="79"/>
  <c r="AD579" i="79" s="1"/>
  <c r="AD588" i="79"/>
  <c r="AD219" i="79"/>
  <c r="AD395" i="79" s="1"/>
  <c r="AD36" i="79"/>
  <c r="AA406" i="46"/>
  <c r="F13" i="44"/>
  <c r="AA953" i="79"/>
  <c r="AA770" i="79"/>
  <c r="AA587" i="79"/>
  <c r="AA218" i="79"/>
  <c r="AA404" i="79"/>
  <c r="AA35" i="79"/>
  <c r="F43" i="44"/>
  <c r="F53" i="44" s="1"/>
  <c r="F14" i="44"/>
  <c r="F18" i="44" s="1"/>
  <c r="AA405" i="79"/>
  <c r="AA771" i="79"/>
  <c r="AA219" i="79"/>
  <c r="AA954" i="79"/>
  <c r="AA1113" i="79" s="1"/>
  <c r="AA588" i="79"/>
  <c r="AA36" i="79"/>
  <c r="AA208" i="79" s="1"/>
  <c r="AB406" i="46"/>
  <c r="G13" i="44"/>
  <c r="AB770" i="79"/>
  <c r="AB587" i="79"/>
  <c r="AB218" i="79"/>
  <c r="AB953" i="79"/>
  <c r="AB404" i="79"/>
  <c r="AB35" i="79"/>
  <c r="AB407" i="46"/>
  <c r="G14" i="44"/>
  <c r="G18" i="44" s="1"/>
  <c r="AB954" i="79"/>
  <c r="AB1113" i="79" s="1"/>
  <c r="AB771" i="79"/>
  <c r="AB588" i="79"/>
  <c r="AB219" i="79"/>
  <c r="AB405" i="79"/>
  <c r="AB36" i="79"/>
  <c r="AB21" i="46"/>
  <c r="AB135" i="46" s="1"/>
  <c r="Y278" i="46"/>
  <c r="Y384" i="46" s="1"/>
  <c r="AE149" i="46"/>
  <c r="AE255" i="46" s="1"/>
  <c r="AB148" i="46"/>
  <c r="G123" i="45"/>
  <c r="AA149" i="46"/>
  <c r="AA255" i="46" s="1"/>
  <c r="AE407" i="46"/>
  <c r="I43" i="44"/>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46" i="44"/>
  <c r="J53" i="44"/>
  <c r="J46" i="44"/>
  <c r="D53" i="44"/>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5" i="79"/>
  <c r="AB397" i="79"/>
  <c r="AB381" i="79"/>
  <c r="AB396" i="79"/>
  <c r="AB398" i="79"/>
  <c r="AB763" i="79"/>
  <c r="AB764" i="79"/>
  <c r="AB747" i="79"/>
  <c r="AD580" i="79"/>
  <c r="AD564" i="79"/>
  <c r="AD581" i="79"/>
  <c r="AC395" i="79"/>
  <c r="AC397" i="79"/>
  <c r="AC381" i="79"/>
  <c r="AC396" i="79"/>
  <c r="AC398" i="79"/>
  <c r="AB580" i="79"/>
  <c r="AB581" i="79"/>
  <c r="AB579" i="79"/>
  <c r="AB564" i="79"/>
  <c r="AA763" i="79"/>
  <c r="AA747" i="79"/>
  <c r="AA764" i="79"/>
  <c r="AA581" i="79"/>
  <c r="AA580" i="79"/>
  <c r="AA579" i="79"/>
  <c r="AA564" i="79"/>
  <c r="AD396" i="79"/>
  <c r="AD398" i="79"/>
  <c r="AD397" i="79"/>
  <c r="AD381" i="79"/>
  <c r="AD930" i="79"/>
  <c r="AC581" i="79"/>
  <c r="AC580" i="79"/>
  <c r="AC579" i="79"/>
  <c r="AC564" i="79"/>
  <c r="AC930" i="79"/>
  <c r="AE395" i="79"/>
  <c r="AE381" i="79"/>
  <c r="AE397" i="79"/>
  <c r="AE396" i="79"/>
  <c r="AE398" i="79"/>
  <c r="AE564" i="79"/>
  <c r="AE581" i="79"/>
  <c r="AE580" i="79"/>
  <c r="AE579" i="79"/>
  <c r="AD764" i="79"/>
  <c r="AD747" i="79"/>
  <c r="AD763" i="79"/>
  <c r="AE947" i="79"/>
  <c r="AE930" i="79"/>
  <c r="AA398" i="79"/>
  <c r="AA381" i="79"/>
  <c r="AA397" i="79"/>
  <c r="AA395" i="79"/>
  <c r="AA396"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N86" i="45"/>
  <c r="N114" i="45"/>
  <c r="P133" i="45" s="1"/>
  <c r="N107" i="45"/>
  <c r="O133" i="45" s="1"/>
  <c r="N79" i="45"/>
  <c r="N93" i="45"/>
  <c r="M133" i="45" s="1"/>
  <c r="N100" i="45"/>
  <c r="N133" i="45" s="1"/>
  <c r="N72"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C127" i="45" s="1"/>
  <c r="G17" i="45"/>
  <c r="F17" i="45"/>
  <c r="E17" i="45"/>
  <c r="C130" i="45" l="1"/>
  <c r="D124" i="45"/>
  <c r="C124" i="45"/>
  <c r="I128" i="45"/>
  <c r="E86" i="45"/>
  <c r="E100" i="45"/>
  <c r="N124" i="45" s="1"/>
  <c r="E107" i="45"/>
  <c r="O124" i="45" s="1"/>
  <c r="E114" i="45"/>
  <c r="P124" i="45" s="1"/>
  <c r="E79" i="45"/>
  <c r="E93" i="45"/>
  <c r="M124" i="45" s="1"/>
  <c r="I124" i="45"/>
  <c r="I126" i="45"/>
  <c r="G100" i="45"/>
  <c r="N126" i="45" s="1"/>
  <c r="G86" i="45"/>
  <c r="L126" i="45" s="1"/>
  <c r="G114" i="45"/>
  <c r="P126" i="45" s="1"/>
  <c r="G107" i="45"/>
  <c r="O126" i="45" s="1"/>
  <c r="G79" i="45"/>
  <c r="G93" i="45"/>
  <c r="M126" i="45" s="1"/>
  <c r="H93" i="45"/>
  <c r="H79" i="45"/>
  <c r="H86" i="45"/>
  <c r="H107" i="45"/>
  <c r="O127" i="45" s="1"/>
  <c r="H114" i="45"/>
  <c r="P127" i="45" s="1"/>
  <c r="H100" i="45"/>
  <c r="I93" i="45"/>
  <c r="M128" i="45" s="1"/>
  <c r="I86" i="45"/>
  <c r="I100" i="45"/>
  <c r="N128" i="45" s="1"/>
  <c r="I114" i="45"/>
  <c r="P128" i="45" s="1"/>
  <c r="I107" i="45"/>
  <c r="O128" i="45" s="1"/>
  <c r="I79" i="45"/>
  <c r="H125" i="45"/>
  <c r="F107" i="45"/>
  <c r="O125" i="45" s="1"/>
  <c r="F86" i="45"/>
  <c r="F100" i="45"/>
  <c r="N125" i="45" s="1"/>
  <c r="F93" i="45"/>
  <c r="M125" i="45" s="1"/>
  <c r="F114" i="45"/>
  <c r="P125" i="45" s="1"/>
  <c r="F79" i="45"/>
  <c r="J86" i="45"/>
  <c r="J114" i="45"/>
  <c r="P129" i="45" s="1"/>
  <c r="J93" i="45"/>
  <c r="M129" i="45" s="1"/>
  <c r="J100" i="45"/>
  <c r="N129" i="45" s="1"/>
  <c r="J107" i="45"/>
  <c r="O129" i="45" s="1"/>
  <c r="J79" i="45"/>
  <c r="K100" i="45"/>
  <c r="K114" i="45"/>
  <c r="P130" i="45" s="1"/>
  <c r="K93" i="45"/>
  <c r="K86" i="45"/>
  <c r="K79" i="45"/>
  <c r="K107" i="45"/>
  <c r="O130" i="45" s="1"/>
  <c r="H124" i="45"/>
  <c r="I125" i="45"/>
  <c r="C125" i="45"/>
  <c r="E127" i="45"/>
  <c r="I127" i="45"/>
  <c r="D127" i="45"/>
  <c r="C128"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L129" i="45"/>
  <c r="AF516" i="46"/>
  <c r="J127" i="45"/>
  <c r="H130" i="45"/>
  <c r="C133" i="45"/>
  <c r="Y1116" i="79" s="1"/>
  <c r="N130" i="45"/>
  <c r="AG258" i="46"/>
  <c r="AG259" i="46" s="1"/>
  <c r="K125" i="45"/>
  <c r="K128" i="45"/>
  <c r="AJ516" i="46"/>
  <c r="AJ520" i="46" s="1"/>
  <c r="N127" i="45"/>
  <c r="K126" i="45"/>
  <c r="AG387" i="46" s="1"/>
  <c r="G129" i="45"/>
  <c r="E129" i="45"/>
  <c r="AA384" i="79" s="1"/>
  <c r="AA385" i="79" s="1"/>
  <c r="J125" i="45"/>
  <c r="AF258" i="46" s="1"/>
  <c r="Y258" i="46"/>
  <c r="Y259" i="46" s="1"/>
  <c r="F128" i="45"/>
  <c r="E130" i="45"/>
  <c r="AK567" i="79" s="1"/>
  <c r="L130" i="45"/>
  <c r="J128" i="45"/>
  <c r="K127" i="45"/>
  <c r="AG516" i="46" s="1"/>
  <c r="AG520" i="46" s="1"/>
  <c r="J124" i="45"/>
  <c r="AF130" i="46" s="1"/>
  <c r="AF131" i="46" s="1"/>
  <c r="I129" i="45"/>
  <c r="K124" i="45"/>
  <c r="AG130" i="46" s="1"/>
  <c r="AG131" i="46"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8" i="79"/>
  <c r="AG748" i="79"/>
  <c r="AG382" i="79"/>
  <c r="AK931" i="79"/>
  <c r="AF748" i="79"/>
  <c r="AH565" i="79"/>
  <c r="AL196" i="79"/>
  <c r="AG514" i="46"/>
  <c r="AI931" i="79"/>
  <c r="AJ931" i="79"/>
  <c r="AF382" i="79"/>
  <c r="AL565" i="79"/>
  <c r="AF931" i="79"/>
  <c r="AJ382" i="79"/>
  <c r="AH1114" i="79"/>
  <c r="AI1114" i="79"/>
  <c r="AK514" i="46"/>
  <c r="AI196" i="79"/>
  <c r="AK382" i="79"/>
  <c r="AF514" i="46"/>
  <c r="AF565" i="79"/>
  <c r="AL382" i="79"/>
  <c r="AL748" i="79"/>
  <c r="AJ565" i="79"/>
  <c r="AJ514" i="46"/>
  <c r="AK196" i="79"/>
  <c r="AG196" i="79"/>
  <c r="AG1114" i="79"/>
  <c r="AG565" i="79"/>
  <c r="AH514" i="46"/>
  <c r="AK1114" i="79"/>
  <c r="AH196" i="79"/>
  <c r="AH931" i="79"/>
  <c r="AJ1114" i="79"/>
  <c r="AF196" i="79"/>
  <c r="AF1114" i="79"/>
  <c r="AL931" i="79"/>
  <c r="AI382" i="79"/>
  <c r="AL514" i="46"/>
  <c r="AK748" i="79"/>
  <c r="AH382" i="79"/>
  <c r="AJ196" i="79"/>
  <c r="AL1114" i="79"/>
  <c r="AH748" i="79"/>
  <c r="AI514" i="46"/>
  <c r="AK565" i="79"/>
  <c r="AI565" i="79"/>
  <c r="AI748" i="79"/>
  <c r="AG931" i="79"/>
  <c r="Y514" i="46"/>
  <c r="AB514" i="46"/>
  <c r="AE1114" i="79"/>
  <c r="AD382" i="79"/>
  <c r="AC565" i="79"/>
  <c r="Y1114" i="79"/>
  <c r="Y565" i="79"/>
  <c r="AC514" i="46"/>
  <c r="AB931" i="79"/>
  <c r="AA1114" i="79"/>
  <c r="AD196" i="79"/>
  <c r="Y196" i="79"/>
  <c r="AE748" i="79"/>
  <c r="AA514" i="46"/>
  <c r="AE514" i="46"/>
  <c r="AC382" i="79"/>
  <c r="AB748" i="79"/>
  <c r="AC1114" i="79"/>
  <c r="AE382" i="79"/>
  <c r="Z931" i="79"/>
  <c r="AD514" i="46"/>
  <c r="AA565" i="79"/>
  <c r="AD1114" i="79"/>
  <c r="AE931" i="79"/>
  <c r="AB382" i="79"/>
  <c r="AB1114" i="79"/>
  <c r="AA748" i="79"/>
  <c r="AD565" i="79"/>
  <c r="Y748" i="79"/>
  <c r="AE565" i="79"/>
  <c r="Z748" i="79"/>
  <c r="Z514" i="46"/>
  <c r="AC931" i="79"/>
  <c r="AB565" i="79"/>
  <c r="Y382" i="79"/>
  <c r="Z382" i="79"/>
  <c r="AA196" i="79"/>
  <c r="AD931" i="79"/>
  <c r="AC196" i="79"/>
  <c r="Y931" i="79"/>
  <c r="AE196" i="79"/>
  <c r="AD748" i="79"/>
  <c r="AA382" i="79"/>
  <c r="AA931" i="79"/>
  <c r="AB196" i="79"/>
  <c r="AC748" i="79"/>
  <c r="Z565" i="79"/>
  <c r="Z196" i="79"/>
  <c r="Z1114" i="79"/>
  <c r="Y516" i="46"/>
  <c r="AD516" i="46"/>
  <c r="AD520" i="46" s="1"/>
  <c r="AD130" i="46"/>
  <c r="AD131" i="46" s="1"/>
  <c r="H52" i="90"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I52" i="90"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I93" i="90" l="1"/>
  <c r="K52" i="43"/>
  <c r="J52" i="90"/>
  <c r="J93" i="90"/>
  <c r="O52" i="43"/>
  <c r="N52" i="90"/>
  <c r="G93" i="90"/>
  <c r="H93" i="90"/>
  <c r="P52" i="43"/>
  <c r="O52" i="90"/>
  <c r="N52" i="43"/>
  <c r="M52" i="90"/>
  <c r="M52" i="43"/>
  <c r="L52" i="90"/>
  <c r="L52" i="43"/>
  <c r="K52" i="90"/>
  <c r="Q52" i="90" s="1"/>
  <c r="Y758" i="79"/>
  <c r="K93" i="90"/>
  <c r="Q52" i="43"/>
  <c r="P52" i="90"/>
  <c r="AE198" i="79"/>
  <c r="AE202" i="79" s="1"/>
  <c r="AD522" i="46"/>
  <c r="H62" i="90" s="1"/>
  <c r="Y1120" i="79"/>
  <c r="Y1126" i="79"/>
  <c r="Y522" i="46"/>
  <c r="AI517" i="46"/>
  <c r="AI520" i="46"/>
  <c r="AF518" i="46"/>
  <c r="AF520" i="46"/>
  <c r="Y518" i="46"/>
  <c r="Y517" i="46"/>
  <c r="Y519" i="46"/>
  <c r="Y520" i="46"/>
  <c r="AA522" i="46"/>
  <c r="AH518" i="46"/>
  <c r="AH520" i="46"/>
  <c r="AJ567" i="79"/>
  <c r="AJ573" i="79" s="1"/>
  <c r="N71" i="90" s="1"/>
  <c r="AA198" i="79"/>
  <c r="AA199" i="79" s="1"/>
  <c r="AB198" i="79"/>
  <c r="AB202" i="79" s="1"/>
  <c r="AJ384" i="79"/>
  <c r="AJ387" i="79" s="1"/>
  <c r="AH567" i="79"/>
  <c r="AH571" i="79" s="1"/>
  <c r="AL384" i="79"/>
  <c r="AL390" i="79" s="1"/>
  <c r="AC198" i="79"/>
  <c r="AC201" i="79" s="1"/>
  <c r="AK384" i="79"/>
  <c r="AK388" i="79" s="1"/>
  <c r="O67" i="90" s="1"/>
  <c r="AF384" i="79"/>
  <c r="AF387" i="79" s="1"/>
  <c r="AI567" i="79"/>
  <c r="AI576" i="79" s="1"/>
  <c r="N71" i="43" s="1"/>
  <c r="AL567" i="79"/>
  <c r="AL571" i="79" s="1"/>
  <c r="AE567" i="79"/>
  <c r="AE570" i="79" s="1"/>
  <c r="AG567" i="79"/>
  <c r="AG570" i="79" s="1"/>
  <c r="AG384" i="79"/>
  <c r="AG392" i="79" s="1"/>
  <c r="L68" i="43" s="1"/>
  <c r="AD384" i="79"/>
  <c r="AD388" i="79" s="1"/>
  <c r="AB567" i="79"/>
  <c r="AB573" i="79" s="1"/>
  <c r="F71" i="90" s="1"/>
  <c r="Z198" i="79"/>
  <c r="Z202" i="79" s="1"/>
  <c r="AB384" i="79"/>
  <c r="AB387" i="79" s="1"/>
  <c r="Z384" i="79"/>
  <c r="Z387" i="79" s="1"/>
  <c r="AC384" i="79"/>
  <c r="AC388" i="79" s="1"/>
  <c r="AD933" i="79"/>
  <c r="AH933" i="79"/>
  <c r="AH944" i="79" s="1"/>
  <c r="M77" i="43" s="1"/>
  <c r="AJ933" i="79"/>
  <c r="AJ944" i="79" s="1"/>
  <c r="O77" i="43" s="1"/>
  <c r="AI933" i="79"/>
  <c r="AI944" i="79" s="1"/>
  <c r="N77" i="43" s="1"/>
  <c r="Z933" i="79"/>
  <c r="Z944" i="79" s="1"/>
  <c r="E77" i="43" s="1"/>
  <c r="AK933" i="79"/>
  <c r="AK944" i="79" s="1"/>
  <c r="P77" i="43" s="1"/>
  <c r="AL933" i="79"/>
  <c r="AE933" i="79"/>
  <c r="AE944" i="79" s="1"/>
  <c r="J77" i="43" s="1"/>
  <c r="AF933" i="79"/>
  <c r="AC933" i="79"/>
  <c r="AC944" i="79" s="1"/>
  <c r="H77" i="43" s="1"/>
  <c r="AA933" i="79"/>
  <c r="AA944" i="79" s="1"/>
  <c r="F77" i="43" s="1"/>
  <c r="AB933" i="79"/>
  <c r="AB944" i="79" s="1"/>
  <c r="G77" i="43" s="1"/>
  <c r="AG933" i="79"/>
  <c r="AG944" i="79" s="1"/>
  <c r="L77" i="43" s="1"/>
  <c r="Y1123" i="79"/>
  <c r="Z567" i="79"/>
  <c r="Z571" i="79" s="1"/>
  <c r="Y933" i="79"/>
  <c r="AA567" i="79"/>
  <c r="AA574" i="79" s="1"/>
  <c r="Y567" i="79"/>
  <c r="AJ1116" i="79"/>
  <c r="AJ1128" i="79" s="1"/>
  <c r="O80" i="43" s="1"/>
  <c r="AI1116" i="79"/>
  <c r="AL1116" i="79"/>
  <c r="AL1128" i="79" s="1"/>
  <c r="Q80" i="43" s="1"/>
  <c r="AG1116" i="79"/>
  <c r="AK1116" i="79"/>
  <c r="AK1128" i="79" s="1"/>
  <c r="P80" i="43" s="1"/>
  <c r="AH1116" i="79"/>
  <c r="AH1128" i="79" s="1"/>
  <c r="M80" i="43" s="1"/>
  <c r="AF1116" i="79"/>
  <c r="AC1116" i="79"/>
  <c r="AC1128" i="79" s="1"/>
  <c r="H80" i="43" s="1"/>
  <c r="AE1116" i="79"/>
  <c r="AE1128" i="79" s="1"/>
  <c r="J80" i="43" s="1"/>
  <c r="AB1116" i="79"/>
  <c r="AB1128" i="79" s="1"/>
  <c r="G80" i="43" s="1"/>
  <c r="AD1116" i="79"/>
  <c r="AD1128" i="79" s="1"/>
  <c r="I80" i="43" s="1"/>
  <c r="Z1116" i="79"/>
  <c r="Z1126" i="79" s="1"/>
  <c r="AA1116" i="79"/>
  <c r="AC567" i="79"/>
  <c r="AC573" i="79" s="1"/>
  <c r="G71" i="90" s="1"/>
  <c r="AE199" i="79"/>
  <c r="AD198" i="79"/>
  <c r="AD201" i="79" s="1"/>
  <c r="AE384" i="79"/>
  <c r="AE387" i="79" s="1"/>
  <c r="AD567" i="79"/>
  <c r="AD572" i="79" s="1"/>
  <c r="AE203" i="79"/>
  <c r="AL750" i="79"/>
  <c r="AL760" i="79" s="1"/>
  <c r="Q74" i="43" s="1"/>
  <c r="AE750" i="79"/>
  <c r="AE760" i="79" s="1"/>
  <c r="J74" i="43" s="1"/>
  <c r="AI750" i="79"/>
  <c r="AG750" i="79"/>
  <c r="AF750" i="79"/>
  <c r="AF760" i="79" s="1"/>
  <c r="K74" i="43" s="1"/>
  <c r="Z750" i="79"/>
  <c r="Z760" i="79" s="1"/>
  <c r="AD750" i="79"/>
  <c r="AC750" i="79"/>
  <c r="AC760" i="79" s="1"/>
  <c r="AJ750" i="79"/>
  <c r="AJ760" i="79" s="1"/>
  <c r="O74" i="43" s="1"/>
  <c r="AH750" i="79"/>
  <c r="AH760" i="79" s="1"/>
  <c r="M74" i="43" s="1"/>
  <c r="AA750" i="79"/>
  <c r="AA760" i="79" s="1"/>
  <c r="AB750" i="79"/>
  <c r="AB760" i="79" s="1"/>
  <c r="AK750" i="79"/>
  <c r="AE200" i="79"/>
  <c r="AH132" i="46"/>
  <c r="AG198" i="79"/>
  <c r="AG202" i="79" s="1"/>
  <c r="AE201" i="79"/>
  <c r="AF567" i="79"/>
  <c r="AF571" i="79" s="1"/>
  <c r="Y384" i="79"/>
  <c r="AF198" i="79"/>
  <c r="AF201" i="79" s="1"/>
  <c r="AH384" i="79"/>
  <c r="AH392" i="79" s="1"/>
  <c r="M68" i="43" s="1"/>
  <c r="AH519" i="46"/>
  <c r="AG262" i="46"/>
  <c r="AI518" i="46"/>
  <c r="AH517" i="46"/>
  <c r="AG260" i="46"/>
  <c r="AG261" i="46" s="1"/>
  <c r="AI519" i="46"/>
  <c r="AI522" i="46"/>
  <c r="AH522" i="46"/>
  <c r="Y1121" i="79"/>
  <c r="AG389" i="46"/>
  <c r="AG390" i="46"/>
  <c r="AG388" i="46"/>
  <c r="Y1118" i="79"/>
  <c r="AI198" i="79"/>
  <c r="AI199" i="79" s="1"/>
  <c r="AJ198" i="79"/>
  <c r="AJ203" i="79" s="1"/>
  <c r="AK198" i="79"/>
  <c r="AK201" i="79" s="1"/>
  <c r="AL198" i="79"/>
  <c r="AL203" i="79" s="1"/>
  <c r="AH198" i="79"/>
  <c r="AH205" i="79" s="1"/>
  <c r="AA386" i="79"/>
  <c r="AA389" i="79"/>
  <c r="AA390" i="79"/>
  <c r="AA388" i="79"/>
  <c r="AA387" i="79"/>
  <c r="AF132" i="46"/>
  <c r="AJ522" i="46"/>
  <c r="Y757" i="79"/>
  <c r="Y756" i="79"/>
  <c r="Y751" i="79"/>
  <c r="Y755" i="79"/>
  <c r="Y753" i="79"/>
  <c r="Y752" i="79"/>
  <c r="Y754" i="79"/>
  <c r="AF260" i="46"/>
  <c r="AF259" i="46"/>
  <c r="AJ517" i="46"/>
  <c r="AJ519" i="46"/>
  <c r="AJ518" i="46"/>
  <c r="Y1124" i="79"/>
  <c r="Y1122" i="79"/>
  <c r="Y1117" i="79"/>
  <c r="Y1119" i="79"/>
  <c r="Y1125" i="79"/>
  <c r="AF389" i="46"/>
  <c r="AF390" i="46"/>
  <c r="AF388" i="46"/>
  <c r="AH260" i="46"/>
  <c r="AH259" i="46"/>
  <c r="AG519" i="46"/>
  <c r="AG517" i="46"/>
  <c r="AG518" i="46"/>
  <c r="AF262" i="46"/>
  <c r="Y1128" i="79"/>
  <c r="AF517" i="46"/>
  <c r="AK387" i="46"/>
  <c r="AK389" i="46" s="1"/>
  <c r="AH262" i="46"/>
  <c r="AH387" i="46"/>
  <c r="AH392" i="46" s="1"/>
  <c r="AG132" i="46"/>
  <c r="AA392" i="79"/>
  <c r="F68" i="43" s="1"/>
  <c r="E68" i="90" s="1"/>
  <c r="AF522" i="46"/>
  <c r="AF519" i="46"/>
  <c r="AI384" i="79"/>
  <c r="AI386" i="79" s="1"/>
  <c r="AG522" i="46"/>
  <c r="Y760" i="79"/>
  <c r="AJ390" i="46"/>
  <c r="AI390" i="46"/>
  <c r="Y202" i="79"/>
  <c r="Y200" i="79"/>
  <c r="Y201" i="79"/>
  <c r="AJ388" i="46"/>
  <c r="Y205" i="79"/>
  <c r="AI132" i="46"/>
  <c r="AJ132" i="46"/>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6" i="79"/>
  <c r="P71" i="43" s="1"/>
  <c r="AL132" i="46"/>
  <c r="AK132" i="46"/>
  <c r="AK262" i="46"/>
  <c r="AL262" i="46"/>
  <c r="AL522" i="46"/>
  <c r="AK517" i="46"/>
  <c r="AL390" i="46"/>
  <c r="AL388" i="46"/>
  <c r="AK522" i="46"/>
  <c r="AK260" i="46"/>
  <c r="AK259" i="46"/>
  <c r="AL517" i="46"/>
  <c r="AL260" i="46"/>
  <c r="AL259" i="46"/>
  <c r="AK571" i="79"/>
  <c r="AK569" i="79"/>
  <c r="AK570" i="79"/>
  <c r="AK573" i="79"/>
  <c r="O71" i="90" s="1"/>
  <c r="AK572" i="79"/>
  <c r="O70" i="90" s="1"/>
  <c r="AK574" i="79"/>
  <c r="AK568" i="79"/>
  <c r="Y260" i="46"/>
  <c r="AC262" i="46"/>
  <c r="AC390" i="46"/>
  <c r="AD390" i="46"/>
  <c r="Z517" i="46"/>
  <c r="Z522" i="46"/>
  <c r="I62" i="43"/>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AE392" i="46"/>
  <c r="AE390" i="46"/>
  <c r="AE388" i="46"/>
  <c r="Y132" i="46"/>
  <c r="Y131" i="46"/>
  <c r="Y392" i="46"/>
  <c r="Y390" i="46"/>
  <c r="Y199" i="79"/>
  <c r="Y203" i="79"/>
  <c r="Z262" i="46"/>
  <c r="Z260" i="46"/>
  <c r="Z259" i="46"/>
  <c r="C93" i="90" s="1"/>
  <c r="Z392" i="46"/>
  <c r="Z390" i="46"/>
  <c r="Z388" i="46"/>
  <c r="AC131" i="46"/>
  <c r="AA131" i="46"/>
  <c r="AB131" i="46"/>
  <c r="Z131" i="46"/>
  <c r="Z132" i="46"/>
  <c r="I52" i="43"/>
  <c r="I53" i="43" l="1"/>
  <c r="H53" i="90"/>
  <c r="I59" i="43"/>
  <c r="H59" i="90"/>
  <c r="J56" i="43"/>
  <c r="I56" i="90"/>
  <c r="Q56" i="43"/>
  <c r="P56" i="90"/>
  <c r="O56" i="43"/>
  <c r="N56" i="90"/>
  <c r="O53" i="43"/>
  <c r="T18" i="47" s="1"/>
  <c r="N53" i="90"/>
  <c r="M59" i="43"/>
  <c r="L59" i="90"/>
  <c r="K53" i="43"/>
  <c r="P20" i="47" s="1"/>
  <c r="J53" i="90"/>
  <c r="M62" i="43"/>
  <c r="L62" i="90"/>
  <c r="Y570" i="79"/>
  <c r="H95" i="90"/>
  <c r="E94" i="90"/>
  <c r="J53" i="43"/>
  <c r="I53" i="90"/>
  <c r="L59" i="43"/>
  <c r="K59" i="90"/>
  <c r="Q59" i="43"/>
  <c r="P59" i="90"/>
  <c r="K59" i="43"/>
  <c r="J59" i="90"/>
  <c r="I55" i="43"/>
  <c r="H55" i="90"/>
  <c r="P56" i="43"/>
  <c r="O56" i="90"/>
  <c r="N56" i="43"/>
  <c r="M56" i="90"/>
  <c r="N53" i="43"/>
  <c r="S23" i="47" s="1"/>
  <c r="M53" i="90"/>
  <c r="K62" i="43"/>
  <c r="J62" i="90"/>
  <c r="M56" i="43"/>
  <c r="L56" i="90"/>
  <c r="K56" i="43"/>
  <c r="J56" i="90"/>
  <c r="N62" i="43"/>
  <c r="M62" i="90"/>
  <c r="E96" i="90"/>
  <c r="J59" i="43"/>
  <c r="I59" i="90"/>
  <c r="N59" i="43"/>
  <c r="M59" i="90"/>
  <c r="J55" i="43"/>
  <c r="I55" i="90"/>
  <c r="C94" i="90"/>
  <c r="P53" i="43"/>
  <c r="U17" i="47" s="1"/>
  <c r="O53" i="90"/>
  <c r="N55" i="43"/>
  <c r="M55" i="90"/>
  <c r="L62" i="43"/>
  <c r="K62" i="90"/>
  <c r="M65" i="43"/>
  <c r="L65" i="90"/>
  <c r="L56" i="43"/>
  <c r="K56" i="90"/>
  <c r="Y392" i="79"/>
  <c r="G95" i="90"/>
  <c r="M53" i="43"/>
  <c r="R26" i="47" s="1"/>
  <c r="L53" i="90"/>
  <c r="Y935" i="79"/>
  <c r="J95" i="90"/>
  <c r="E95" i="90"/>
  <c r="I95" i="90"/>
  <c r="J65" i="43"/>
  <c r="I65" i="90"/>
  <c r="O59" i="43"/>
  <c r="N59" i="90"/>
  <c r="I56" i="43"/>
  <c r="H56" i="90"/>
  <c r="Q56" i="90" s="1"/>
  <c r="J62" i="43"/>
  <c r="I62" i="90"/>
  <c r="Q62" i="90" s="1"/>
  <c r="P62" i="43"/>
  <c r="O62" i="90"/>
  <c r="Q62" i="43"/>
  <c r="P62" i="90"/>
  <c r="Q53" i="43"/>
  <c r="V21" i="47" s="1"/>
  <c r="P53" i="90"/>
  <c r="O55" i="43"/>
  <c r="N55" i="90"/>
  <c r="L53" i="43"/>
  <c r="Q15" i="47" s="1"/>
  <c r="K53" i="90"/>
  <c r="O62" i="43"/>
  <c r="N62" i="90"/>
  <c r="L55" i="43"/>
  <c r="K55" i="90"/>
  <c r="E93" i="90"/>
  <c r="E103" i="90" s="1"/>
  <c r="K95" i="90"/>
  <c r="AM259" i="46"/>
  <c r="Z1128" i="79"/>
  <c r="E80" i="43" s="1"/>
  <c r="D68" i="43"/>
  <c r="C68" i="90" s="1"/>
  <c r="AM131" i="46"/>
  <c r="C91" i="43" s="1"/>
  <c r="AM262" i="46"/>
  <c r="AM518" i="46"/>
  <c r="AM132" i="46"/>
  <c r="C102" i="43" s="1"/>
  <c r="AM520" i="46"/>
  <c r="AM522" i="46"/>
  <c r="AM260" i="46"/>
  <c r="AM519" i="46"/>
  <c r="Y521" i="46"/>
  <c r="AM517" i="46"/>
  <c r="AD571" i="79"/>
  <c r="AH572" i="79"/>
  <c r="L70" i="90" s="1"/>
  <c r="AL572" i="79"/>
  <c r="P70" i="90" s="1"/>
  <c r="AD568" i="79"/>
  <c r="AI572" i="79"/>
  <c r="M70" i="90" s="1"/>
  <c r="R18" i="47"/>
  <c r="R20" i="47"/>
  <c r="R16" i="47"/>
  <c r="AE392" i="79"/>
  <c r="J68" i="43" s="1"/>
  <c r="R22" i="47"/>
  <c r="AB200" i="79"/>
  <c r="AD386" i="79"/>
  <c r="AC202" i="79"/>
  <c r="AG573" i="79"/>
  <c r="K71" i="90" s="1"/>
  <c r="AA569" i="79"/>
  <c r="AG572" i="79"/>
  <c r="K70" i="90" s="1"/>
  <c r="AH568" i="79"/>
  <c r="AA571" i="79"/>
  <c r="AL569" i="79"/>
  <c r="AC205" i="79"/>
  <c r="Z389" i="79"/>
  <c r="AC200" i="79"/>
  <c r="AD385" i="79"/>
  <c r="AB203" i="79"/>
  <c r="AD387" i="79"/>
  <c r="AL576" i="79"/>
  <c r="Q71" i="43" s="1"/>
  <c r="AL568" i="79"/>
  <c r="AB205" i="79"/>
  <c r="AD392" i="79"/>
  <c r="I68" i="43" s="1"/>
  <c r="Z386" i="79"/>
  <c r="AB201" i="79"/>
  <c r="AL570" i="79"/>
  <c r="Z390" i="79"/>
  <c r="AB199" i="79"/>
  <c r="AB388" i="79"/>
  <c r="AK203" i="79"/>
  <c r="AA200" i="79"/>
  <c r="AA205" i="79"/>
  <c r="AE388" i="79"/>
  <c r="I67" i="90" s="1"/>
  <c r="AB390" i="79"/>
  <c r="AB389" i="79"/>
  <c r="AA203" i="79"/>
  <c r="AB392" i="79"/>
  <c r="G68" i="43" s="1"/>
  <c r="F68" i="90" s="1"/>
  <c r="AI570" i="79"/>
  <c r="AI573" i="79"/>
  <c r="M71" i="90" s="1"/>
  <c r="AK202" i="79"/>
  <c r="AI569" i="79"/>
  <c r="AA202" i="79"/>
  <c r="F96" i="90" s="1"/>
  <c r="R19" i="47"/>
  <c r="R24" i="47"/>
  <c r="R23" i="47"/>
  <c r="R15" i="47"/>
  <c r="AG576" i="79"/>
  <c r="L71" i="43" s="1"/>
  <c r="AB386" i="79"/>
  <c r="AA568" i="79"/>
  <c r="AG574" i="79"/>
  <c r="AA201" i="79"/>
  <c r="AI568" i="79"/>
  <c r="AH569" i="79"/>
  <c r="AB385" i="79"/>
  <c r="AA570" i="79"/>
  <c r="AG569" i="79"/>
  <c r="AH576" i="79"/>
  <c r="M71" i="43" s="1"/>
  <c r="AA576" i="79"/>
  <c r="AA573" i="79"/>
  <c r="E71" i="90" s="1"/>
  <c r="AG568" i="79"/>
  <c r="AA572" i="79"/>
  <c r="E70" i="90" s="1"/>
  <c r="AG571" i="79"/>
  <c r="AD389" i="79"/>
  <c r="AG200" i="79"/>
  <c r="AK390" i="46"/>
  <c r="AB570" i="79"/>
  <c r="AJ385" i="79"/>
  <c r="AL201" i="79"/>
  <c r="AK392" i="79"/>
  <c r="P68" i="43" s="1"/>
  <c r="AG386" i="79"/>
  <c r="AL202" i="79"/>
  <c r="AK386" i="79"/>
  <c r="AL389" i="79"/>
  <c r="P68" i="90" s="1"/>
  <c r="AG387" i="79"/>
  <c r="AE569" i="79"/>
  <c r="AK385" i="79"/>
  <c r="Y938" i="79"/>
  <c r="AL387" i="79"/>
  <c r="AB574" i="79"/>
  <c r="AH389" i="79"/>
  <c r="L68" i="90" s="1"/>
  <c r="AI385" i="79"/>
  <c r="AH390" i="79"/>
  <c r="AG205" i="79"/>
  <c r="AD200" i="79"/>
  <c r="AH385" i="79"/>
  <c r="Y387" i="79"/>
  <c r="AG390" i="79"/>
  <c r="Y389" i="79"/>
  <c r="AK390" i="79"/>
  <c r="AL392" i="79"/>
  <c r="Q68" i="43" s="1"/>
  <c r="AJ390" i="79"/>
  <c r="AF576" i="79"/>
  <c r="K71" i="43" s="1"/>
  <c r="AG389" i="79"/>
  <c r="K68" i="90" s="1"/>
  <c r="AL388" i="79"/>
  <c r="P67" i="90" s="1"/>
  <c r="AJ386" i="79"/>
  <c r="AB576" i="79"/>
  <c r="AG199" i="79"/>
  <c r="AB572" i="79"/>
  <c r="F70" i="90" s="1"/>
  <c r="AC571" i="79"/>
  <c r="AF389" i="79"/>
  <c r="J68" i="90" s="1"/>
  <c r="Y944" i="79"/>
  <c r="Q19" i="47"/>
  <c r="AC569" i="79"/>
  <c r="Q24" i="47"/>
  <c r="AD205" i="79"/>
  <c r="AD203" i="79"/>
  <c r="AG203" i="79"/>
  <c r="Y940" i="79"/>
  <c r="AI521" i="46"/>
  <c r="AG201" i="79"/>
  <c r="AH521" i="46"/>
  <c r="Q26" i="47"/>
  <c r="AK205" i="79"/>
  <c r="AF200" i="79"/>
  <c r="Y936" i="79"/>
  <c r="AJ574" i="79"/>
  <c r="AF386" i="79"/>
  <c r="AK387" i="79"/>
  <c r="AL386" i="79"/>
  <c r="AD576" i="79"/>
  <c r="I71" i="43" s="1"/>
  <c r="AG388" i="79"/>
  <c r="K67" i="90" s="1"/>
  <c r="AC570" i="79"/>
  <c r="AJ569" i="79"/>
  <c r="AF390" i="79"/>
  <c r="AH388" i="79"/>
  <c r="L67" i="90" s="1"/>
  <c r="AF572" i="79"/>
  <c r="J70" i="90" s="1"/>
  <c r="AJ570" i="79"/>
  <c r="AJ571" i="79"/>
  <c r="AF574" i="79"/>
  <c r="AK389" i="79"/>
  <c r="O68" i="90" s="1"/>
  <c r="AJ389" i="79"/>
  <c r="N68" i="90" s="1"/>
  <c r="Z199" i="79"/>
  <c r="F93" i="90" s="1"/>
  <c r="AG385" i="79"/>
  <c r="AH387" i="79"/>
  <c r="AB571" i="79"/>
  <c r="AH386" i="79"/>
  <c r="AF573" i="79"/>
  <c r="J71" i="90" s="1"/>
  <c r="Z201" i="79"/>
  <c r="F95" i="90" s="1"/>
  <c r="AF569" i="79"/>
  <c r="AL385" i="79"/>
  <c r="AJ392" i="79"/>
  <c r="O68" i="43" s="1"/>
  <c r="Z200" i="79"/>
  <c r="F94" i="90" s="1"/>
  <c r="F103" i="90" s="1"/>
  <c r="AJ576" i="79"/>
  <c r="O71" i="43" s="1"/>
  <c r="AB569" i="79"/>
  <c r="AJ568" i="79"/>
  <c r="AF568" i="79"/>
  <c r="Y934" i="79"/>
  <c r="AJ388" i="79"/>
  <c r="N67" i="90" s="1"/>
  <c r="Y569" i="79"/>
  <c r="AB568" i="79"/>
  <c r="AJ572" i="79"/>
  <c r="N70" i="90" s="1"/>
  <c r="AF570" i="79"/>
  <c r="AD573" i="79"/>
  <c r="Y941" i="79"/>
  <c r="AC386" i="79"/>
  <c r="AE568" i="79"/>
  <c r="AF202" i="79"/>
  <c r="Q31" i="47"/>
  <c r="AE576" i="79"/>
  <c r="J71" i="43" s="1"/>
  <c r="Q17" i="47"/>
  <c r="AK200" i="79"/>
  <c r="AL574" i="79"/>
  <c r="Z203" i="79"/>
  <c r="F97" i="90" s="1"/>
  <c r="Z392" i="79"/>
  <c r="E68" i="43" s="1"/>
  <c r="D68" i="90" s="1"/>
  <c r="Z388" i="79"/>
  <c r="AC568" i="79"/>
  <c r="AC199" i="79"/>
  <c r="AC390" i="79"/>
  <c r="AF385" i="79"/>
  <c r="AE573" i="79"/>
  <c r="I71" i="90" s="1"/>
  <c r="AD569" i="79"/>
  <c r="AC392" i="79"/>
  <c r="H68" i="43" s="1"/>
  <c r="G68" i="90" s="1"/>
  <c r="AI574" i="79"/>
  <c r="AI571" i="79"/>
  <c r="AC389" i="79"/>
  <c r="Z205" i="79"/>
  <c r="Q21" i="47"/>
  <c r="AL573" i="79"/>
  <c r="P71" i="90" s="1"/>
  <c r="AC576" i="79"/>
  <c r="Y568" i="79"/>
  <c r="Z385" i="79"/>
  <c r="AC203" i="79"/>
  <c r="AC385" i="79"/>
  <c r="AF388" i="79"/>
  <c r="J67" i="90" s="1"/>
  <c r="AD570" i="79"/>
  <c r="Y942" i="79"/>
  <c r="AK199" i="79"/>
  <c r="AF392" i="79"/>
  <c r="K68" i="43" s="1"/>
  <c r="AG521" i="46"/>
  <c r="AF261" i="46"/>
  <c r="AC572" i="79"/>
  <c r="G70" i="90" s="1"/>
  <c r="AE574" i="79"/>
  <c r="AD390" i="79"/>
  <c r="AC387" i="79"/>
  <c r="AE571" i="79"/>
  <c r="AC574" i="79"/>
  <c r="AE572" i="79"/>
  <c r="I70" i="90" s="1"/>
  <c r="AD574" i="79"/>
  <c r="Y576" i="79"/>
  <c r="AH574" i="79"/>
  <c r="AH573" i="79"/>
  <c r="L71" i="90" s="1"/>
  <c r="AH570" i="79"/>
  <c r="AA1123" i="79"/>
  <c r="AA1122" i="79"/>
  <c r="AA1120" i="79"/>
  <c r="AA1118" i="79"/>
  <c r="AA1125" i="79"/>
  <c r="E80" i="90" s="1"/>
  <c r="AA1117" i="79"/>
  <c r="AA1124" i="79"/>
  <c r="E79" i="90" s="1"/>
  <c r="AA1126" i="79"/>
  <c r="AA1121" i="79"/>
  <c r="AA1119" i="79"/>
  <c r="AI390" i="79"/>
  <c r="Z573" i="79"/>
  <c r="D71" i="90" s="1"/>
  <c r="Z568" i="79"/>
  <c r="Z570" i="79"/>
  <c r="Z576" i="79"/>
  <c r="Z754" i="79"/>
  <c r="I99" i="90" s="1"/>
  <c r="Z757" i="79"/>
  <c r="D74" i="90" s="1"/>
  <c r="Z753" i="79"/>
  <c r="I98" i="90" s="1"/>
  <c r="Z751" i="79"/>
  <c r="I96" i="90" s="1"/>
  <c r="Z756" i="79"/>
  <c r="D73" i="90" s="1"/>
  <c r="Z752" i="79"/>
  <c r="I97" i="90" s="1"/>
  <c r="Z758" i="79"/>
  <c r="Z755" i="79"/>
  <c r="I100" i="90" s="1"/>
  <c r="Z1123" i="79"/>
  <c r="K102" i="90" s="1"/>
  <c r="L102" i="90" s="1"/>
  <c r="Z1118" i="79"/>
  <c r="K97" i="90" s="1"/>
  <c r="Z1119" i="79"/>
  <c r="K98" i="90" s="1"/>
  <c r="Z1122" i="79"/>
  <c r="K101" i="90" s="1"/>
  <c r="Z1117" i="79"/>
  <c r="K96" i="90" s="1"/>
  <c r="Z1121" i="79"/>
  <c r="K100" i="90" s="1"/>
  <c r="Z1120" i="79"/>
  <c r="K99" i="90" s="1"/>
  <c r="Z1124" i="79"/>
  <c r="D79" i="90" s="1"/>
  <c r="Z1125" i="79"/>
  <c r="D80" i="90" s="1"/>
  <c r="AG1126" i="79"/>
  <c r="AG1117" i="79"/>
  <c r="AG1119" i="79"/>
  <c r="AG1125" i="79"/>
  <c r="K80" i="90" s="1"/>
  <c r="AG1122" i="79"/>
  <c r="AG1123" i="79"/>
  <c r="AG1124" i="79"/>
  <c r="K79" i="90" s="1"/>
  <c r="AG1118" i="79"/>
  <c r="AG1121" i="79"/>
  <c r="AG1120" i="79"/>
  <c r="AF937" i="79"/>
  <c r="AF934" i="79"/>
  <c r="AF938" i="79"/>
  <c r="AF939" i="79"/>
  <c r="AF941" i="79"/>
  <c r="J77" i="90" s="1"/>
  <c r="AF936" i="79"/>
  <c r="AF942" i="79"/>
  <c r="AF940" i="79"/>
  <c r="J76" i="90" s="1"/>
  <c r="AF935" i="79"/>
  <c r="AD936" i="79"/>
  <c r="AD941" i="79"/>
  <c r="AD938" i="79"/>
  <c r="AD935" i="79"/>
  <c r="AD940" i="79"/>
  <c r="AD934" i="79"/>
  <c r="AD939" i="79"/>
  <c r="AD942" i="79"/>
  <c r="AD937" i="79"/>
  <c r="AK392" i="46"/>
  <c r="AK388" i="46"/>
  <c r="AL205" i="79"/>
  <c r="AE389" i="79"/>
  <c r="I68" i="90" s="1"/>
  <c r="AK756" i="79"/>
  <c r="O73" i="90" s="1"/>
  <c r="AK757" i="79"/>
  <c r="O74" i="90" s="1"/>
  <c r="AK751" i="79"/>
  <c r="AK755" i="79"/>
  <c r="AK754" i="79"/>
  <c r="AK758" i="79"/>
  <c r="AK752" i="79"/>
  <c r="AK753" i="79"/>
  <c r="AF751" i="79"/>
  <c r="AF755" i="79"/>
  <c r="AF758" i="79"/>
  <c r="AF752" i="79"/>
  <c r="AF756" i="79"/>
  <c r="J73" i="90" s="1"/>
  <c r="AF757" i="79"/>
  <c r="J74" i="90" s="1"/>
  <c r="AF753" i="79"/>
  <c r="AF754" i="79"/>
  <c r="AD1123" i="79"/>
  <c r="AD1121" i="79"/>
  <c r="AD1125" i="79"/>
  <c r="AD1117" i="79"/>
  <c r="AD1124" i="79"/>
  <c r="AD1120" i="79"/>
  <c r="AD1122" i="79"/>
  <c r="AD1126" i="79"/>
  <c r="AD1119" i="79"/>
  <c r="AD1118" i="79"/>
  <c r="AL1117" i="79"/>
  <c r="AL1125" i="79"/>
  <c r="P80" i="90" s="1"/>
  <c r="AL1120" i="79"/>
  <c r="AL1126" i="79"/>
  <c r="AL1124" i="79"/>
  <c r="P79" i="90" s="1"/>
  <c r="AL1118" i="79"/>
  <c r="AL1123" i="79"/>
  <c r="AL1119" i="79"/>
  <c r="AL1121" i="79"/>
  <c r="AL1122" i="79"/>
  <c r="AE940" i="79"/>
  <c r="I76" i="90" s="1"/>
  <c r="AE942" i="79"/>
  <c r="AE936" i="79"/>
  <c r="AE938" i="79"/>
  <c r="AE937" i="79"/>
  <c r="AE941" i="79"/>
  <c r="I77" i="90" s="1"/>
  <c r="AE934" i="79"/>
  <c r="AE939" i="79"/>
  <c r="AE935" i="79"/>
  <c r="AC938" i="79"/>
  <c r="AC935" i="79"/>
  <c r="AC937" i="79"/>
  <c r="AC934" i="79"/>
  <c r="AC940" i="79"/>
  <c r="G76" i="90" s="1"/>
  <c r="AC936" i="79"/>
  <c r="AC941" i="79"/>
  <c r="G77" i="90" s="1"/>
  <c r="AC939" i="79"/>
  <c r="AC942" i="79"/>
  <c r="Z572" i="79"/>
  <c r="D70" i="90" s="1"/>
  <c r="AB754" i="79"/>
  <c r="AB756" i="79"/>
  <c r="F73" i="90" s="1"/>
  <c r="AB758" i="79"/>
  <c r="AB753" i="79"/>
  <c r="AB751" i="79"/>
  <c r="AB752" i="79"/>
  <c r="AB755" i="79"/>
  <c r="AB757" i="79"/>
  <c r="F74" i="90" s="1"/>
  <c r="AG758" i="79"/>
  <c r="AG756" i="79"/>
  <c r="K73" i="90" s="1"/>
  <c r="AG755" i="79"/>
  <c r="AG757" i="79"/>
  <c r="K74" i="90" s="1"/>
  <c r="AG751" i="79"/>
  <c r="AG753" i="79"/>
  <c r="AG752" i="79"/>
  <c r="AG754" i="79"/>
  <c r="AE386" i="79"/>
  <c r="AE390" i="79"/>
  <c r="AB1124" i="79"/>
  <c r="F79" i="90" s="1"/>
  <c r="AB1118" i="79"/>
  <c r="AB1119" i="79"/>
  <c r="AB1125" i="79"/>
  <c r="F80" i="90" s="1"/>
  <c r="AB1120" i="79"/>
  <c r="AB1126" i="79"/>
  <c r="AB1123" i="79"/>
  <c r="AB1121" i="79"/>
  <c r="AB1122" i="79"/>
  <c r="AB1117" i="79"/>
  <c r="AI1126" i="79"/>
  <c r="AI1122" i="79"/>
  <c r="AI1121" i="79"/>
  <c r="AI1120" i="79"/>
  <c r="AI1119" i="79"/>
  <c r="AI1123" i="79"/>
  <c r="AI1124" i="79"/>
  <c r="M79" i="90" s="1"/>
  <c r="AI1117" i="79"/>
  <c r="AI1118" i="79"/>
  <c r="AI1125" i="79"/>
  <c r="M80" i="90" s="1"/>
  <c r="AL934" i="79"/>
  <c r="AL935" i="79"/>
  <c r="AL942" i="79"/>
  <c r="AL936" i="79"/>
  <c r="AL939" i="79"/>
  <c r="AL940" i="79"/>
  <c r="P76" i="90" s="1"/>
  <c r="AL941" i="79"/>
  <c r="P77" i="90" s="1"/>
  <c r="AL937" i="79"/>
  <c r="AL938" i="79"/>
  <c r="AI387" i="79"/>
  <c r="AF205" i="79"/>
  <c r="AA752" i="79"/>
  <c r="AA754" i="79"/>
  <c r="AA753" i="79"/>
  <c r="AA751" i="79"/>
  <c r="AA757" i="79"/>
  <c r="E74" i="90" s="1"/>
  <c r="AA758" i="79"/>
  <c r="AA756" i="79"/>
  <c r="E73" i="90" s="1"/>
  <c r="AA755" i="79"/>
  <c r="AI757" i="79"/>
  <c r="M74" i="90" s="1"/>
  <c r="AI755" i="79"/>
  <c r="AI758" i="79"/>
  <c r="AI751" i="79"/>
  <c r="AI756" i="79"/>
  <c r="M73" i="90" s="1"/>
  <c r="AI753" i="79"/>
  <c r="AI754" i="79"/>
  <c r="AI752" i="79"/>
  <c r="AD202" i="79"/>
  <c r="AD199" i="79"/>
  <c r="AF944" i="79"/>
  <c r="K77" i="43" s="1"/>
  <c r="AE1118" i="79"/>
  <c r="AE1120" i="79"/>
  <c r="AE1125" i="79"/>
  <c r="I80" i="90" s="1"/>
  <c r="AE1124" i="79"/>
  <c r="I79" i="90" s="1"/>
  <c r="AE1123" i="79"/>
  <c r="AE1119" i="79"/>
  <c r="AE1117" i="79"/>
  <c r="AE1122" i="79"/>
  <c r="AE1126" i="79"/>
  <c r="AE1121" i="79"/>
  <c r="AJ1124" i="79"/>
  <c r="N79" i="90" s="1"/>
  <c r="AJ1125" i="79"/>
  <c r="N80" i="90" s="1"/>
  <c r="AJ1119" i="79"/>
  <c r="AJ1121" i="79"/>
  <c r="AJ1118" i="79"/>
  <c r="AJ1123" i="79"/>
  <c r="AJ1117" i="79"/>
  <c r="AJ1126" i="79"/>
  <c r="AJ1120" i="79"/>
  <c r="AJ1122" i="79"/>
  <c r="AK941" i="79"/>
  <c r="O77" i="90" s="1"/>
  <c r="AK934" i="79"/>
  <c r="AK936" i="79"/>
  <c r="AK940" i="79"/>
  <c r="O76" i="90" s="1"/>
  <c r="AK942" i="79"/>
  <c r="AK939" i="79"/>
  <c r="AK937" i="79"/>
  <c r="AK938" i="79"/>
  <c r="AK935" i="79"/>
  <c r="AD753" i="79"/>
  <c r="AD755" i="79"/>
  <c r="AD754" i="79"/>
  <c r="AD758" i="79"/>
  <c r="AD757" i="79"/>
  <c r="AD756" i="79"/>
  <c r="AD751" i="79"/>
  <c r="AD752" i="79"/>
  <c r="AK1122" i="79"/>
  <c r="AK1126" i="79"/>
  <c r="AK1121" i="79"/>
  <c r="AK1117" i="79"/>
  <c r="AK1123" i="79"/>
  <c r="AK1119" i="79"/>
  <c r="AK1125" i="79"/>
  <c r="O80" i="90" s="1"/>
  <c r="AK1120" i="79"/>
  <c r="AK1124" i="79"/>
  <c r="O79" i="90" s="1"/>
  <c r="AK1118" i="79"/>
  <c r="AI389" i="79"/>
  <c r="M68" i="90" s="1"/>
  <c r="AH752" i="79"/>
  <c r="AH758" i="79"/>
  <c r="AH757" i="79"/>
  <c r="L74" i="90" s="1"/>
  <c r="AH751" i="79"/>
  <c r="AH754" i="79"/>
  <c r="AH753" i="79"/>
  <c r="AH756" i="79"/>
  <c r="L73" i="90" s="1"/>
  <c r="AH755" i="79"/>
  <c r="AL944" i="79"/>
  <c r="Q77" i="43" s="1"/>
  <c r="Y571" i="79"/>
  <c r="H99" i="90" s="1"/>
  <c r="Y572" i="79"/>
  <c r="Y574" i="79"/>
  <c r="Z940" i="79"/>
  <c r="D76" i="90" s="1"/>
  <c r="Z934" i="79"/>
  <c r="Z941" i="79"/>
  <c r="D77" i="90" s="1"/>
  <c r="Z936" i="79"/>
  <c r="Z942" i="79"/>
  <c r="Z939" i="79"/>
  <c r="Z937" i="79"/>
  <c r="Z938" i="79"/>
  <c r="Z935" i="79"/>
  <c r="AI392" i="79"/>
  <c r="N68" i="43" s="1"/>
  <c r="AF203" i="79"/>
  <c r="Z569" i="79"/>
  <c r="Y573" i="79"/>
  <c r="Y388" i="79"/>
  <c r="Y390" i="79"/>
  <c r="AJ756" i="79"/>
  <c r="N73" i="90" s="1"/>
  <c r="AJ757" i="79"/>
  <c r="N74" i="90" s="1"/>
  <c r="AJ758" i="79"/>
  <c r="AJ752" i="79"/>
  <c r="AJ751" i="79"/>
  <c r="AJ754" i="79"/>
  <c r="AJ755" i="79"/>
  <c r="AJ753" i="79"/>
  <c r="AL751" i="79"/>
  <c r="AL752" i="79"/>
  <c r="AL757" i="79"/>
  <c r="P74" i="90" s="1"/>
  <c r="AL758" i="79"/>
  <c r="AL754" i="79"/>
  <c r="AL755" i="79"/>
  <c r="AL756" i="79"/>
  <c r="P73" i="90" s="1"/>
  <c r="AL753" i="79"/>
  <c r="AG1128" i="79"/>
  <c r="L80" i="43" s="1"/>
  <c r="AK760" i="79"/>
  <c r="P74" i="43" s="1"/>
  <c r="AF1119" i="79"/>
  <c r="AF1124" i="79"/>
  <c r="J79" i="90" s="1"/>
  <c r="AF1123" i="79"/>
  <c r="AF1121" i="79"/>
  <c r="AF1126" i="79"/>
  <c r="AF1118" i="79"/>
  <c r="AF1122" i="79"/>
  <c r="AF1117" i="79"/>
  <c r="AF1120" i="79"/>
  <c r="AF1125" i="79"/>
  <c r="J80" i="90" s="1"/>
  <c r="AB934" i="79"/>
  <c r="AB941" i="79"/>
  <c r="F77" i="90" s="1"/>
  <c r="AB936" i="79"/>
  <c r="AB940" i="79"/>
  <c r="F76" i="90" s="1"/>
  <c r="AB939" i="79"/>
  <c r="AB942" i="79"/>
  <c r="AB938" i="79"/>
  <c r="AB937" i="79"/>
  <c r="AB935" i="79"/>
  <c r="AI937" i="79"/>
  <c r="AI940" i="79"/>
  <c r="M76" i="90" s="1"/>
  <c r="AI938" i="79"/>
  <c r="AI941" i="79"/>
  <c r="M77" i="90" s="1"/>
  <c r="AI935" i="79"/>
  <c r="AI939" i="79"/>
  <c r="AI942" i="79"/>
  <c r="AI934" i="79"/>
  <c r="AI936" i="79"/>
  <c r="AG760" i="79"/>
  <c r="L74" i="43" s="1"/>
  <c r="AE758" i="79"/>
  <c r="AE755" i="79"/>
  <c r="AE751" i="79"/>
  <c r="AE756" i="79"/>
  <c r="I73" i="90" s="1"/>
  <c r="AE757" i="79"/>
  <c r="I74" i="90" s="1"/>
  <c r="AE754" i="79"/>
  <c r="AE752" i="79"/>
  <c r="AE753" i="79"/>
  <c r="AC1117" i="79"/>
  <c r="AC1121" i="79"/>
  <c r="AC1118" i="79"/>
  <c r="AC1125" i="79"/>
  <c r="G80" i="90" s="1"/>
  <c r="AC1126" i="79"/>
  <c r="AC1123" i="79"/>
  <c r="AC1120" i="79"/>
  <c r="AC1119" i="79"/>
  <c r="AC1122" i="79"/>
  <c r="AC1124" i="79"/>
  <c r="G79" i="90" s="1"/>
  <c r="AG936" i="79"/>
  <c r="AG939" i="79"/>
  <c r="AG937" i="79"/>
  <c r="AG941" i="79"/>
  <c r="K77" i="90" s="1"/>
  <c r="AG938" i="79"/>
  <c r="AG934" i="79"/>
  <c r="AG942" i="79"/>
  <c r="AG935" i="79"/>
  <c r="AG940" i="79"/>
  <c r="K76" i="90" s="1"/>
  <c r="AD944" i="79"/>
  <c r="I77" i="43" s="1"/>
  <c r="AI388" i="79"/>
  <c r="M67" i="90" s="1"/>
  <c r="AF199" i="79"/>
  <c r="AE385" i="79"/>
  <c r="Z574" i="79"/>
  <c r="Y386" i="79"/>
  <c r="G97" i="90" s="1"/>
  <c r="Y385" i="79"/>
  <c r="G96" i="90" s="1"/>
  <c r="AA1128" i="79"/>
  <c r="F80" i="43" s="1"/>
  <c r="AD760" i="79"/>
  <c r="I74" i="43" s="1"/>
  <c r="AC756" i="79"/>
  <c r="G73" i="90" s="1"/>
  <c r="AC754" i="79"/>
  <c r="AC753" i="79"/>
  <c r="AC755" i="79"/>
  <c r="AC757" i="79"/>
  <c r="G74" i="90" s="1"/>
  <c r="AC758" i="79"/>
  <c r="AC751" i="79"/>
  <c r="AC752" i="79"/>
  <c r="AI1128" i="79"/>
  <c r="N80" i="43" s="1"/>
  <c r="AF1128" i="79"/>
  <c r="K80" i="43" s="1"/>
  <c r="AH1126" i="79"/>
  <c r="AH1124" i="79"/>
  <c r="L79" i="90" s="1"/>
  <c r="AH1125" i="79"/>
  <c r="L80" i="90" s="1"/>
  <c r="AH1117" i="79"/>
  <c r="AH1123" i="79"/>
  <c r="AH1121" i="79"/>
  <c r="AH1119" i="79"/>
  <c r="AH1120" i="79"/>
  <c r="AH1118" i="79"/>
  <c r="AH1122" i="79"/>
  <c r="Y939" i="79"/>
  <c r="Y937" i="79"/>
  <c r="AA938" i="79"/>
  <c r="AA942" i="79"/>
  <c r="AA937" i="79"/>
  <c r="AA936" i="79"/>
  <c r="AA940" i="79"/>
  <c r="E76" i="90" s="1"/>
  <c r="AA934" i="79"/>
  <c r="AA939" i="79"/>
  <c r="AA935" i="79"/>
  <c r="AA941" i="79"/>
  <c r="E77" i="90" s="1"/>
  <c r="AJ937" i="79"/>
  <c r="AJ938" i="79"/>
  <c r="AJ935" i="79"/>
  <c r="AJ940" i="79"/>
  <c r="N76" i="90" s="1"/>
  <c r="AJ936" i="79"/>
  <c r="AJ934" i="79"/>
  <c r="AJ941" i="79"/>
  <c r="N77" i="90" s="1"/>
  <c r="AJ939" i="79"/>
  <c r="AJ942" i="79"/>
  <c r="AI760" i="79"/>
  <c r="N74" i="43" s="1"/>
  <c r="AH938" i="79"/>
  <c r="AH936" i="79"/>
  <c r="AH935" i="79"/>
  <c r="AH939" i="79"/>
  <c r="AH940" i="79"/>
  <c r="L76" i="90" s="1"/>
  <c r="AH934" i="79"/>
  <c r="AH941" i="79"/>
  <c r="L77" i="90" s="1"/>
  <c r="AH942" i="79"/>
  <c r="AH937" i="79"/>
  <c r="P15" i="47"/>
  <c r="AI205" i="79"/>
  <c r="AF391" i="46"/>
  <c r="AJ521" i="46"/>
  <c r="AF521" i="46"/>
  <c r="AH261" i="46"/>
  <c r="AA391" i="79"/>
  <c r="F67" i="43" s="1"/>
  <c r="E67" i="90" s="1"/>
  <c r="AG391" i="46"/>
  <c r="D80" i="43"/>
  <c r="C80" i="90" s="1"/>
  <c r="Y1127" i="79"/>
  <c r="D79" i="43" s="1"/>
  <c r="C79" i="90" s="1"/>
  <c r="H79" i="90" s="1"/>
  <c r="Q79" i="90" s="1"/>
  <c r="P17" i="47"/>
  <c r="P18" i="47"/>
  <c r="AJ202" i="79"/>
  <c r="AI200" i="79"/>
  <c r="P21" i="47"/>
  <c r="P24" i="47"/>
  <c r="Q22" i="47"/>
  <c r="Q25" i="47"/>
  <c r="AL200" i="79"/>
  <c r="AI202" i="79"/>
  <c r="AH389" i="46"/>
  <c r="E92" i="43" s="1"/>
  <c r="AH390" i="46"/>
  <c r="D95" i="90" s="1"/>
  <c r="AH388" i="46"/>
  <c r="D93" i="90" s="1"/>
  <c r="L93" i="90" s="1"/>
  <c r="P19" i="47"/>
  <c r="AJ200" i="79"/>
  <c r="P22" i="47"/>
  <c r="Q23" i="47"/>
  <c r="AI203" i="79"/>
  <c r="P16" i="47"/>
  <c r="P25" i="47"/>
  <c r="P23" i="47"/>
  <c r="Q18" i="47"/>
  <c r="Q16" i="47"/>
  <c r="AL199" i="79"/>
  <c r="AJ199" i="79"/>
  <c r="AJ201" i="79"/>
  <c r="Y759" i="79"/>
  <c r="AI201" i="79"/>
  <c r="P26" i="47"/>
  <c r="Q20" i="47"/>
  <c r="AJ205" i="79"/>
  <c r="AH203" i="79"/>
  <c r="AH201" i="79"/>
  <c r="AH199" i="79"/>
  <c r="AH200" i="79"/>
  <c r="AH202" i="79"/>
  <c r="R62" i="43"/>
  <c r="AI391" i="46"/>
  <c r="T24" i="47"/>
  <c r="T17" i="47"/>
  <c r="T19" i="47"/>
  <c r="T16" i="47"/>
  <c r="T22" i="47"/>
  <c r="S20" i="47"/>
  <c r="T21" i="47"/>
  <c r="T15" i="47"/>
  <c r="AJ391" i="46"/>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92" i="43"/>
  <c r="F91" i="43"/>
  <c r="R56"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T37" i="47"/>
  <c r="T36" i="47"/>
  <c r="AL261" i="46"/>
  <c r="AK261" i="46"/>
  <c r="T32" i="47"/>
  <c r="T35" i="47"/>
  <c r="T38" i="47"/>
  <c r="T39" i="47"/>
  <c r="T41" i="47"/>
  <c r="T30" i="47"/>
  <c r="AL391" i="46"/>
  <c r="T34" i="47"/>
  <c r="AK575" i="79"/>
  <c r="P70" i="43" s="1"/>
  <c r="AA391" i="46"/>
  <c r="K45" i="47" s="1"/>
  <c r="AL521" i="46"/>
  <c r="AC391" i="46"/>
  <c r="M45" i="47" s="1"/>
  <c r="AE521" i="46"/>
  <c r="AD391" i="46"/>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J52" i="43"/>
  <c r="I103" i="90" l="1"/>
  <c r="K103" i="90"/>
  <c r="L100" i="90"/>
  <c r="L95" i="90"/>
  <c r="J64" i="43"/>
  <c r="I64" i="90"/>
  <c r="I58" i="43"/>
  <c r="N51" i="47" s="1"/>
  <c r="H58" i="90"/>
  <c r="O58" i="43"/>
  <c r="N58" i="90"/>
  <c r="O65" i="43"/>
  <c r="N65" i="90"/>
  <c r="H80" i="90"/>
  <c r="Q80" i="90" s="1"/>
  <c r="K61" i="43"/>
  <c r="J61" i="90"/>
  <c r="K65" i="43"/>
  <c r="J65" i="90"/>
  <c r="H73" i="90"/>
  <c r="Q73" i="90" s="1"/>
  <c r="H71" i="90"/>
  <c r="Q71" i="90"/>
  <c r="K55" i="43"/>
  <c r="P39" i="47" s="1"/>
  <c r="J55" i="90"/>
  <c r="G98" i="90"/>
  <c r="R17" i="47"/>
  <c r="Q53" i="90"/>
  <c r="D33" i="90"/>
  <c r="J61" i="43"/>
  <c r="I61" i="90"/>
  <c r="N58" i="43"/>
  <c r="S56" i="47" s="1"/>
  <c r="M58" i="90"/>
  <c r="L58" i="43"/>
  <c r="K58" i="90"/>
  <c r="O61" i="43"/>
  <c r="N61" i="90"/>
  <c r="J99" i="90"/>
  <c r="Q70" i="90"/>
  <c r="H70" i="90"/>
  <c r="Q65" i="43"/>
  <c r="P65" i="90"/>
  <c r="L61" i="43"/>
  <c r="K61" i="90"/>
  <c r="H97" i="90"/>
  <c r="L97" i="90" s="1"/>
  <c r="P65" i="43"/>
  <c r="O65" i="90"/>
  <c r="N61" i="43"/>
  <c r="M61" i="90"/>
  <c r="I65" i="43"/>
  <c r="H65" i="90"/>
  <c r="J100" i="90"/>
  <c r="H68" i="90"/>
  <c r="Q68" i="90" s="1"/>
  <c r="H98" i="90"/>
  <c r="I61" i="43"/>
  <c r="H61" i="90"/>
  <c r="P55" i="43"/>
  <c r="U31" i="47" s="1"/>
  <c r="O55" i="90"/>
  <c r="P61" i="43"/>
  <c r="O61" i="90"/>
  <c r="E85" i="90"/>
  <c r="AA67" i="90"/>
  <c r="D29" i="90"/>
  <c r="K58" i="43"/>
  <c r="J58" i="90"/>
  <c r="J101" i="90"/>
  <c r="L101" i="90" s="1"/>
  <c r="H96" i="90"/>
  <c r="L96" i="90" s="1"/>
  <c r="R25" i="47"/>
  <c r="R21" i="47"/>
  <c r="D94" i="90"/>
  <c r="L94" i="90" s="1"/>
  <c r="C103" i="90"/>
  <c r="J58" i="43"/>
  <c r="I58" i="90"/>
  <c r="Q61" i="43"/>
  <c r="P61" i="90"/>
  <c r="Q58" i="43"/>
  <c r="P58" i="90"/>
  <c r="Q55" i="43"/>
  <c r="V39" i="47" s="1"/>
  <c r="P55" i="90"/>
  <c r="M55" i="43"/>
  <c r="R30" i="47" s="1"/>
  <c r="L55" i="90"/>
  <c r="N65" i="43"/>
  <c r="M65" i="90"/>
  <c r="L99" i="90"/>
  <c r="P59" i="43"/>
  <c r="O59" i="90"/>
  <c r="Q59" i="90" s="1"/>
  <c r="H74" i="90"/>
  <c r="Q74" i="90" s="1"/>
  <c r="J96" i="90"/>
  <c r="J103" i="90" s="1"/>
  <c r="J98" i="90"/>
  <c r="M61" i="43"/>
  <c r="L61" i="90"/>
  <c r="L65" i="43"/>
  <c r="K65" i="90"/>
  <c r="F102" i="43"/>
  <c r="E104" i="90"/>
  <c r="D102" i="43"/>
  <c r="C104" i="90"/>
  <c r="Q65" i="90"/>
  <c r="J97" i="90"/>
  <c r="R53" i="43"/>
  <c r="AM386" i="79"/>
  <c r="AM261" i="46"/>
  <c r="AM263" i="46" s="1"/>
  <c r="AM388" i="46"/>
  <c r="AM570" i="79"/>
  <c r="AM390" i="46"/>
  <c r="AM200" i="79"/>
  <c r="AM199" i="79"/>
  <c r="AM1118" i="79"/>
  <c r="AM1119" i="79"/>
  <c r="AM753" i="79"/>
  <c r="AM1121" i="79"/>
  <c r="AM757" i="79"/>
  <c r="I104" i="90" s="1"/>
  <c r="AM752" i="79"/>
  <c r="AM1117" i="79"/>
  <c r="AM751" i="79"/>
  <c r="AM935" i="79"/>
  <c r="AM1125" i="79"/>
  <c r="K104" i="90" s="1"/>
  <c r="AM1123" i="79"/>
  <c r="AM201" i="79"/>
  <c r="AM389" i="46"/>
  <c r="AM133" i="46"/>
  <c r="AM1120" i="79"/>
  <c r="AM1122" i="79"/>
  <c r="AM937" i="79"/>
  <c r="AM385" i="79"/>
  <c r="AM574" i="79"/>
  <c r="AM756" i="79"/>
  <c r="AM1126" i="79"/>
  <c r="AM754" i="79"/>
  <c r="AM1124" i="79"/>
  <c r="AM755" i="79"/>
  <c r="AM202" i="79"/>
  <c r="AM203" i="79"/>
  <c r="AM387" i="79"/>
  <c r="AM569" i="79"/>
  <c r="D77" i="43"/>
  <c r="AM944" i="79"/>
  <c r="K102" i="43" s="1"/>
  <c r="AM938" i="79"/>
  <c r="AM390" i="79"/>
  <c r="AM571" i="79"/>
  <c r="R71" i="43"/>
  <c r="AM576" i="79"/>
  <c r="I102" i="43" s="1"/>
  <c r="AM521" i="46"/>
  <c r="AM523" i="46" s="1"/>
  <c r="AM392" i="46"/>
  <c r="AM568" i="79"/>
  <c r="AM940" i="79"/>
  <c r="AM392" i="79"/>
  <c r="H102" i="43" s="1"/>
  <c r="AM572" i="79"/>
  <c r="AK391" i="46"/>
  <c r="AM389" i="79"/>
  <c r="G104" i="90" s="1"/>
  <c r="AM388" i="79"/>
  <c r="AM573" i="79"/>
  <c r="H104" i="90" s="1"/>
  <c r="AM934" i="79"/>
  <c r="AM936" i="79"/>
  <c r="AM1128" i="79"/>
  <c r="L102" i="43" s="1"/>
  <c r="AM205" i="79"/>
  <c r="AM939" i="79"/>
  <c r="AM758" i="79"/>
  <c r="AM942" i="79"/>
  <c r="AM941" i="79"/>
  <c r="J104" i="90" s="1"/>
  <c r="AM760" i="79"/>
  <c r="J102" i="43" s="1"/>
  <c r="D101" i="43"/>
  <c r="C101" i="43"/>
  <c r="AB204" i="79"/>
  <c r="AL575" i="79"/>
  <c r="Q70" i="43" s="1"/>
  <c r="E93" i="43"/>
  <c r="Z391" i="79"/>
  <c r="E67" i="43" s="1"/>
  <c r="D67" i="90" s="1"/>
  <c r="AA204" i="79"/>
  <c r="AG575" i="79"/>
  <c r="L70" i="43" s="1"/>
  <c r="AB391" i="79"/>
  <c r="G67" i="43" s="1"/>
  <c r="F67" i="90" s="1"/>
  <c r="AA575" i="79"/>
  <c r="R27" i="47"/>
  <c r="R29" i="47" s="1"/>
  <c r="P30" i="47"/>
  <c r="P37" i="47"/>
  <c r="P33" i="47"/>
  <c r="P56" i="47"/>
  <c r="P32" i="47"/>
  <c r="AG391" i="79"/>
  <c r="L67" i="43" s="1"/>
  <c r="AH391" i="79"/>
  <c r="M67" i="43" s="1"/>
  <c r="AB575" i="79"/>
  <c r="AI575" i="79"/>
  <c r="N70" i="43" s="1"/>
  <c r="AJ391" i="79"/>
  <c r="O67" i="43" s="1"/>
  <c r="AL391" i="79"/>
  <c r="Q67" i="43" s="1"/>
  <c r="H95" i="43"/>
  <c r="P48" i="47"/>
  <c r="AD204" i="79"/>
  <c r="K93" i="43"/>
  <c r="AF391" i="79"/>
  <c r="K67" i="43" s="1"/>
  <c r="AJ575" i="79"/>
  <c r="O70" i="43" s="1"/>
  <c r="P54" i="47"/>
  <c r="AF575" i="79"/>
  <c r="K70" i="43" s="1"/>
  <c r="AF204" i="79"/>
  <c r="AK391" i="79"/>
  <c r="P67" i="43" s="1"/>
  <c r="AG204" i="79"/>
  <c r="P34" i="47"/>
  <c r="P40" i="47"/>
  <c r="AK204" i="79"/>
  <c r="Z204" i="79"/>
  <c r="Y943" i="79"/>
  <c r="D76" i="43" s="1"/>
  <c r="C76" i="90" s="1"/>
  <c r="H76" i="90" s="1"/>
  <c r="Q76" i="90" s="1"/>
  <c r="H92" i="43"/>
  <c r="H94" i="43"/>
  <c r="AI204" i="79"/>
  <c r="AE575" i="79"/>
  <c r="J70" i="43" s="1"/>
  <c r="AD575" i="79"/>
  <c r="I70" i="43" s="1"/>
  <c r="P51" i="47"/>
  <c r="K92" i="43"/>
  <c r="AH575" i="79"/>
  <c r="M70" i="43" s="1"/>
  <c r="AC391" i="79"/>
  <c r="H67" i="43" s="1"/>
  <c r="G67" i="90" s="1"/>
  <c r="I97" i="43"/>
  <c r="H91" i="43"/>
  <c r="H96" i="43"/>
  <c r="P55" i="47"/>
  <c r="AI1127" i="79"/>
  <c r="N79" i="43" s="1"/>
  <c r="AB1127" i="79"/>
  <c r="G79" i="43" s="1"/>
  <c r="J97" i="43"/>
  <c r="I93" i="43"/>
  <c r="P50" i="47"/>
  <c r="K99" i="43"/>
  <c r="R74" i="43"/>
  <c r="J96" i="43"/>
  <c r="R68" i="43"/>
  <c r="AC204" i="79"/>
  <c r="AC575" i="79"/>
  <c r="K95" i="43"/>
  <c r="L98" i="43"/>
  <c r="J95" i="43"/>
  <c r="P47" i="47"/>
  <c r="P35" i="47"/>
  <c r="P38" i="47"/>
  <c r="AD391" i="79"/>
  <c r="I67" i="43" s="1"/>
  <c r="AD1127" i="79"/>
  <c r="I79" i="43" s="1"/>
  <c r="AF943" i="79"/>
  <c r="K76" i="43" s="1"/>
  <c r="I91" i="43"/>
  <c r="P53" i="47"/>
  <c r="P36" i="47"/>
  <c r="P31" i="47"/>
  <c r="H93" i="43"/>
  <c r="AG943" i="79"/>
  <c r="L76" i="43" s="1"/>
  <c r="AI391" i="79"/>
  <c r="N67" i="43" s="1"/>
  <c r="I96" i="43"/>
  <c r="L92" i="43"/>
  <c r="R59" i="43"/>
  <c r="P46" i="47"/>
  <c r="P52" i="47"/>
  <c r="P41" i="47"/>
  <c r="J94" i="43"/>
  <c r="L93" i="43"/>
  <c r="K91" i="43"/>
  <c r="P45" i="47"/>
  <c r="P49" i="47"/>
  <c r="L100" i="43"/>
  <c r="M100" i="43" s="1"/>
  <c r="I92" i="43"/>
  <c r="AE391" i="79"/>
  <c r="J67" i="43" s="1"/>
  <c r="O98" i="47" s="1"/>
  <c r="Z575" i="79"/>
  <c r="AH943" i="79"/>
  <c r="M76" i="43" s="1"/>
  <c r="K97" i="43"/>
  <c r="AD759" i="79"/>
  <c r="I73" i="43" s="1"/>
  <c r="J91" i="43"/>
  <c r="AE943" i="79"/>
  <c r="J76" i="43" s="1"/>
  <c r="AL1127" i="79"/>
  <c r="Q79" i="43" s="1"/>
  <c r="AK759" i="79"/>
  <c r="P73" i="43" s="1"/>
  <c r="L91" i="43"/>
  <c r="Z1127" i="79"/>
  <c r="E79" i="43" s="1"/>
  <c r="G95" i="43"/>
  <c r="AH1127" i="79"/>
  <c r="M79" i="43" s="1"/>
  <c r="AF1127" i="79"/>
  <c r="K79" i="43" s="1"/>
  <c r="AC943" i="79"/>
  <c r="H76" i="43" s="1"/>
  <c r="AG1127" i="79"/>
  <c r="L79" i="43" s="1"/>
  <c r="L96" i="43"/>
  <c r="Z759" i="79"/>
  <c r="J92" i="43"/>
  <c r="L95" i="43"/>
  <c r="AL759" i="79"/>
  <c r="Q73" i="43" s="1"/>
  <c r="AF759" i="79"/>
  <c r="K73" i="43" s="1"/>
  <c r="AD943" i="79"/>
  <c r="I76" i="43" s="1"/>
  <c r="J93" i="43"/>
  <c r="I94" i="43"/>
  <c r="Y575" i="79"/>
  <c r="AC759" i="79"/>
  <c r="K98" i="43"/>
  <c r="AK1127" i="79"/>
  <c r="P79" i="43" s="1"/>
  <c r="AJ1127" i="79"/>
  <c r="O79" i="43" s="1"/>
  <c r="AI759" i="79"/>
  <c r="N73" i="43" s="1"/>
  <c r="AA759" i="79"/>
  <c r="I95" i="43"/>
  <c r="K94" i="43"/>
  <c r="Y391" i="79"/>
  <c r="D67" i="43" s="1"/>
  <c r="C67" i="90" s="1"/>
  <c r="L97" i="43"/>
  <c r="R80" i="43"/>
  <c r="AJ943" i="79"/>
  <c r="O76" i="43" s="1"/>
  <c r="K96" i="43"/>
  <c r="AE1127" i="79"/>
  <c r="J79" i="43" s="1"/>
  <c r="AE759" i="79"/>
  <c r="J73" i="43" s="1"/>
  <c r="Z943" i="79"/>
  <c r="E76" i="43" s="1"/>
  <c r="AL943" i="79"/>
  <c r="Q76" i="43" s="1"/>
  <c r="L99" i="43"/>
  <c r="AA943" i="79"/>
  <c r="F76" i="43" s="1"/>
  <c r="AC1127" i="79"/>
  <c r="H79" i="43" s="1"/>
  <c r="AI943" i="79"/>
  <c r="N76" i="43" s="1"/>
  <c r="AB943" i="79"/>
  <c r="G76" i="43" s="1"/>
  <c r="AJ759" i="79"/>
  <c r="O73" i="43" s="1"/>
  <c r="AH759" i="79"/>
  <c r="M73" i="43" s="1"/>
  <c r="AK943" i="79"/>
  <c r="P76" i="43" s="1"/>
  <c r="AG759" i="79"/>
  <c r="L73" i="43" s="1"/>
  <c r="AB759" i="79"/>
  <c r="L94" i="43"/>
  <c r="J98" i="43"/>
  <c r="AA1127" i="79"/>
  <c r="F79" i="43" s="1"/>
  <c r="AH391" i="46"/>
  <c r="T63" i="47"/>
  <c r="S60" i="47"/>
  <c r="Q61" i="47"/>
  <c r="P62" i="47"/>
  <c r="P66" i="47"/>
  <c r="P69" i="47"/>
  <c r="P67" i="47"/>
  <c r="P61" i="47"/>
  <c r="R31" i="47"/>
  <c r="P71" i="47"/>
  <c r="P70" i="47"/>
  <c r="R34" i="47"/>
  <c r="P68" i="47"/>
  <c r="P64" i="47"/>
  <c r="R38" i="47"/>
  <c r="T47" i="47"/>
  <c r="R37" i="47"/>
  <c r="P60" i="47"/>
  <c r="P63" i="47"/>
  <c r="R39" i="47"/>
  <c r="P65" i="47"/>
  <c r="AJ204" i="79"/>
  <c r="Q27" i="47"/>
  <c r="Q29" i="47" s="1"/>
  <c r="Q42" i="47" s="1"/>
  <c r="Q44" i="47" s="1"/>
  <c r="P27" i="47"/>
  <c r="P29" i="47" s="1"/>
  <c r="Q60" i="47"/>
  <c r="Q67" i="47"/>
  <c r="Q69" i="47"/>
  <c r="Q50" i="47"/>
  <c r="R40" i="47"/>
  <c r="Q71" i="47"/>
  <c r="R41" i="47"/>
  <c r="R33" i="47"/>
  <c r="AL204" i="79"/>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R61"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K28" i="47" s="1"/>
  <c r="M64" i="43" l="1"/>
  <c r="L64" i="90"/>
  <c r="Q64" i="43"/>
  <c r="P64" i="90"/>
  <c r="N64" i="43"/>
  <c r="M64" i="90"/>
  <c r="L64" i="43"/>
  <c r="Q82" i="47" s="1"/>
  <c r="K64" i="90"/>
  <c r="D35" i="90" s="1"/>
  <c r="I64" i="43"/>
  <c r="H64" i="90"/>
  <c r="H67" i="90"/>
  <c r="H85" i="90" s="1"/>
  <c r="F85" i="90"/>
  <c r="D30" i="90"/>
  <c r="AB67" i="90"/>
  <c r="D40" i="90"/>
  <c r="G18" i="90"/>
  <c r="L98" i="90"/>
  <c r="L103" i="90" s="1"/>
  <c r="M58" i="43"/>
  <c r="R68" i="47" s="1"/>
  <c r="L58" i="90"/>
  <c r="P64" i="43"/>
  <c r="O64" i="90"/>
  <c r="P58" i="43"/>
  <c r="U47" i="47" s="1"/>
  <c r="O58" i="90"/>
  <c r="D39" i="90" s="1"/>
  <c r="Q58" i="90"/>
  <c r="Q55" i="90"/>
  <c r="D103" i="90"/>
  <c r="H103" i="90"/>
  <c r="G85" i="90"/>
  <c r="AC67" i="90"/>
  <c r="D31" i="90"/>
  <c r="K64" i="43"/>
  <c r="P83" i="47" s="1"/>
  <c r="J64" i="90"/>
  <c r="G102" i="43"/>
  <c r="F104" i="90"/>
  <c r="E102" i="43"/>
  <c r="D104" i="90"/>
  <c r="R77" i="43"/>
  <c r="C77" i="90"/>
  <c r="H77" i="90" s="1"/>
  <c r="Q77" i="90" s="1"/>
  <c r="L104" i="90"/>
  <c r="D36" i="90"/>
  <c r="Q61" i="90"/>
  <c r="O64" i="43"/>
  <c r="T75" i="47" s="1"/>
  <c r="N64" i="90"/>
  <c r="D38" i="90" s="1"/>
  <c r="Y67" i="90"/>
  <c r="D27" i="90"/>
  <c r="C85" i="90"/>
  <c r="Q67" i="90"/>
  <c r="D85" i="90"/>
  <c r="D28" i="90"/>
  <c r="Z67" i="90"/>
  <c r="D37" i="90"/>
  <c r="G103" i="90"/>
  <c r="E31" i="43"/>
  <c r="E28" i="43"/>
  <c r="I90" i="47"/>
  <c r="E27" i="43"/>
  <c r="E29" i="43"/>
  <c r="L81" i="47"/>
  <c r="E30" i="43"/>
  <c r="H18" i="43"/>
  <c r="AM391" i="46"/>
  <c r="AM393" i="46" s="1"/>
  <c r="U63" i="47"/>
  <c r="U71" i="47"/>
  <c r="AM204" i="79"/>
  <c r="AM206" i="79" s="1"/>
  <c r="AM1127" i="79"/>
  <c r="AM1129" i="79" s="1"/>
  <c r="U48" i="47"/>
  <c r="U50" i="47"/>
  <c r="AM759" i="79"/>
  <c r="AM761" i="79" s="1"/>
  <c r="U61" i="47"/>
  <c r="U65" i="47"/>
  <c r="U49" i="47"/>
  <c r="U56" i="47"/>
  <c r="U68" i="47"/>
  <c r="U70" i="47"/>
  <c r="U45" i="47"/>
  <c r="U46" i="47"/>
  <c r="U60" i="47"/>
  <c r="U66" i="47"/>
  <c r="U69" i="47"/>
  <c r="U52" i="47"/>
  <c r="AM575" i="79"/>
  <c r="AM577" i="79" s="1"/>
  <c r="AM391" i="79"/>
  <c r="AM393" i="79" s="1"/>
  <c r="U62" i="47"/>
  <c r="U64" i="47"/>
  <c r="U54" i="47"/>
  <c r="U55" i="47"/>
  <c r="U67" i="47"/>
  <c r="U53" i="47"/>
  <c r="U51" i="47"/>
  <c r="AM943" i="79"/>
  <c r="AM945"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O27" i="47"/>
  <c r="O29" i="47" s="1"/>
  <c r="J27" i="47"/>
  <c r="M27" i="47"/>
  <c r="L27" i="47"/>
  <c r="N27" i="47"/>
  <c r="N29" i="47" s="1"/>
  <c r="K29" i="47"/>
  <c r="D41" i="90" l="1"/>
  <c r="U83" i="47"/>
  <c r="D32" i="90"/>
  <c r="Q64" i="90"/>
  <c r="G17" i="90" s="1"/>
  <c r="D34" i="90"/>
  <c r="M28" i="47"/>
  <c r="M29" i="47" s="1"/>
  <c r="M42" i="47" s="1"/>
  <c r="J28" i="47"/>
  <c r="J29" i="47" s="1"/>
  <c r="J42" i="47" s="1"/>
  <c r="L28" i="47"/>
  <c r="L29" i="47" s="1"/>
  <c r="L42" i="47" s="1"/>
  <c r="L43" i="47" s="1"/>
  <c r="I28" i="47"/>
  <c r="I29" i="47" s="1"/>
  <c r="I42" i="47" s="1"/>
  <c r="H17" i="43"/>
  <c r="U57" i="47"/>
  <c r="U59" i="47" s="1"/>
  <c r="U72" i="47" s="1"/>
  <c r="U74" i="47" s="1"/>
  <c r="U87" i="47" s="1"/>
  <c r="U89" i="47" s="1"/>
  <c r="U102" i="47" s="1"/>
  <c r="O82" i="90" s="1"/>
  <c r="M101" i="43"/>
  <c r="W27" i="47"/>
  <c r="C103" i="43" s="1"/>
  <c r="Q87" i="47"/>
  <c r="Q89" i="47" s="1"/>
  <c r="Q102" i="47" s="1"/>
  <c r="K82" i="90" s="1"/>
  <c r="P87" i="47"/>
  <c r="P89" i="47" s="1"/>
  <c r="P102" i="47" s="1"/>
  <c r="J82" i="90" s="1"/>
  <c r="S87" i="47"/>
  <c r="S89" i="47" s="1"/>
  <c r="S102" i="47" s="1"/>
  <c r="M82" i="90" s="1"/>
  <c r="R57" i="47"/>
  <c r="R59" i="47" s="1"/>
  <c r="R72" i="47" s="1"/>
  <c r="R74" i="47" s="1"/>
  <c r="R87" i="47" s="1"/>
  <c r="R89" i="47" s="1"/>
  <c r="R102" i="47" s="1"/>
  <c r="L82" i="90" s="1"/>
  <c r="V87" i="47"/>
  <c r="V89" i="47" s="1"/>
  <c r="V102" i="47" s="1"/>
  <c r="P82" i="90" s="1"/>
  <c r="T87" i="47"/>
  <c r="T89" i="47" s="1"/>
  <c r="T102" i="47" s="1"/>
  <c r="N82" i="90"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O42" i="47"/>
  <c r="O44" i="47" s="1"/>
  <c r="O57" i="47" s="1"/>
  <c r="O59" i="47" s="1"/>
  <c r="N42" i="47"/>
  <c r="N44" i="47" s="1"/>
  <c r="N57" i="47" s="1"/>
  <c r="N59" i="47" s="1"/>
  <c r="E38" i="90" l="1"/>
  <c r="F38" i="90" s="1"/>
  <c r="N83" i="90"/>
  <c r="E34" i="90"/>
  <c r="J83" i="90"/>
  <c r="E39" i="90"/>
  <c r="F39" i="90" s="1"/>
  <c r="O83" i="90"/>
  <c r="E40" i="90"/>
  <c r="F40" i="90" s="1"/>
  <c r="P83" i="90"/>
  <c r="E35" i="90"/>
  <c r="F35" i="90" s="1"/>
  <c r="K83" i="90"/>
  <c r="E36" i="90"/>
  <c r="F36" i="90" s="1"/>
  <c r="L83" i="90"/>
  <c r="E37" i="90"/>
  <c r="F37" i="90" s="1"/>
  <c r="M83" i="90"/>
  <c r="F34" i="90"/>
  <c r="I43" i="47"/>
  <c r="I44" i="47" s="1"/>
  <c r="I57" i="47" s="1"/>
  <c r="J43" i="47"/>
  <c r="J44" i="47" s="1"/>
  <c r="J57" i="47" s="1"/>
  <c r="M43" i="47"/>
  <c r="M44" i="47" s="1"/>
  <c r="M57" i="47" s="1"/>
  <c r="V104" i="47"/>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N72" i="47"/>
  <c r="N74" i="47" s="1"/>
  <c r="N87" i="47" s="1"/>
  <c r="N89" i="47" s="1"/>
  <c r="N102" i="47" s="1"/>
  <c r="O72" i="47"/>
  <c r="O74" i="47" s="1"/>
  <c r="O87" i="47" s="1"/>
  <c r="O89" i="47" s="1"/>
  <c r="O102" i="47" s="1"/>
  <c r="I82" i="90" s="1"/>
  <c r="L44" i="47"/>
  <c r="L57" i="47" s="1"/>
  <c r="E33" i="90" l="1"/>
  <c r="F33" i="90" s="1"/>
  <c r="I83" i="90"/>
  <c r="M58" i="47"/>
  <c r="M59" i="47" s="1"/>
  <c r="M72" i="47" s="1"/>
  <c r="J58" i="47"/>
  <c r="J59" i="47" s="1"/>
  <c r="J72" i="47" s="1"/>
  <c r="I58" i="47"/>
  <c r="I59" i="47" s="1"/>
  <c r="I72" i="47" s="1"/>
  <c r="L58" i="47"/>
  <c r="L59" i="47" s="1"/>
  <c r="L72" i="47" s="1"/>
  <c r="F36" i="43"/>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F38" i="43"/>
  <c r="G38" i="43" s="1"/>
  <c r="F35" i="43"/>
  <c r="G35" i="43" s="1"/>
  <c r="N104" i="47"/>
  <c r="N117" i="47" s="1"/>
  <c r="N119" i="47" s="1"/>
  <c r="N132" i="47" s="1"/>
  <c r="N134" i="47" s="1"/>
  <c r="N147" i="47" s="1"/>
  <c r="N149" i="47" s="1"/>
  <c r="N162" i="47" s="1"/>
  <c r="I82" i="43"/>
  <c r="L73" i="47" l="1"/>
  <c r="L74" i="47" s="1"/>
  <c r="L87" i="47" s="1"/>
  <c r="L88" i="47" s="1"/>
  <c r="L89" i="47" s="1"/>
  <c r="L102" i="47" s="1"/>
  <c r="J73" i="47"/>
  <c r="J74" i="47" s="1"/>
  <c r="J87" i="47" s="1"/>
  <c r="J88" i="47" s="1"/>
  <c r="J89" i="47" s="1"/>
  <c r="J102" i="47" s="1"/>
  <c r="I73" i="47"/>
  <c r="I74" i="47" s="1"/>
  <c r="I87" i="47" s="1"/>
  <c r="I88" i="47" s="1"/>
  <c r="I89" i="47" s="1"/>
  <c r="I102" i="47" s="1"/>
  <c r="I104" i="47" s="1"/>
  <c r="I117" i="47" s="1"/>
  <c r="I119" i="47" s="1"/>
  <c r="I132" i="47" s="1"/>
  <c r="M73" i="47"/>
  <c r="M74" i="47" s="1"/>
  <c r="M87" i="47" s="1"/>
  <c r="M88" i="47" s="1"/>
  <c r="M89" i="47" s="1"/>
  <c r="M102" i="47" s="1"/>
  <c r="F32" i="43"/>
  <c r="G32" i="43" s="1"/>
  <c r="I83" i="43"/>
  <c r="F33" i="43"/>
  <c r="G33" i="43" s="1"/>
  <c r="J104" i="47" l="1"/>
  <c r="J117" i="47" s="1"/>
  <c r="J119" i="47" s="1"/>
  <c r="J132" i="47" s="1"/>
  <c r="J134" i="47" s="1"/>
  <c r="J147" i="47" s="1"/>
  <c r="J149" i="47" s="1"/>
  <c r="J162" i="47" s="1"/>
  <c r="D82" i="90"/>
  <c r="M104" i="47"/>
  <c r="M117" i="47" s="1"/>
  <c r="M119" i="47" s="1"/>
  <c r="M132" i="47" s="1"/>
  <c r="M134" i="47" s="1"/>
  <c r="M147" i="47" s="1"/>
  <c r="H82" i="43" s="1"/>
  <c r="G82" i="90"/>
  <c r="L104" i="47"/>
  <c r="L117" i="47" s="1"/>
  <c r="L119" i="47" s="1"/>
  <c r="L132" i="47" s="1"/>
  <c r="L134" i="47" s="1"/>
  <c r="L147" i="47" s="1"/>
  <c r="L149" i="47" s="1"/>
  <c r="L162" i="47" s="1"/>
  <c r="F82" i="90"/>
  <c r="E82" i="43"/>
  <c r="D86" i="90" s="1"/>
  <c r="M149" i="47"/>
  <c r="M162" i="47" s="1"/>
  <c r="F28" i="43"/>
  <c r="G28" i="43" s="1"/>
  <c r="I134" i="47"/>
  <c r="I147" i="47" s="1"/>
  <c r="W42" i="47"/>
  <c r="K42" i="47"/>
  <c r="K43" i="47" s="1"/>
  <c r="F31" i="43" l="1"/>
  <c r="G31" i="43" s="1"/>
  <c r="G86" i="90"/>
  <c r="G87" i="90" s="1"/>
  <c r="G82" i="43"/>
  <c r="E31" i="90"/>
  <c r="F31" i="90" s="1"/>
  <c r="G83" i="90"/>
  <c r="D87" i="90"/>
  <c r="D103" i="43"/>
  <c r="C105" i="90"/>
  <c r="C106" i="90" s="1"/>
  <c r="E83" i="43"/>
  <c r="E30" i="90"/>
  <c r="F30" i="90" s="1"/>
  <c r="F83" i="90"/>
  <c r="D83" i="90"/>
  <c r="E28" i="90"/>
  <c r="F28" i="90" s="1"/>
  <c r="H83" i="43"/>
  <c r="I149" i="47"/>
  <c r="I162" i="47" s="1"/>
  <c r="D82" i="43"/>
  <c r="F27" i="43" s="1"/>
  <c r="G27" i="43" s="1"/>
  <c r="D104" i="43"/>
  <c r="K44" i="47"/>
  <c r="K57" i="47" s="1"/>
  <c r="W44" i="47"/>
  <c r="W57" i="47" s="1"/>
  <c r="D105" i="90" s="1"/>
  <c r="D106" i="90" s="1"/>
  <c r="G83" i="43" l="1"/>
  <c r="F86" i="90"/>
  <c r="F87" i="90" s="1"/>
  <c r="F30" i="43"/>
  <c r="G30" i="43" s="1"/>
  <c r="D83" i="43"/>
  <c r="C83" i="90" s="1"/>
  <c r="C82" i="90"/>
  <c r="C86" i="90"/>
  <c r="K58" i="47"/>
  <c r="K59" i="47" s="1"/>
  <c r="K72" i="47" s="1"/>
  <c r="W59" i="47"/>
  <c r="W72" i="47" s="1"/>
  <c r="E105" i="90" s="1"/>
  <c r="E103" i="43"/>
  <c r="C87" i="90" l="1"/>
  <c r="E106" i="90"/>
  <c r="E27" i="90"/>
  <c r="F27" i="90" s="1"/>
  <c r="K73" i="47"/>
  <c r="K74" i="47" s="1"/>
  <c r="K87" i="47" s="1"/>
  <c r="K88" i="47" s="1"/>
  <c r="K89" i="47" s="1"/>
  <c r="K102" i="47" s="1"/>
  <c r="W74" i="47"/>
  <c r="W87" i="47" s="1"/>
  <c r="F105" i="90" s="1"/>
  <c r="F106" i="90" s="1"/>
  <c r="F103" i="43"/>
  <c r="F104" i="43" s="1"/>
  <c r="E104" i="43"/>
  <c r="K104" i="47" l="1"/>
  <c r="K117" i="47" s="1"/>
  <c r="K119" i="47" s="1"/>
  <c r="K132" i="47" s="1"/>
  <c r="K134" i="47" s="1"/>
  <c r="K147" i="47" s="1"/>
  <c r="K149" i="47" s="1"/>
  <c r="K162" i="47" s="1"/>
  <c r="E82" i="90"/>
  <c r="F82" i="43"/>
  <c r="W89" i="47"/>
  <c r="W102" i="47" s="1"/>
  <c r="G105" i="90" s="1"/>
  <c r="G103" i="43"/>
  <c r="R82" i="43" l="1"/>
  <c r="R83" i="43" s="1"/>
  <c r="E86" i="90"/>
  <c r="F29" i="43"/>
  <c r="F41" i="43" s="1"/>
  <c r="G106" i="90"/>
  <c r="F83" i="43"/>
  <c r="E29" i="90"/>
  <c r="F29" i="90" s="1"/>
  <c r="E83" i="90"/>
  <c r="H83" i="90" s="1"/>
  <c r="H82" i="90"/>
  <c r="E32" i="90" s="1"/>
  <c r="Q82" i="90"/>
  <c r="H19" i="43"/>
  <c r="H20" i="43" s="1"/>
  <c r="G29" i="43"/>
  <c r="G41" i="43" s="1"/>
  <c r="G104" i="43"/>
  <c r="W104" i="47"/>
  <c r="W117" i="47" s="1"/>
  <c r="H105" i="90" s="1"/>
  <c r="H106" i="90" s="1"/>
  <c r="H103" i="43"/>
  <c r="H104" i="43" s="1"/>
  <c r="G19" i="90" l="1"/>
  <c r="G20" i="90" s="1"/>
  <c r="Q83" i="90"/>
  <c r="E87" i="90"/>
  <c r="H86" i="90"/>
  <c r="H87" i="90" s="1"/>
  <c r="E41" i="90"/>
  <c r="F32" i="90"/>
  <c r="F41" i="90" s="1"/>
  <c r="W119" i="47"/>
  <c r="W132" i="47" s="1"/>
  <c r="I105" i="90" s="1"/>
  <c r="I106" i="90" s="1"/>
  <c r="I103" i="43"/>
  <c r="I104" i="43" s="1"/>
  <c r="W134" i="47" l="1"/>
  <c r="W147" i="47" s="1"/>
  <c r="J105" i="90" s="1"/>
  <c r="J106" i="90" s="1"/>
  <c r="J103" i="43"/>
  <c r="J104" i="43" l="1"/>
  <c r="K103" i="43"/>
  <c r="K104" i="43" s="1"/>
  <c r="W149" i="47"/>
  <c r="W162" i="47" s="1"/>
  <c r="L103" i="43" l="1"/>
  <c r="L104" i="43" s="1"/>
  <c r="K105" i="90"/>
  <c r="M103" i="43"/>
  <c r="M104" i="43" s="1"/>
  <c r="K106" i="90" l="1"/>
  <c r="L105" i="90"/>
  <c r="L106" i="90"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<sst xmlns="http://schemas.openxmlformats.org/spreadsheetml/2006/main" count="4229" uniqueCount="711">
  <si>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</si>
  <si>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</si>
  <si>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</si>
  <si>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</si>
  <si>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</si>
  <si>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</si>
  <si>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</si>
  <si>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</si>
  <si>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</si>
  <si>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</si>
  <si>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</si>
  <si>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</si>
  <si>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</si>
  <si>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</si>
  <si>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</si>
  <si>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</si>
  <si>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</si>
  <si>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</si>
  <si>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</si>
  <si>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</si>
  <si>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</si>
  <si>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</si>
  <si>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</si>
  <si>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</si>
  <si>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</si>
  <si>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</si>
  <si>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</si>
  <si>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</si>
  <si>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</si>
  <si>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</si>
  <si>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</si>
  <si>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</si>
  <si>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</si>
  <si>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</si>
  <si>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</si>
  <si>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</si>
  <si>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</si>
  <si>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</si>
  <si>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</si>
  <si>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</si>
  <si>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</si>
  <si>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</si>
  <si>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</si>
  <si>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</si>
  <si>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</si>
  <si>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</si>
  <si>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</si>
  <si>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</si>
  <si>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</si>
  <si>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</si>
  <si>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</si>
  <si>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</si>
  <si>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</si>
  <si>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</si>
  <si>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</si>
  <si>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</si>
  <si>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</si>
  <si>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</si>
  <si>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</si>
  <si>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</si>
  <si>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</si>
  <si>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</si>
  <si>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</si>
  <si>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</si>
  <si>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</si>
  <si>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</si>
  <si>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</si>
  <si>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</si>
  <si>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</si>
  <si>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</si>
  <si>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</si>
  <si>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</si>
  <si>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</si>
  <si>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</si>
  <si>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</si>
  <si>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</si>
  <si>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</si>
  <si>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</si>
  <si>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</si>
  <si>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</si>
  <si>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</si>
  <si>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</si>
  <si>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</si>
  <si>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</si>
  <si>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</si>
  <si>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</si>
  <si>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</si>
  <si>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</si>
  <si>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</si>
  <si>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</si>
  <si>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</si>
  <si>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</si>
  <si>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</si>
  <si>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</si>
  <si>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</si>
  <si>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</si>
  <si>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</si>
  <si>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</si>
  <si>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</si>
  <si>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</si>
  <si>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</si>
  <si>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</si>
  <si>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</si>
  <si>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</si>
  <si>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</si>
  <si>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</si>
  <si>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</si>
  <si>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</si>
  <si>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</si>
  <si>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</si>
  <si>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</si>
  <si>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</si>
  <si>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</si>
  <si>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</si>
  <si>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</si>
  <si>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</si>
  <si>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</si>
  <si>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</si>
  <si>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</si>
  <si>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</si>
  <si>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</si>
  <si>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</si>
  <si>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</si>
  <si>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</si>
  <si>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</si>
  <si>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</si>
  <si>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</si>
  <si>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</si>
  <si>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</si>
  <si>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</si>
  <si>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</si>
  <si>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</si>
  <si>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</si>
  <si>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</si>
  <si>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</si>
  <si>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</si>
  <si>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</si>
  <si>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</si>
  <si>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</si>
  <si>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</si>
  <si>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</si>
  <si>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</si>
  <si>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</si>
  <si>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</si>
  <si>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</si>
  <si>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</si>
  <si>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</si>
  <si>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</si>
  <si>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</si>
  <si>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</si>
  <si>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</si>
  <si>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</si>
  <si>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</si>
  <si>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</si>
  <si>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</si>
  <si>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</si>
  <si>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</si>
  <si>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</si>
  <si>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</si>
  <si>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</si>
  <si>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</si>
  <si>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</si>
  <si>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</si>
  <si>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</si>
  <si>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</si>
  <si>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</si>
  <si>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</si>
  <si>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</si>
  <si>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</si>
  <si>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</si>
  <si>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</si>
  <si>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</si>
  <si>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</si>
  <si>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</si>
  <si>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</si>
  <si>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</si>
  <si>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</si>
  <si>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</si>
  <si>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</si>
  <si>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</si>
  <si>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</si>
  <si>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</si>
  <si>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</si>
  <si>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</si>
  <si>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</si>
  <si>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</si>
  <si>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</si>
  <si>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</si>
  <si>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</si>
  <si>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</si>
  <si>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</si>
  <si>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</si>
  <si>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</si>
  <si>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</si>
  <si>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</si>
  <si>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</si>
  <si>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</si>
  <si>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</si>
  <si>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</si>
  <si>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</si>
  <si>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</si>
  <si>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</si>
  <si>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</si>
  <si>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</si>
  <si>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</si>
  <si>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</si>
  <si>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</si>
  <si>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</si>
  <si>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</si>
  <si>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</si>
  <si>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</si>
  <si>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</si>
  <si>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</si>
  <si>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</si>
  <si>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</si>
  <si>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</si>
  <si>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</si>
  <si>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</si>
  <si>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</si>
  <si>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</si>
  <si>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</si>
  <si>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</si>
  <si>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</si>
  <si>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</si>
  <si>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</si>
  <si>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</si>
  <si>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</si>
  <si>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</si>
  <si>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</si>
  <si>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</si>
  <si>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</si>
  <si>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</si>
  <si>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</si>
  <si>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</si>
  <si>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</si>
  <si>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</si>
  <si>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</si>
  <si>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</si>
  <si>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</si>
  <si>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</si>
  <si>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</si>
  <si>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</si>
  <si>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</si>
  <si>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</si>
  <si>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</si>
  <si>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</si>
  <si>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</si>
  <si>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</si>
  <si>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</si>
  <si>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</si>
  <si>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</si>
  <si>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</si>
  <si>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</si>
  <si>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</si>
  <si>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</si>
  <si>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</si>
  <si>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</si>
  <si>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</si>
  <si>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</si>
  <si>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</si>
  <si>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</si>
  <si>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</si>
  <si>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</si>
  <si>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</si>
  <si>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</si>
  <si>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</si>
  <si>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</si>
  <si>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</si>
  <si>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</si>
  <si>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</si>
  <si>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</si>
  <si>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</si>
  <si>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</si>
  <si>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</si>
  <si>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</si>
  <si>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</si>
  <si>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</si>
  <si>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</si>
  <si>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</si>
  <si>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</si>
  <si>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</si>
  <si>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</si>
  <si>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</si>
  <si>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</si>
  <si>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</si>
  <si>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</si>
  <si>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</si>
  <si>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</si>
  <si>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</si>
  <si>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</si>
  <si>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</si>
  <si>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</si>
  <si>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</si>
  <si>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</si>
  <si>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</si>
  <si>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</si>
  <si>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</si>
  <si>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</si>
  <si>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</si>
  <si>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</si>
  <si>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</si>
  <si>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</si>
  <si>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</si>
  <si>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</si>
  <si>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</si>
  <si>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</si>
  <si>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</si>
  <si>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</si>
  <si>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</si>
  <si>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</si>
  <si>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</si>
  <si>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</si>
  <si>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</si>
  <si>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</si>
  <si>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</si>
  <si>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</si>
  <si>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</si>
  <si>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</si>
  <si>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</si>
  <si>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</si>
  <si>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</si>
  <si>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</si>
  <si>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</si>
  <si>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</si>
  <si>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</si>
  <si>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</si>
  <si>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</si>
  <si>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</si>
  <si>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</si>
  <si>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</si>
  <si>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</si>
  <si>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</si>
  <si>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</si>
  <si>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</si>
  <si>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</si>
  <si>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</si>
  <si>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</si>
  <si>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</si>
  <si>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</si>
  <si>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</si>
  <si>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</si>
  <si>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</si>
  <si>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</si>
  <si>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</si>
  <si>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</si>
  <si>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</si>
  <si>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</si>
  <si>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</si>
  <si>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</si>
  <si>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</si>
  <si>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</si>
  <si>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</si>
  <si>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</si>
  <si>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</si>
  <si>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</si>
  <si>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</si>
  <si>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</si>
  <si>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</si>
  <si>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</si>
  <si>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</si>
  <si>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</si>
  <si>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</si>
  <si>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</si>
  <si>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</si>
  <si>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</si>
  <si>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</si>
  <si>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</si>
  <si>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</si>
  <si>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</si>
  <si>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</si>
  <si>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</si>
  <si>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</si>
  <si>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</si>
  <si>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</si>
  <si>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</si>
  <si>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</si>
  <si>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</si>
  <si>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</si>
  <si>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</si>
  <si>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</si>
  <si>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</si>
  <si>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</si>
  <si>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</si>
  <si>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</si>
  <si>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</si>
  <si>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</si>
  <si>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</si>
  <si>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</si>
  <si>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</si>
  <si>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</si>
  <si>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</si>
  <si>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</si>
  <si>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</si>
  <si>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</si>
  <si>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</si>
  <si>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</si>
  <si>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</si>
  <si>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</si>
  <si>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</si>
  <si>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</si>
  <si>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</si>
  <si>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</si>
  <si>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</si>
  <si>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</si>
  <si>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</si>
  <si>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</si>
  <si>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</si>
  <si>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</si>
  <si>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</si>
  <si>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</si>
  <si>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</si>
  <si>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</si>
  <si>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</si>
  <si>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</si>
  <si>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</si>
  <si>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</si>
  <si>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</si>
  <si>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</si>
  <si>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</si>
  <si>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</si>
  <si>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</si>
  <si>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</si>
  <si>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</si>
  <si>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</si>
  <si>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</si>
  <si>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</si>
  <si>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</si>
  <si>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</si>
  <si>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</si>
  <si>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</si>
  <si>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</si>
  <si>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</si>
  <si>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</si>
  <si>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</si>
  <si>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</si>
  <si>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</si>
  <si>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</si>
  <si>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</si>
  <si>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</si>
  <si>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</si>
  <si>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</si>
  <si>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</si>
  <si>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</si>
  <si>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</si>
  <si>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</si>
  <si>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</si>
  <si>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</si>
  <si>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</si>
  <si>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</si>
  <si>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</si>
  <si>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</si>
  <si>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</si>
  <si>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</si>
  <si>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</si>
  <si>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</si>
  <si>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</si>
  <si>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</si>
  <si>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</si>
  <si>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</si>
  <si>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</si>
  <si>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</si>
  <si>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</si>
  <si>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</si>
  <si>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</si>
  <si>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</si>
  <si>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</si>
  <si>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</si>
  <si>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</si>
  <si>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</si>
  <si>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</si>
  <si>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</si>
  <si>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</si>
  <si>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</si>
  <si>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</si>
  <si>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</si>
  <si>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</si>
  <si>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</si>
  <si>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</si>
  <si>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</si>
  <si>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</si>
  <si>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</si>
  <si>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</si>
  <si>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</si>
  <si>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</si>
  <si>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</si>
  <si>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</si>
  <si>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</si>
  <si>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</si>
  <si>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</si>
  <si>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</si>
  <si>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</si>
  <si>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</si>
  <si>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</si>
  <si>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</si>
  <si>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</si>
  <si>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</si>
  <si>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</si>
  <si>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</si>
  <si>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</si>
  <si>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</si>
  <si>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</si>
  <si>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</si>
  <si>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</si>
  <si>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</si>
  <si>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</si>
  <si>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</si>
  <si>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</si>
  <si>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</si>
  <si>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</si>
  <si>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</si>
  <si>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</si>
  <si>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</si>
  <si>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</si>
  <si>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</si>
  <si>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</si>
  <si>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</si>
  <si>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</si>
  <si>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</si>
  <si>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</si>
  <si>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</si>
  <si>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</si>
  <si>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</si>
  <si>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</si>
  <si>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</si>
  <si>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</si>
  <si>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</si>
  <si>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</si>
  <si>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</si>
  <si>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</si>
  <si>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</si>
  <si>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</si>
  <si>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</si>
  <si>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</si>
  <si>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</si>
  <si>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</si>
  <si>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</si>
  <si>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</si>
  <si>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</si>
  <si>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</si>
  <si>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</si>
  <si>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</si>
  <si>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</si>
  <si>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</si>
  <si>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</si>
  <si>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</si>
  <si>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</si>
  <si>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</si>
  <si>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</si>
  <si>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</si>
  <si>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</si>
  <si>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</si>
  <si>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</si>
  <si>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</si>
  <si>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</si>
  <si>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</si>
  <si>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</si>
  <si>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</si>
  <si>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</si>
  <si>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</si>
  <si>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</si>
  <si>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</si>
  <si>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</si>
  <si>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</si>
  <si>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</si>
  <si>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</si>
  <si>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</si>
  <si>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</si>
  <si>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</si>
  <si>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</si>
  <si>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</si>
  <si>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</si>
  <si>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</si>
  <si>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</si>
  <si>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</si>
  <si>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</si>
  <si>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</si>
  <si>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</si>
  <si>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</si>
  <si>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</si>
  <si>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</si>
  <si>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</si>
  <si>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</si>
  <si>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</si>
  <si>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</si>
  <si>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</si>
  <si>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</si>
  <si>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</si>
  <si>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</si>
  <si>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</si>
  <si>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</si>
  <si>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</si>
  <si>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</si>
  <si>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</si>
  <si>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</si>
  <si>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</si>
  <si>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</si>
  <si>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</si>
  <si>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</si>
  <si>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</si>
  <si>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</si>
  <si>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</si>
  <si>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</si>
  <si>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</si>
  <si>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</si>
  <si>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</si>
  <si>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</si>
  <si>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</si>
  <si>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</si>
  <si>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</si>
  <si>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</si>
  <si>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</si>
  <si>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</si>
  <si>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</si>
  <si>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</si>
  <si>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</si>
  <si>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</si>
  <si>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</si>
  <si>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</si>
  <si>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</si>
  <si>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</si>
  <si>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</si>
  <si>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</si>
  <si>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</si>
  <si>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</si>
  <si>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</si>
  <si>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</si>
  <si>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</si>
  <si>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</si>
  <si>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</si>
  <si>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</si>
  <si>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</si>
  <si>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</si>
  <si>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</si>
  <si>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</si>
  <si>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</si>
  <si>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</si>
  <si>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</si>
  <si>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</si>
  <si>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</si>
  <si>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</si>
  <si>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</si>
  <si>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</si>
  <si>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</si>
  <si>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</si>
  <si>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</si>
  <si>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</si>
  <si>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</si>
  <si>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</si>
  <si>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</si>
  <si>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</si>
  <si>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</si>
  <si>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</si>
  <si>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</si>
  <si>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</si>
  <si>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</si>
  <si>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</si>
  <si>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</si>
  <si>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</si>
  <si>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</si>
  <si>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</si>
  <si>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</si>
  <si>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</si>
  <si>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</si>
  <si>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</si>
  <si>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</si>
  <si>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</si>
  <si>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</si>
  <si>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</si>
  <si>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</si>
  <si>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</si>
  <si>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</si>
  <si>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</si>
  <si>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</si>
  <si>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</si>
  <si>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</si>
  <si>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</si>
  <si>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</si>
  <si>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</si>
  <si>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</si>
  <si>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</si>
  <si>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</si>
  <si>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</si>
  <si>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EB-2017-0034</t>
  </si>
  <si>
    <t>2018 COS/IRM Application</t>
  </si>
  <si>
    <t>Streetlights</t>
  </si>
  <si>
    <t>RetrofitIndustrial</t>
  </si>
  <si>
    <t>Industrial</t>
  </si>
  <si>
    <t>Business</t>
  </si>
  <si>
    <t>COLLUS Power Corp.</t>
  </si>
  <si>
    <t>Business &amp; Industrial</t>
  </si>
  <si>
    <t>COLLUS PowerStream Corp.</t>
  </si>
  <si>
    <t>Whole Home Pilot Program</t>
  </si>
  <si>
    <t>Home Depot Home Appliance Market Uplift Conservation Fund Pilot Program</t>
  </si>
  <si>
    <t>2013 Settlement Agreement, p. 23/24 of 43</t>
  </si>
  <si>
    <t>KWh</t>
  </si>
  <si>
    <t>EB-2018-0025</t>
  </si>
  <si>
    <t>2017-0034</t>
  </si>
  <si>
    <t>2013 COS</t>
  </si>
  <si>
    <t>2013-2015</t>
  </si>
  <si>
    <t>EB-2009-0220</t>
  </si>
  <si>
    <t>EB-2010-0076</t>
  </si>
  <si>
    <t>EB-2011-0163</t>
  </si>
  <si>
    <t>EB-2012-0116</t>
  </si>
  <si>
    <t>EB-2013-0121</t>
  </si>
  <si>
    <t>EB-2014-0065</t>
  </si>
  <si>
    <t>EB-2015-0062</t>
  </si>
  <si>
    <t>EB-2016-0064</t>
  </si>
  <si>
    <t>Variance</t>
  </si>
  <si>
    <t/>
  </si>
  <si>
    <t>20XX COS/IRM Application</t>
  </si>
  <si>
    <t>20XX-20XX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</si>
</sst>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5" formatCode="&quot;$&quot;#,##0_);\(&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8.25"/>
      <color rgb="FF000000"/>
      <name val="Microsoft Sans Serif"/>
      <family val="2"/>
    </font>
    <font>
      <b/>
      <i/>
      <sz val="16"/>
      <color rgb="FFFF0000"/>
      <name val="Arial"/>
      <family val="2"/>
    </font>
    <font>
      <b/>
      <u/>
      <sz val="11"/>
      <name val="Arial"/>
      <family val="2"/>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233A81"/>
        <bgColor indexed="64"/>
      </patternFill>
    </fill>
    <fill>
      <patternFill patternType="solid">
        <fgColor rgb="FF233A81"/>
        <bgColor rgb="FF000000"/>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977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40" fillId="0" borderId="0" applyAlignment="0"/>
    <xf numFmtId="44" fontId="240" fillId="0" borderId="0" applyFont="0" applyFill="0" applyBorder="0" applyAlignment="0" applyProtection="0"/>
  </cellStyleXfs>
  <cellXfs count="88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91" fillId="2" borderId="0" xfId="0" applyFont="1" applyFill="1" applyBorder="1" applyAlignment="1">
      <alignment wrapText="1"/>
    </xf>
    <xf numFmtId="175" fontId="91" fillId="28" borderId="122" xfId="0" applyNumberFormat="1" applyFont="1" applyFill="1" applyBorder="1" applyAlignment="1">
      <alignment horizontal="left"/>
    </xf>
    <xf numFmtId="175" fontId="47" fillId="2" borderId="122"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0" fontId="44" fillId="2" borderId="0" xfId="0" applyFont="1" applyFill="1" applyBorder="1" applyAlignment="1">
      <alignment horizontal="left" vertical="top"/>
    </xf>
    <xf numFmtId="3" fontId="48" fillId="28" borderId="110" xfId="0" applyNumberFormat="1" applyFont="1" applyFill="1" applyBorder="1" applyAlignment="1" applyProtection="1">
      <alignment horizontal="center"/>
      <protection locked="0"/>
    </xf>
    <xf numFmtId="0" fontId="91" fillId="28" borderId="139" xfId="0" applyFont="1" applyFill="1" applyBorder="1" applyAlignment="1">
      <alignment horizontal="right" vertical="center"/>
    </xf>
    <xf numFmtId="0" fontId="212" fillId="28" borderId="123" xfId="40" applyNumberFormat="1" applyFont="1" applyFill="1" applyBorder="1" applyAlignment="1">
      <alignment horizontal="right" vertical="center"/>
    </xf>
    <xf numFmtId="0" fontId="41" fillId="2" borderId="0" xfId="0" applyFont="1" applyFill="1" applyAlignment="1">
      <alignment vertical="center"/>
    </xf>
    <xf numFmtId="0" fontId="46" fillId="2" borderId="0" xfId="0" applyFont="1" applyFill="1" applyBorder="1" applyAlignment="1">
      <alignment vertical="center"/>
    </xf>
    <xf numFmtId="0" fontId="41" fillId="28" borderId="0" xfId="0" applyFont="1" applyFill="1"/>
    <xf numFmtId="0" fontId="41" fillId="92" borderId="0" xfId="0" applyFont="1" applyFill="1" applyBorder="1" applyAlignment="1">
      <alignment horizontal="left" vertical="center"/>
    </xf>
    <xf numFmtId="0" fontId="42" fillId="2" borderId="0" xfId="0" applyFont="1" applyFill="1" applyBorder="1" applyAlignment="1">
      <alignment vertical="center"/>
    </xf>
    <xf numFmtId="0" fontId="42" fillId="2" borderId="0" xfId="0" applyFont="1" applyFill="1" applyAlignment="1">
      <alignment vertical="center"/>
    </xf>
    <xf numFmtId="0" fontId="46" fillId="2" borderId="0" xfId="0" applyFont="1" applyFill="1" applyBorder="1" applyAlignment="1">
      <alignment horizontal="left" vertical="center"/>
    </xf>
    <xf numFmtId="0" fontId="41" fillId="2" borderId="0" xfId="0" applyFont="1" applyFill="1" applyBorder="1"/>
    <xf numFmtId="173" fontId="91" fillId="28" borderId="110" xfId="0" applyNumberFormat="1" applyFont="1" applyFill="1" applyBorder="1" applyAlignment="1">
      <alignment horizontal="center"/>
    </xf>
    <xf numFmtId="0" fontId="44" fillId="2" borderId="9" xfId="0" applyFont="1" applyFill="1" applyBorder="1"/>
    <xf numFmtId="175" fontId="42" fillId="2" borderId="0" xfId="0" applyNumberFormat="1" applyFont="1" applyFill="1"/>
    <xf numFmtId="0" fontId="241" fillId="2" borderId="0" xfId="0" applyFont="1" applyFill="1" applyBorder="1" applyAlignment="1">
      <alignment vertical="center"/>
    </xf>
    <xf numFmtId="0" fontId="42" fillId="2" borderId="0" xfId="0" applyFont="1" applyFill="1" applyBorder="1"/>
    <xf numFmtId="8" fontId="8" fillId="2" borderId="0" xfId="0" applyNumberFormat="1" applyFont="1" applyFill="1" applyBorder="1" applyAlignment="1">
      <alignment horizontal="center"/>
    </xf>
    <xf numFmtId="177" fontId="41" fillId="2" borderId="0" xfId="0" applyNumberFormat="1" applyFont="1" applyFill="1" applyBorder="1"/>
    <xf numFmtId="0" fontId="236" fillId="2" borderId="0" xfId="73" applyFont="1" applyFill="1" applyBorder="1" applyAlignment="1">
      <alignment horizontal="left" vertical="center"/>
    </xf>
    <xf numFmtId="177" fontId="41" fillId="2" borderId="0" xfId="0" applyNumberFormat="1" applyFont="1" applyFill="1"/>
    <xf numFmtId="174" fontId="213" fillId="97" borderId="110" xfId="0" applyNumberFormat="1" applyFont="1" applyFill="1" applyBorder="1" applyAlignment="1">
      <alignment horizontal="center" vertical="center" wrapText="1"/>
    </xf>
    <xf numFmtId="174" fontId="213" fillId="96" borderId="110" xfId="6" applyNumberFormat="1" applyFont="1" applyFill="1" applyBorder="1" applyAlignment="1">
      <alignment horizontal="center" vertical="center" wrapText="1"/>
    </xf>
    <xf numFmtId="174" fontId="52" fillId="96" borderId="110" xfId="6" applyNumberFormat="1" applyFont="1" applyFill="1" applyBorder="1" applyAlignment="1">
      <alignment horizontal="center" vertical="center" wrapText="1"/>
    </xf>
    <xf numFmtId="8" fontId="47" fillId="2" borderId="0" xfId="0" applyNumberFormat="1" applyFont="1" applyFill="1" applyBorder="1" applyAlignment="1">
      <alignment horizontal="center"/>
    </xf>
    <xf numFmtId="3" fontId="91" fillId="2" borderId="118" xfId="0" applyNumberFormat="1" applyFont="1" applyFill="1" applyBorder="1" applyAlignment="1">
      <alignment horizontal="center" vertical="center"/>
    </xf>
    <xf numFmtId="3" fontId="91" fillId="2" borderId="103" xfId="0" applyNumberFormat="1" applyFont="1" applyFill="1" applyBorder="1" applyAlignment="1">
      <alignment horizontal="center" vertical="center"/>
    </xf>
    <xf numFmtId="3" fontId="47" fillId="2" borderId="97" xfId="0" applyNumberFormat="1" applyFont="1" applyFill="1" applyBorder="1" applyAlignment="1">
      <alignment horizontal="center" vertical="center"/>
    </xf>
    <xf numFmtId="0" fontId="91" fillId="2" borderId="0" xfId="0" applyFont="1" applyFill="1" applyBorder="1"/>
    <xf numFmtId="8" fontId="47" fillId="2" borderId="12" xfId="0" applyNumberFormat="1" applyFont="1" applyFill="1" applyBorder="1" applyAlignment="1">
      <alignment horizontal="center"/>
    </xf>
    <xf numFmtId="8" fontId="91" fillId="2" borderId="103" xfId="0" applyNumberFormat="1" applyFont="1" applyFill="1" applyBorder="1" applyAlignment="1">
      <alignment horizontal="center"/>
    </xf>
    <xf numFmtId="177" fontId="48" fillId="2" borderId="0" xfId="0" applyNumberFormat="1" applyFont="1" applyFill="1"/>
    <xf numFmtId="8" fontId="48" fillId="2" borderId="0" xfId="0" applyNumberFormat="1" applyFont="1" applyFill="1"/>
    <xf numFmtId="8" fontId="44" fillId="2" borderId="0" xfId="0" applyNumberFormat="1" applyFont="1" applyFill="1" applyBorder="1" applyAlignment="1">
      <alignment horizontal="center"/>
    </xf>
    <xf numFmtId="8" fontId="91" fillId="2" borderId="89" xfId="0" applyNumberFormat="1" applyFont="1" applyFill="1" applyBorder="1" applyAlignment="1">
      <alignment horizontal="center"/>
    </xf>
    <xf numFmtId="8" fontId="91" fillId="28" borderId="0" xfId="0" applyNumberFormat="1" applyFont="1" applyFill="1" applyBorder="1" applyAlignment="1">
      <alignment horizontal="center"/>
    </xf>
    <xf numFmtId="8" fontId="47" fillId="28" borderId="12" xfId="0" applyNumberFormat="1" applyFont="1" applyFill="1" applyBorder="1" applyAlignment="1">
      <alignment horizontal="center"/>
    </xf>
    <xf numFmtId="8" fontId="91" fillId="28" borderId="143" xfId="0" applyNumberFormat="1" applyFont="1" applyFill="1" applyBorder="1" applyAlignment="1">
      <alignment horizontal="center"/>
    </xf>
    <xf numFmtId="8" fontId="44" fillId="2" borderId="12" xfId="0" applyNumberFormat="1" applyFont="1" applyFill="1" applyBorder="1" applyAlignment="1">
      <alignment horizontal="center"/>
    </xf>
    <xf numFmtId="8" fontId="48" fillId="2" borderId="0" xfId="0" applyNumberFormat="1" applyFont="1" applyFill="1" applyBorder="1"/>
    <xf numFmtId="8" fontId="236" fillId="2" borderId="89" xfId="73" applyNumberFormat="1" applyFont="1" applyFill="1" applyBorder="1" applyAlignment="1">
      <alignment horizontal="center" vertical="center"/>
    </xf>
    <xf numFmtId="8" fontId="91" fillId="2" borderId="144" xfId="0" applyNumberFormat="1" applyFont="1" applyFill="1" applyBorder="1" applyAlignment="1">
      <alignment horizontal="center"/>
    </xf>
    <xf numFmtId="175" fontId="47" fillId="2" borderId="89" xfId="0" applyNumberFormat="1" applyFont="1" applyFill="1" applyBorder="1" applyAlignment="1">
      <alignment horizontal="center"/>
    </xf>
    <xf numFmtId="175" fontId="47" fillId="2" borderId="134" xfId="0" applyNumberFormat="1" applyFont="1" applyFill="1" applyBorder="1" applyAlignment="1">
      <alignment horizontal="center"/>
    </xf>
    <xf numFmtId="0" fontId="91" fillId="28" borderId="89" xfId="0" applyFont="1" applyFill="1" applyBorder="1" applyAlignment="1" applyProtection="1">
      <protection locked="0"/>
    </xf>
    <xf numFmtId="175" fontId="57" fillId="2" borderId="89" xfId="0" applyNumberFormat="1" applyFont="1" applyFill="1" applyBorder="1" applyAlignment="1">
      <alignment horizontal="center"/>
    </xf>
    <xf numFmtId="175" fontId="45" fillId="2" borderId="89" xfId="0" applyNumberFormat="1" applyFont="1" applyFill="1" applyBorder="1" applyAlignment="1">
      <alignment horizontal="center"/>
    </xf>
    <xf numFmtId="175" fontId="57" fillId="2" borderId="109" xfId="0" applyNumberFormat="1" applyFont="1" applyFill="1" applyBorder="1" applyAlignment="1">
      <alignment horizontal="center"/>
    </xf>
    <xf numFmtId="0" fontId="236" fillId="2" borderId="0" xfId="73" applyFont="1" applyFill="1"/>
    <xf numFmtId="0" fontId="41" fillId="92" borderId="0" xfId="0" applyFont="1" applyFill="1" applyBorder="1" applyAlignment="1">
      <alignment vertical="center"/>
    </xf>
    <xf numFmtId="0" fontId="48" fillId="92" borderId="0" xfId="0" applyFont="1" applyFill="1" applyBorder="1" applyAlignment="1">
      <alignment vertical="center"/>
    </xf>
    <xf numFmtId="174" fontId="47" fillId="88" borderId="118" xfId="0" applyNumberFormat="1" applyFont="1" applyFill="1" applyBorder="1" applyAlignment="1">
      <alignment horizontal="center" vertical="center" wrapText="1"/>
    </xf>
    <xf numFmtId="0" fontId="47" fillId="88" borderId="118" xfId="0" applyNumberFormat="1" applyFont="1" applyFill="1" applyBorder="1" applyAlignment="1">
      <alignment horizontal="center" vertical="center" wrapText="1"/>
    </xf>
    <xf numFmtId="174" fontId="47" fillId="88" borderId="118" xfId="0" applyNumberFormat="1" applyFont="1" applyFill="1" applyBorder="1" applyAlignment="1">
      <alignment horizontal="left" vertical="center" wrapText="1"/>
    </xf>
    <xf numFmtId="5" fontId="91" fillId="2" borderId="0" xfId="0" applyNumberFormat="1" applyFont="1" applyFill="1" applyBorder="1" applyAlignment="1">
      <alignment horizontal="center"/>
    </xf>
    <xf numFmtId="5" fontId="47" fillId="2" borderId="12" xfId="0" applyNumberFormat="1" applyFont="1" applyFill="1" applyBorder="1" applyAlignment="1">
      <alignment horizontal="center"/>
    </xf>
    <xf numFmtId="5" fontId="221" fillId="2" borderId="0" xfId="0" applyNumberFormat="1" applyFont="1" applyFill="1" applyBorder="1" applyAlignment="1">
      <alignment horizontal="center"/>
    </xf>
    <xf numFmtId="5" fontId="231" fillId="2" borderId="12" xfId="0" applyNumberFormat="1" applyFont="1" applyFill="1" applyBorder="1" applyAlignment="1">
      <alignment horizontal="center"/>
    </xf>
    <xf numFmtId="5" fontId="91" fillId="28" borderId="0" xfId="0" applyNumberFormat="1" applyFont="1" applyFill="1" applyBorder="1" applyAlignment="1">
      <alignment horizontal="center"/>
    </xf>
    <xf numFmtId="5" fontId="47" fillId="28" borderId="12" xfId="0" applyNumberFormat="1" applyFont="1" applyFill="1" applyBorder="1" applyAlignment="1">
      <alignment horizontal="center"/>
    </xf>
    <xf numFmtId="5" fontId="47" fillId="2" borderId="0" xfId="0" applyNumberFormat="1" applyFont="1" applyFill="1" applyBorder="1" applyAlignment="1">
      <alignment horizontal="center"/>
    </xf>
    <xf numFmtId="5" fontId="41" fillId="28" borderId="0" xfId="0" applyNumberFormat="1" applyFont="1" applyFill="1" applyBorder="1"/>
    <xf numFmtId="5" fontId="42" fillId="28" borderId="12" xfId="0" applyNumberFormat="1" applyFont="1" applyFill="1" applyBorder="1"/>
    <xf numFmtId="5" fontId="57" fillId="2" borderId="0" xfId="0" applyNumberFormat="1" applyFont="1" applyFill="1" applyBorder="1" applyAlignment="1">
      <alignment horizontal="center"/>
    </xf>
    <xf numFmtId="5" fontId="57" fillId="2" borderId="12" xfId="0" applyNumberFormat="1" applyFont="1" applyFill="1" applyBorder="1" applyAlignment="1">
      <alignment horizontal="center"/>
    </xf>
    <xf numFmtId="5" fontId="208" fillId="2" borderId="0" xfId="0" applyNumberFormat="1" applyFont="1" applyFill="1" applyBorder="1" applyAlignment="1">
      <alignment horizontal="center"/>
    </xf>
    <xf numFmtId="5" fontId="242" fillId="2" borderId="12" xfId="0" applyNumberFormat="1" applyFont="1" applyFill="1" applyBorder="1" applyAlignment="1">
      <alignment horizontal="center"/>
    </xf>
    <xf numFmtId="5" fontId="57" fillId="2" borderId="5" xfId="0" applyNumberFormat="1" applyFont="1" applyFill="1" applyBorder="1" applyAlignment="1">
      <alignment horizontal="center"/>
    </xf>
    <xf numFmtId="5" fontId="57" fillId="2" borderId="112" xfId="0" applyNumberFormat="1" applyFont="1" applyFill="1" applyBorder="1" applyAlignment="1">
      <alignment horizontal="center"/>
    </xf>
    <xf numFmtId="0" fontId="91" fillId="92" borderId="0" xfId="0" applyFont="1" applyFill="1" applyBorder="1" applyAlignment="1">
      <alignment horizontal="lef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4">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19" xfId="9773"/>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9772"/>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135155</xdr:colOff>
      <xdr:row>0</xdr:row>
      <xdr:rowOff>0</xdr:rowOff>
    </xdr:from>
    <xdr:to>
      <xdr:col>8</xdr:col>
      <xdr:colOff>0</xdr:colOff>
      <xdr:row>0</xdr:row>
      <xdr:rowOff>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0"/>
          <a:ext cx="7541995" cy="0"/>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9</xdr:col>
      <xdr:colOff>715855</xdr:colOff>
      <xdr:row>0</xdr:row>
      <xdr:rowOff>1747574</xdr:rowOff>
    </xdr:from>
    <xdr:to>
      <xdr:col>10</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767715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1938" y="216648"/>
          <a:ext cx="6134335" cy="2239361"/>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1728" y="134471"/>
          <a:ext cx="6586681"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081432"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3914220"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ILLING-FINANCE\Shared%20Databases\Shared%20Billing%20Documents\OEB\Rate%20applications\IRM\EB-2017-0034\2018%20IRM%20Rate%20Generator%20Model%20-%20CPS%20-%20V1.1.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
  <sheetViews>
    <sheetView showGridLines="0" topLeftCell="A49" workbookViewId="0">
      <selection activeCell="B118" sqref="B118"/>
    </sheetView>
  </sheetViews>
  <sheetFormatPr defaultRowHeight="15"/>
  <cols>
    <col min="1" max="1" width="2.7109375" customWidth="1"/>
    <col min="2" max="2" width="17.85546875" customWidth="1"/>
    <col min="3" max="6" width="15.140625" customWidth="1"/>
    <col min="7" max="7" width="16.140625" customWidth="1"/>
    <col min="8" max="8" width="17.85546875" customWidth="1"/>
    <col min="9" max="9" width="22" hidden="1" customWidth="1"/>
    <col min="10" max="10" width="19.7109375" hidden="1" customWidth="1"/>
    <col min="11" max="11" width="21.7109375" hidden="1" customWidth="1"/>
    <col min="12" max="12" width="24" hidden="1" customWidth="1"/>
    <col min="13" max="13" width="24.140625" hidden="1" customWidth="1"/>
    <col min="14" max="14" width="21.42578125" hidden="1" customWidth="1"/>
    <col min="15" max="15" width="22.140625" hidden="1" customWidth="1"/>
    <col min="16" max="16" width="16.42578125" hidden="1" customWidth="1"/>
    <col min="17" max="17" width="15.5703125" hidden="1" customWidth="1"/>
    <col min="18" max="18" width="17.140625" hidden="1" customWidth="1"/>
    <col min="19" max="19" width="13.7109375" hidden="1" customWidth="1"/>
    <col min="20" max="20" width="6.28515625" hidden="1" customWidth="1"/>
    <col min="21" max="21" width="13.5703125" hidden="1" customWidth="1"/>
    <col min="22" max="22" width="15.28515625" hidden="1" customWidth="1"/>
    <col min="23" max="24" width="0" hidden="1" customWidth="1"/>
    <col min="25" max="26" width="12" hidden="1" customWidth="1"/>
    <col min="27" max="27" width="12.7109375" hidden="1" customWidth="1"/>
    <col min="28" max="28" width="12.28515625" hidden="1" customWidth="1"/>
    <col min="29" max="29" width="19.7109375" hidden="1" customWidth="1"/>
  </cols>
  <sheetData>
    <row r="1" spans="2:21" ht="144" hidden="1" customHeight="1">
      <c r="B1" s="27"/>
      <c r="C1" s="27"/>
      <c r="D1" s="92"/>
      <c r="E1" s="27"/>
      <c r="F1" s="27"/>
      <c r="G1" s="27"/>
      <c r="H1" s="27"/>
      <c r="I1" s="27"/>
      <c r="J1" s="27"/>
      <c r="K1" s="27"/>
      <c r="L1" s="27"/>
      <c r="M1" s="27"/>
      <c r="N1" s="27"/>
      <c r="O1" s="27"/>
      <c r="P1" s="27"/>
      <c r="Q1" s="27"/>
      <c r="R1" s="27"/>
      <c r="S1" s="91"/>
      <c r="T1" s="91"/>
      <c r="U1" s="27"/>
    </row>
    <row r="2" spans="2:21" ht="49.5" hidden="1" customHeight="1">
      <c r="B2" s="27"/>
      <c r="C2" s="27"/>
      <c r="D2" s="27"/>
      <c r="E2" s="92"/>
      <c r="F2" s="27"/>
      <c r="G2" s="63"/>
      <c r="H2" s="753"/>
      <c r="I2" s="27"/>
      <c r="J2" s="754"/>
      <c r="K2" s="754"/>
      <c r="L2" s="27"/>
      <c r="M2" s="27"/>
      <c r="N2" s="27"/>
      <c r="O2" s="27"/>
      <c r="P2" s="27"/>
      <c r="Q2" s="27"/>
      <c r="R2" s="27"/>
      <c r="S2" s="27"/>
      <c r="T2" s="91"/>
      <c r="U2" s="91"/>
    </row>
    <row r="3" spans="2:21" ht="16.5" hidden="1" customHeight="1" thickBot="1">
      <c r="B3" s="27"/>
      <c r="C3" s="27"/>
      <c r="D3" s="27"/>
      <c r="E3" s="92"/>
      <c r="F3" s="27"/>
      <c r="G3" s="63"/>
      <c r="H3" s="753"/>
      <c r="I3" s="27"/>
      <c r="J3" s="754"/>
      <c r="K3" s="754"/>
      <c r="L3" s="27"/>
      <c r="M3" s="27"/>
      <c r="N3" s="27"/>
      <c r="O3" s="27"/>
      <c r="P3" s="27"/>
      <c r="Q3" s="27"/>
      <c r="R3" s="27"/>
      <c r="S3" s="27"/>
      <c r="T3" s="91"/>
      <c r="U3" s="91"/>
    </row>
    <row r="4" spans="2:21" ht="24.75" hidden="1" customHeight="1" thickBot="1">
      <c r="B4" s="537" t="s">
        <v>172</v>
      </c>
      <c r="C4" s="27"/>
      <c r="D4" s="27"/>
      <c r="E4" s="27"/>
      <c r="F4" s="27"/>
      <c r="G4" s="27"/>
      <c r="H4" s="27"/>
      <c r="I4" s="27"/>
      <c r="J4" s="27"/>
      <c r="K4" s="27"/>
      <c r="L4" s="27"/>
      <c r="M4" s="27"/>
      <c r="N4" s="27"/>
      <c r="O4" s="27"/>
      <c r="P4" s="27"/>
      <c r="Q4" s="27"/>
      <c r="R4" s="27"/>
      <c r="S4" s="27"/>
      <c r="T4" s="91"/>
      <c r="U4" s="91"/>
    </row>
    <row r="5" spans="2:21" ht="26.25" hidden="1" customHeight="1" thickBot="1">
      <c r="B5" s="27"/>
      <c r="C5" s="27"/>
      <c r="D5" s="27"/>
      <c r="E5" s="27"/>
      <c r="F5" s="27"/>
      <c r="G5" s="27"/>
      <c r="H5" s="27"/>
      <c r="I5" s="27"/>
      <c r="J5" s="27"/>
      <c r="K5" s="27"/>
      <c r="L5" s="27"/>
      <c r="M5" s="27"/>
      <c r="N5" s="27"/>
      <c r="O5" s="27"/>
      <c r="P5" s="27"/>
      <c r="Q5" s="27"/>
      <c r="R5" s="27"/>
      <c r="S5" s="27"/>
      <c r="T5" s="91"/>
      <c r="U5" s="91"/>
    </row>
    <row r="6" spans="2:21" ht="27" hidden="1" customHeight="1" thickBot="1">
      <c r="B6" s="537"/>
      <c r="C6" s="92"/>
      <c r="D6" s="27"/>
      <c r="E6" s="27"/>
      <c r="F6" s="27"/>
      <c r="G6" s="27"/>
      <c r="H6" s="27"/>
      <c r="I6" s="27"/>
      <c r="J6" s="27"/>
      <c r="K6" s="27"/>
      <c r="L6" s="27"/>
      <c r="M6" s="27"/>
      <c r="N6" s="27"/>
      <c r="O6" s="27"/>
      <c r="P6" s="27"/>
      <c r="Q6" s="27"/>
      <c r="R6" s="27"/>
      <c r="S6" s="27"/>
      <c r="T6" s="91"/>
      <c r="U6" s="91"/>
    </row>
    <row r="7" spans="2:21" ht="21" hidden="1" customHeight="1">
      <c r="B7" s="537"/>
      <c r="C7" s="92"/>
      <c r="D7" s="27"/>
      <c r="E7" s="27"/>
      <c r="F7" s="27"/>
      <c r="G7" s="27"/>
      <c r="H7" s="27"/>
      <c r="I7" s="27"/>
      <c r="J7" s="27"/>
      <c r="K7" s="27"/>
      <c r="L7" s="27"/>
      <c r="M7" s="27"/>
      <c r="N7" s="27"/>
      <c r="O7" s="27"/>
      <c r="P7" s="27"/>
      <c r="Q7" s="27"/>
      <c r="R7" s="27"/>
      <c r="S7" s="27"/>
      <c r="T7" s="91"/>
      <c r="U7" s="91"/>
    </row>
    <row r="8" spans="2:21" ht="24.75" hidden="1" customHeight="1">
      <c r="B8" s="749" t="s">
        <v>240</v>
      </c>
      <c r="C8" s="755"/>
      <c r="D8" s="27"/>
      <c r="E8" s="27"/>
      <c r="F8" s="27"/>
      <c r="G8" s="27"/>
      <c r="H8" s="27"/>
      <c r="I8" s="27"/>
      <c r="J8" s="27"/>
      <c r="K8" s="27"/>
      <c r="L8" s="27"/>
      <c r="M8" s="27"/>
      <c r="N8" s="27"/>
      <c r="O8" s="27"/>
      <c r="P8" s="27"/>
      <c r="Q8" s="27"/>
      <c r="R8" s="27"/>
      <c r="S8" s="27"/>
      <c r="T8" s="91"/>
      <c r="U8" s="91"/>
    </row>
    <row r="9" spans="2:21" ht="41.25" hidden="1" customHeight="1">
      <c r="B9" s="551" t="s">
        <v>522</v>
      </c>
      <c r="C9" s="545"/>
      <c r="D9" s="545"/>
      <c r="E9" s="545"/>
      <c r="F9" s="545"/>
      <c r="G9" s="545"/>
      <c r="H9" s="545"/>
      <c r="I9" s="546"/>
      <c r="J9" s="546"/>
      <c r="K9" s="546"/>
      <c r="L9" s="29"/>
      <c r="M9" s="27"/>
      <c r="N9" s="27"/>
      <c r="O9" s="27"/>
      <c r="P9" s="27"/>
      <c r="Q9" s="27"/>
      <c r="R9" s="27"/>
      <c r="S9" s="27"/>
      <c r="T9" s="91"/>
      <c r="U9" s="91"/>
    </row>
    <row r="10" spans="2:21" ht="10.5" hidden="1" customHeight="1">
      <c r="B10" s="551"/>
      <c r="C10" s="545"/>
      <c r="D10" s="545"/>
      <c r="E10" s="545"/>
      <c r="F10" s="545"/>
      <c r="G10" s="545"/>
      <c r="H10" s="545"/>
      <c r="I10" s="546"/>
      <c r="J10" s="546"/>
      <c r="K10" s="546"/>
      <c r="L10" s="29"/>
      <c r="M10" s="27"/>
      <c r="N10" s="27"/>
      <c r="O10" s="27"/>
      <c r="P10" s="27"/>
      <c r="Q10" s="27"/>
      <c r="R10" s="27"/>
      <c r="S10" s="27"/>
      <c r="T10" s="91"/>
      <c r="U10" s="91"/>
    </row>
    <row r="11" spans="2:21" s="111" customFormat="1" ht="26.25" hidden="1" customHeight="1">
      <c r="B11" s="568" t="s">
        <v>558</v>
      </c>
      <c r="C11" s="756"/>
      <c r="D11" s="756"/>
      <c r="E11" s="756"/>
      <c r="F11" s="756"/>
      <c r="G11" s="756"/>
      <c r="S11" s="757"/>
      <c r="T11" s="757"/>
    </row>
    <row r="12" spans="2:21" s="753" customFormat="1" ht="18.75" hidden="1" customHeight="1">
      <c r="B12" s="544"/>
      <c r="S12" s="758"/>
      <c r="T12" s="758"/>
    </row>
    <row r="13" spans="2:21" s="753" customFormat="1" ht="22.5" hidden="1" customHeight="1" thickBot="1">
      <c r="B13" s="187" t="s">
        <v>510</v>
      </c>
      <c r="E13" s="187" t="s">
        <v>511</v>
      </c>
      <c r="F13" s="754"/>
      <c r="G13" s="759"/>
      <c r="H13" s="27"/>
      <c r="I13" s="186" t="s">
        <v>508</v>
      </c>
      <c r="M13" s="178"/>
      <c r="O13" s="27"/>
      <c r="P13" s="189"/>
      <c r="Q13" s="42"/>
      <c r="S13" s="758"/>
      <c r="T13" s="758"/>
    </row>
    <row r="14" spans="2:21" ht="29.25" hidden="1" customHeight="1" thickBot="1">
      <c r="B14" s="126" t="s">
        <v>549</v>
      </c>
      <c r="C14" s="542"/>
      <c r="D14" s="132"/>
      <c r="E14" s="126" t="s">
        <v>550</v>
      </c>
      <c r="F14" s="27"/>
      <c r="G14" s="542" t="s">
        <v>695</v>
      </c>
      <c r="H14" s="27"/>
      <c r="I14" s="126" t="s">
        <v>517</v>
      </c>
      <c r="J14" s="27"/>
      <c r="K14" s="134"/>
      <c r="L14" s="27"/>
      <c r="M14" s="178"/>
      <c r="N14" s="27"/>
      <c r="O14" s="27"/>
      <c r="P14" s="197"/>
      <c r="Q14" s="98"/>
      <c r="R14" s="27"/>
      <c r="S14" s="91"/>
      <c r="T14" s="91"/>
      <c r="U14" s="27"/>
    </row>
    <row r="15" spans="2:21" ht="26.25" hidden="1" customHeight="1" thickBot="1">
      <c r="B15" s="126" t="s">
        <v>426</v>
      </c>
      <c r="C15" s="542" t="s">
        <v>709</v>
      </c>
      <c r="D15" s="92"/>
      <c r="E15" s="126" t="s">
        <v>416</v>
      </c>
      <c r="F15" s="129"/>
      <c r="G15" s="542" t="s">
        <v>683</v>
      </c>
      <c r="H15" s="92"/>
      <c r="I15" s="126" t="s">
        <v>518</v>
      </c>
      <c r="J15" s="27"/>
      <c r="K15" s="134"/>
      <c r="L15" s="178"/>
      <c r="M15" s="27"/>
      <c r="N15" s="27"/>
      <c r="O15" s="27"/>
      <c r="P15" s="197"/>
      <c r="Q15" s="98"/>
      <c r="R15" s="27"/>
      <c r="S15" s="91"/>
      <c r="T15" s="91"/>
      <c r="U15" s="27"/>
    </row>
    <row r="16" spans="2:21" ht="28.5" hidden="1" customHeight="1" thickBot="1">
      <c r="B16" s="126" t="s">
        <v>456</v>
      </c>
      <c r="C16" s="543" t="s">
        <v>710</v>
      </c>
      <c r="D16" s="178"/>
      <c r="E16" s="126" t="s">
        <v>436</v>
      </c>
      <c r="F16" s="127"/>
      <c r="G16" s="543" t="s">
        <v>182</v>
      </c>
      <c r="H16" s="178"/>
      <c r="I16" s="27"/>
      <c r="J16" s="197"/>
      <c r="K16" s="197"/>
      <c r="L16" s="197"/>
      <c r="M16" s="197"/>
      <c r="N16" s="27"/>
      <c r="O16" s="27"/>
      <c r="P16" s="197"/>
      <c r="Q16" s="98"/>
      <c r="R16" s="27"/>
      <c r="S16" s="91"/>
      <c r="T16" s="91"/>
      <c r="U16" s="27"/>
    </row>
    <row r="17" spans="1:20" ht="29.25" hidden="1" customHeight="1" thickBot="1">
      <c r="A17" s="27"/>
      <c r="B17" s="126" t="s">
        <v>423</v>
      </c>
      <c r="C17" s="134">
        <v>0</v>
      </c>
      <c r="D17" s="123"/>
      <c r="E17" s="126" t="s">
        <v>437</v>
      </c>
      <c r="F17" s="603" t="s">
        <v>364</v>
      </c>
      <c r="G17" s="244">
        <f>SUM(Q52,Q55,Q58,Q61,Q64,Q67)</f>
        <v>281955.28770516353</v>
      </c>
      <c r="H17" s="92"/>
      <c r="I17" s="27"/>
      <c r="J17" s="197"/>
      <c r="K17" s="197"/>
      <c r="L17" s="197"/>
      <c r="M17" s="197"/>
      <c r="N17" s="27"/>
      <c r="O17" s="197"/>
      <c r="P17" s="197"/>
      <c r="Q17" s="98"/>
      <c r="R17" s="27"/>
      <c r="S17" s="91"/>
      <c r="T17" s="91"/>
    </row>
    <row r="18" spans="1:20" ht="27.75" hidden="1" customHeight="1" thickBot="1">
      <c r="A18" s="27"/>
      <c r="B18" s="27"/>
      <c r="C18" s="27"/>
      <c r="D18" s="27"/>
      <c r="E18" s="126" t="s">
        <v>438</v>
      </c>
      <c r="F18" s="603" t="s">
        <v>365</v>
      </c>
      <c r="G18" s="133">
        <f>-SUM(Q53,Q56,Q59,Q62,Q65,Q68)</f>
        <v>135096.2452</v>
      </c>
      <c r="H18" s="92"/>
      <c r="I18" s="197"/>
      <c r="J18" s="197"/>
      <c r="K18" s="197"/>
      <c r="L18" s="197"/>
      <c r="M18" s="197"/>
      <c r="N18" s="27"/>
      <c r="O18" s="197"/>
      <c r="P18" s="197"/>
      <c r="Q18" s="98"/>
      <c r="R18" s="27"/>
      <c r="S18" s="91"/>
      <c r="T18" s="91"/>
    </row>
    <row r="19" spans="1:20" ht="27.75" hidden="1" customHeight="1" thickBot="1">
      <c r="A19" s="27"/>
      <c r="B19" s="27"/>
      <c r="C19" s="27"/>
      <c r="D19" s="27"/>
      <c r="E19" s="126" t="s">
        <v>410</v>
      </c>
      <c r="F19" s="603" t="s">
        <v>366</v>
      </c>
      <c r="G19" s="190">
        <f>Q82</f>
        <v>3737.920262312467</v>
      </c>
      <c r="H19" s="92"/>
      <c r="I19" s="197"/>
      <c r="J19" s="27"/>
      <c r="K19" s="27"/>
      <c r="L19" s="27"/>
      <c r="M19" s="27"/>
      <c r="N19" s="27"/>
      <c r="O19" s="197"/>
      <c r="P19" s="197"/>
      <c r="Q19" s="98"/>
      <c r="R19" s="27"/>
      <c r="S19" s="91"/>
      <c r="T19" s="91"/>
    </row>
    <row r="20" spans="1:20" ht="27.75" hidden="1" customHeight="1">
      <c r="A20" s="27"/>
      <c r="B20" s="27"/>
      <c r="C20" s="753"/>
      <c r="D20" s="753"/>
      <c r="E20" s="126" t="s">
        <v>512</v>
      </c>
      <c r="F20" s="603" t="s">
        <v>451</v>
      </c>
      <c r="G20" s="190">
        <f>G17-G18+G19</f>
        <v>150596.96276747598</v>
      </c>
      <c r="H20" s="178"/>
      <c r="I20" s="27"/>
      <c r="J20" s="27"/>
      <c r="K20" s="27"/>
      <c r="L20" s="27"/>
      <c r="M20" s="27"/>
      <c r="N20" s="27"/>
      <c r="O20" s="197"/>
      <c r="P20" s="197"/>
      <c r="Q20" s="98"/>
      <c r="R20" s="27"/>
      <c r="S20" s="91"/>
      <c r="T20" s="91"/>
    </row>
    <row r="21" spans="1:20" ht="22.5" hidden="1" customHeight="1">
      <c r="A21" s="760"/>
      <c r="B21" s="27"/>
      <c r="C21" s="27"/>
      <c r="D21" s="27"/>
      <c r="E21" s="27"/>
      <c r="F21" s="27"/>
      <c r="G21" s="27"/>
      <c r="H21" s="27"/>
      <c r="I21" s="27"/>
      <c r="J21" s="27"/>
      <c r="K21" s="27"/>
      <c r="L21" s="27"/>
      <c r="M21" s="27"/>
      <c r="N21" s="27"/>
      <c r="O21" s="27"/>
      <c r="P21" s="27"/>
      <c r="Q21" s="27"/>
      <c r="R21" s="27"/>
      <c r="S21" s="91"/>
      <c r="T21" s="91"/>
    </row>
    <row r="22" spans="1:20" ht="13.5" hidden="1" customHeight="1">
      <c r="A22" s="760"/>
      <c r="B22" s="120" t="s">
        <v>421</v>
      </c>
      <c r="C22" s="27"/>
      <c r="D22" s="27"/>
      <c r="E22" s="27"/>
      <c r="F22" s="27"/>
      <c r="G22" s="27"/>
      <c r="H22" s="27"/>
      <c r="I22" s="27"/>
      <c r="J22" s="27"/>
      <c r="K22" s="27"/>
      <c r="L22" s="27"/>
      <c r="M22" s="27"/>
      <c r="N22" s="27"/>
      <c r="O22" s="27"/>
      <c r="P22" s="27"/>
      <c r="Q22" s="27"/>
      <c r="R22" s="27"/>
      <c r="S22" s="91"/>
      <c r="T22" s="91"/>
    </row>
    <row r="23" spans="1:20" ht="13.5" hidden="1" customHeight="1">
      <c r="A23" s="760"/>
      <c r="B23" s="120"/>
      <c r="C23" s="27"/>
      <c r="D23" s="27"/>
      <c r="E23" s="27"/>
      <c r="F23" s="27"/>
      <c r="G23" s="27"/>
      <c r="H23" s="27"/>
      <c r="I23" s="27"/>
      <c r="J23" s="27"/>
      <c r="K23" s="27"/>
      <c r="L23" s="27"/>
      <c r="M23" s="27"/>
      <c r="N23" s="27"/>
      <c r="O23" s="27"/>
      <c r="P23" s="27"/>
      <c r="Q23" s="27"/>
      <c r="R23" s="27"/>
      <c r="S23" s="91"/>
      <c r="T23" s="91"/>
    </row>
    <row r="24" spans="1:20" ht="138" hidden="1" customHeight="1">
      <c r="A24" s="760"/>
      <c r="B24" s="818" t="s">
        <v>639</v>
      </c>
      <c r="C24" s="818"/>
      <c r="D24" s="818"/>
      <c r="E24" s="818"/>
      <c r="F24" s="818"/>
      <c r="G24" s="27"/>
      <c r="H24" s="27"/>
      <c r="I24" s="27"/>
      <c r="J24" s="27"/>
      <c r="K24" s="27"/>
      <c r="L24" s="27"/>
      <c r="M24" s="27"/>
      <c r="N24" s="27"/>
      <c r="O24" s="27"/>
      <c r="P24" s="27"/>
      <c r="Q24" s="27"/>
      <c r="R24" s="27"/>
      <c r="S24" s="91"/>
      <c r="T24" s="91"/>
    </row>
    <row r="25" spans="1:20" ht="14.25" hidden="1" customHeight="1">
      <c r="A25" s="760"/>
      <c r="B25" s="548"/>
      <c r="C25" s="538"/>
      <c r="D25" s="538"/>
      <c r="E25" s="538"/>
      <c r="F25" s="548"/>
      <c r="G25" s="27"/>
      <c r="H25" s="27"/>
      <c r="I25" s="27"/>
      <c r="J25" s="27"/>
      <c r="K25" s="27"/>
      <c r="L25" s="27"/>
      <c r="M25" s="27"/>
      <c r="N25" s="27"/>
      <c r="O25" s="27"/>
      <c r="P25" s="27"/>
      <c r="Q25" s="27"/>
      <c r="R25" s="27"/>
      <c r="S25" s="91"/>
      <c r="T25" s="91"/>
    </row>
    <row r="26" spans="1:20" s="92" customFormat="1" ht="27" hidden="1" customHeight="1">
      <c r="B26" s="748" t="s">
        <v>509</v>
      </c>
      <c r="C26" s="135" t="s">
        <v>41</v>
      </c>
      <c r="D26" s="136" t="s">
        <v>569</v>
      </c>
      <c r="E26" s="136" t="s">
        <v>410</v>
      </c>
      <c r="F26" s="137" t="s">
        <v>411</v>
      </c>
      <c r="S26" s="199"/>
      <c r="T26" s="199"/>
    </row>
    <row r="27" spans="1:20" ht="20.25" hidden="1" customHeight="1">
      <c r="A27" s="27"/>
      <c r="B27" s="746" t="s">
        <v>29</v>
      </c>
      <c r="C27" s="638" t="s">
        <v>27</v>
      </c>
      <c r="D27" s="140">
        <f>SUM(C52:C81)</f>
        <v>36136.298047204342</v>
      </c>
      <c r="E27" s="141">
        <f>C82</f>
        <v>1680.9401308291222</v>
      </c>
      <c r="F27" s="140">
        <f>D27+E27</f>
        <v>37817.238178033462</v>
      </c>
      <c r="G27" s="27"/>
      <c r="H27" s="27"/>
      <c r="I27" s="27"/>
      <c r="J27" s="27"/>
      <c r="K27" s="27"/>
      <c r="L27" s="27"/>
      <c r="M27" s="27"/>
      <c r="N27" s="27"/>
      <c r="O27" s="27"/>
      <c r="P27" s="27"/>
      <c r="Q27" s="27"/>
      <c r="R27" s="27"/>
      <c r="S27" s="91"/>
      <c r="T27" s="91"/>
    </row>
    <row r="28" spans="1:20" ht="20.25" hidden="1" customHeight="1">
      <c r="A28" s="27"/>
      <c r="B28" s="746" t="s">
        <v>373</v>
      </c>
      <c r="C28" s="638" t="s">
        <v>27</v>
      </c>
      <c r="D28" s="142">
        <f>SUM(D52:D81)</f>
        <v>74511.183809464186</v>
      </c>
      <c r="E28" s="143">
        <f>D82</f>
        <v>317.95948018912753</v>
      </c>
      <c r="F28" s="142">
        <f>D28+E28</f>
        <v>74829.143289653308</v>
      </c>
      <c r="G28" s="27"/>
      <c r="H28" s="27"/>
      <c r="I28" s="27"/>
      <c r="J28" s="27"/>
      <c r="K28" s="27"/>
      <c r="L28" s="27"/>
      <c r="M28" s="27"/>
      <c r="N28" s="27"/>
      <c r="O28" s="27"/>
      <c r="P28" s="27"/>
      <c r="Q28" s="27"/>
      <c r="R28" s="27"/>
      <c r="S28" s="91"/>
      <c r="T28" s="91"/>
    </row>
    <row r="29" spans="1:20" ht="20.25" hidden="1" customHeight="1">
      <c r="A29" s="27"/>
      <c r="B29" s="746" t="s">
        <v>374</v>
      </c>
      <c r="C29" s="638" t="s">
        <v>28</v>
      </c>
      <c r="D29" s="142">
        <f>SUM(E52:E81)</f>
        <v>-32939.672114936271</v>
      </c>
      <c r="E29" s="143">
        <f>E82</f>
        <v>-114.76262732868298</v>
      </c>
      <c r="F29" s="142">
        <f t="shared" ref="F29:F30" si="0">D29+E29</f>
        <v>-33054.434742264952</v>
      </c>
      <c r="G29" s="27"/>
      <c r="H29" s="27"/>
      <c r="I29" s="27"/>
      <c r="J29" s="27"/>
      <c r="K29" s="27"/>
      <c r="L29" s="27"/>
      <c r="M29" s="27"/>
      <c r="N29" s="27"/>
      <c r="O29" s="27"/>
      <c r="P29" s="27"/>
      <c r="Q29" s="27"/>
      <c r="R29" s="27"/>
      <c r="S29" s="91"/>
      <c r="T29" s="91"/>
    </row>
    <row r="30" spans="1:20" ht="20.25" hidden="1" customHeight="1">
      <c r="A30" s="27"/>
      <c r="B30" s="746" t="s">
        <v>684</v>
      </c>
      <c r="C30" s="638" t="s">
        <v>28</v>
      </c>
      <c r="D30" s="142">
        <f>SUM(F52:F81)</f>
        <v>-43752.778528569128</v>
      </c>
      <c r="E30" s="143">
        <f>F82</f>
        <v>-14.898193566666665</v>
      </c>
      <c r="F30" s="142">
        <f t="shared" si="0"/>
        <v>-43767.676722135795</v>
      </c>
      <c r="G30" s="27"/>
      <c r="H30" s="27"/>
      <c r="I30" s="27"/>
      <c r="J30" s="27"/>
      <c r="K30" s="27"/>
      <c r="L30" s="27"/>
      <c r="M30" s="27"/>
      <c r="N30" s="27"/>
      <c r="O30" s="27"/>
      <c r="P30" s="27"/>
      <c r="Q30" s="27"/>
      <c r="R30" s="27"/>
      <c r="S30" s="91"/>
      <c r="T30" s="91"/>
    </row>
    <row r="31" spans="1:20" ht="20.25" hidden="1" customHeight="1">
      <c r="A31" s="27"/>
      <c r="B31" s="746" t="s">
        <v>32</v>
      </c>
      <c r="C31" s="638" t="s">
        <v>694</v>
      </c>
      <c r="D31" s="142">
        <f>SUM(G52:G81)</f>
        <v>-55.2712</v>
      </c>
      <c r="E31" s="143">
        <f>G82</f>
        <v>-0.27865896666666667</v>
      </c>
      <c r="F31" s="142">
        <f>D31+E31</f>
        <v>-55.549858966666669</v>
      </c>
      <c r="G31" s="27"/>
      <c r="H31" s="27"/>
      <c r="I31" s="27"/>
      <c r="J31" s="27"/>
      <c r="K31" s="27"/>
      <c r="L31" s="27"/>
      <c r="M31" s="27"/>
      <c r="N31" s="27"/>
      <c r="O31" s="27"/>
      <c r="P31" s="27"/>
      <c r="Q31" s="27"/>
      <c r="R31" s="27"/>
      <c r="S31" s="91"/>
      <c r="T31" s="91"/>
    </row>
    <row r="32" spans="1:20" ht="20.25" hidden="1" customHeight="1">
      <c r="A32" s="27"/>
      <c r="B32" s="746"/>
      <c r="C32" s="638"/>
      <c r="D32" s="142">
        <f>SUM(H52:H81)</f>
        <v>33899.760013163112</v>
      </c>
      <c r="E32" s="143">
        <f>H82</f>
        <v>1868.9601311562335</v>
      </c>
      <c r="F32" s="142">
        <f t="shared" ref="F32" si="1">D32+E32</f>
        <v>35768.720144319348</v>
      </c>
      <c r="G32" s="27"/>
      <c r="H32" s="27"/>
      <c r="I32" s="27"/>
      <c r="J32" s="27"/>
      <c r="K32" s="27"/>
      <c r="L32" s="27"/>
      <c r="M32" s="27"/>
      <c r="N32" s="27"/>
      <c r="O32" s="27"/>
      <c r="P32" s="27"/>
      <c r="Q32" s="27"/>
      <c r="R32" s="27"/>
      <c r="S32" s="91"/>
      <c r="T32" s="91"/>
    </row>
    <row r="33" spans="2:21" ht="20.25" hidden="1" customHeight="1">
      <c r="B33" s="746"/>
      <c r="C33" s="638"/>
      <c r="D33" s="142">
        <f>SUM(I52:I81)</f>
        <v>0</v>
      </c>
      <c r="E33" s="143">
        <f>I82</f>
        <v>0</v>
      </c>
      <c r="F33" s="142">
        <f>D33+E33</f>
        <v>0</v>
      </c>
      <c r="G33" s="27"/>
      <c r="H33" s="27"/>
      <c r="I33" s="27"/>
      <c r="J33" s="27"/>
      <c r="K33" s="27"/>
      <c r="L33" s="27"/>
      <c r="M33" s="27"/>
      <c r="N33" s="27"/>
      <c r="O33" s="27"/>
      <c r="P33" s="27"/>
      <c r="Q33" s="27"/>
      <c r="R33" s="27"/>
      <c r="S33" s="91"/>
      <c r="T33" s="91"/>
      <c r="U33" s="27"/>
    </row>
    <row r="34" spans="2:21" ht="20.25" hidden="1" customHeight="1">
      <c r="B34" s="746"/>
      <c r="C34" s="638"/>
      <c r="D34" s="142">
        <f>SUM(J52:J81)</f>
        <v>0</v>
      </c>
      <c r="E34" s="143">
        <f>J82</f>
        <v>0</v>
      </c>
      <c r="F34" s="142">
        <f t="shared" ref="F34:F40" si="2">D34+E34</f>
        <v>0</v>
      </c>
      <c r="G34" s="27"/>
      <c r="H34" s="27"/>
      <c r="I34" s="27"/>
      <c r="J34" s="27"/>
      <c r="K34" s="27"/>
      <c r="L34" s="27"/>
      <c r="M34" s="27"/>
      <c r="N34" s="27"/>
      <c r="O34" s="27"/>
      <c r="P34" s="27"/>
      <c r="Q34" s="27"/>
      <c r="R34" s="27"/>
      <c r="S34" s="91"/>
      <c r="T34" s="91"/>
      <c r="U34" s="27"/>
    </row>
    <row r="35" spans="2:21" ht="20.25" hidden="1" customHeight="1">
      <c r="B35" s="746"/>
      <c r="C35" s="638"/>
      <c r="D35" s="142">
        <f>SUM(K52:K81)</f>
        <v>0</v>
      </c>
      <c r="E35" s="143">
        <f>K82</f>
        <v>0</v>
      </c>
      <c r="F35" s="142">
        <f t="shared" si="2"/>
        <v>0</v>
      </c>
      <c r="G35" s="27"/>
      <c r="H35" s="27"/>
      <c r="I35" s="27"/>
      <c r="J35" s="27"/>
      <c r="K35" s="27"/>
      <c r="L35" s="27"/>
      <c r="M35" s="27"/>
      <c r="N35" s="27"/>
      <c r="O35" s="27"/>
      <c r="P35" s="27"/>
      <c r="Q35" s="27"/>
      <c r="R35" s="27"/>
      <c r="S35" s="91"/>
      <c r="T35" s="91"/>
      <c r="U35" s="27"/>
    </row>
    <row r="36" spans="2:21" ht="20.25" hidden="1" customHeight="1">
      <c r="B36" s="746"/>
      <c r="C36" s="638"/>
      <c r="D36" s="142">
        <f>SUM(L52:L81)</f>
        <v>0</v>
      </c>
      <c r="E36" s="143">
        <f>L82</f>
        <v>0</v>
      </c>
      <c r="F36" s="142">
        <f t="shared" si="2"/>
        <v>0</v>
      </c>
      <c r="G36" s="27"/>
      <c r="H36" s="27"/>
      <c r="I36" s="27"/>
      <c r="J36" s="27"/>
      <c r="K36" s="27"/>
      <c r="L36" s="27"/>
      <c r="M36" s="27"/>
      <c r="N36" s="27"/>
      <c r="O36" s="27"/>
      <c r="P36" s="27"/>
      <c r="Q36" s="27"/>
      <c r="R36" s="27"/>
      <c r="S36" s="91"/>
      <c r="T36" s="91"/>
      <c r="U36" s="27"/>
    </row>
    <row r="37" spans="2:21" ht="20.25" hidden="1" customHeight="1">
      <c r="B37" s="746"/>
      <c r="C37" s="638"/>
      <c r="D37" s="142">
        <f>SUM(M52:M81)</f>
        <v>0</v>
      </c>
      <c r="E37" s="143">
        <f>M82</f>
        <v>0</v>
      </c>
      <c r="F37" s="142">
        <f t="shared" si="2"/>
        <v>0</v>
      </c>
      <c r="G37" s="27"/>
      <c r="H37" s="27"/>
      <c r="I37" s="27"/>
      <c r="J37" s="27"/>
      <c r="K37" s="27"/>
      <c r="L37" s="27"/>
      <c r="M37" s="27"/>
      <c r="N37" s="27"/>
      <c r="O37" s="27"/>
      <c r="P37" s="27"/>
      <c r="Q37" s="27"/>
      <c r="R37" s="27"/>
      <c r="S37" s="91"/>
      <c r="T37" s="91"/>
      <c r="U37" s="27"/>
    </row>
    <row r="38" spans="2:21" ht="20.25" hidden="1" customHeight="1">
      <c r="B38" s="746"/>
      <c r="C38" s="638"/>
      <c r="D38" s="142">
        <f>SUM(N52:N81)</f>
        <v>0</v>
      </c>
      <c r="E38" s="143">
        <f>N82</f>
        <v>0</v>
      </c>
      <c r="F38" s="142">
        <f t="shared" si="2"/>
        <v>0</v>
      </c>
      <c r="G38" s="27"/>
      <c r="H38" s="27"/>
      <c r="I38" s="27"/>
      <c r="J38" s="27"/>
      <c r="K38" s="27"/>
      <c r="L38" s="27"/>
      <c r="M38" s="27"/>
      <c r="N38" s="27"/>
      <c r="O38" s="27"/>
      <c r="P38" s="27"/>
      <c r="Q38" s="27"/>
      <c r="R38" s="27"/>
      <c r="S38" s="91"/>
      <c r="T38" s="91"/>
      <c r="U38" s="27"/>
    </row>
    <row r="39" spans="2:21" ht="20.25" hidden="1" customHeight="1">
      <c r="B39" s="746"/>
      <c r="C39" s="638"/>
      <c r="D39" s="142">
        <f>SUM(O52:O81)</f>
        <v>0</v>
      </c>
      <c r="E39" s="143">
        <f>O82</f>
        <v>0</v>
      </c>
      <c r="F39" s="142">
        <f t="shared" si="2"/>
        <v>0</v>
      </c>
      <c r="G39" s="27"/>
      <c r="H39" s="27"/>
      <c r="I39" s="27"/>
      <c r="J39" s="27"/>
      <c r="K39" s="27"/>
      <c r="L39" s="27"/>
      <c r="M39" s="27"/>
      <c r="N39" s="27"/>
      <c r="O39" s="27"/>
      <c r="P39" s="27"/>
      <c r="Q39" s="27"/>
      <c r="R39" s="27"/>
      <c r="S39" s="91"/>
      <c r="T39" s="91"/>
      <c r="U39" s="27"/>
    </row>
    <row r="40" spans="2:21" ht="20.25" hidden="1" customHeight="1">
      <c r="B40" s="746"/>
      <c r="C40" s="761"/>
      <c r="D40" s="144">
        <f>SUM(P52:P81)</f>
        <v>0</v>
      </c>
      <c r="E40" s="145">
        <f>P82</f>
        <v>0</v>
      </c>
      <c r="F40" s="144">
        <f t="shared" si="2"/>
        <v>0</v>
      </c>
      <c r="G40" s="27"/>
      <c r="H40" s="27"/>
      <c r="I40" s="27"/>
      <c r="J40" s="27"/>
      <c r="K40" s="27"/>
      <c r="L40" s="27"/>
      <c r="M40" s="27"/>
      <c r="N40" s="27"/>
      <c r="O40" s="27"/>
      <c r="P40" s="27"/>
      <c r="Q40" s="27"/>
      <c r="R40" s="27"/>
      <c r="S40" s="91"/>
      <c r="T40" s="91"/>
      <c r="U40" s="27"/>
    </row>
    <row r="41" spans="2:21" s="91" customFormat="1" ht="21" hidden="1" customHeight="1">
      <c r="B41" s="747" t="s">
        <v>26</v>
      </c>
      <c r="C41" s="762"/>
      <c r="D41" s="146">
        <f>SUM(D27:D40)</f>
        <v>67799.520026326238</v>
      </c>
      <c r="E41" s="146">
        <f>SUM(E27:E40)</f>
        <v>3737.920262312467</v>
      </c>
      <c r="F41" s="146">
        <f>SUM(F27:F40)</f>
        <v>71537.440288638696</v>
      </c>
      <c r="G41" s="763"/>
    </row>
    <row r="42" spans="2:21" ht="18" hidden="1" customHeight="1">
      <c r="B42" s="27"/>
      <c r="C42" s="96"/>
      <c r="D42" s="27"/>
      <c r="E42" s="92"/>
      <c r="F42" s="27"/>
      <c r="G42" s="27"/>
      <c r="H42" s="27"/>
      <c r="I42" s="27"/>
      <c r="J42" s="27"/>
      <c r="K42" s="27"/>
      <c r="L42" s="27"/>
      <c r="M42" s="27"/>
      <c r="N42" s="27"/>
      <c r="O42" s="27"/>
      <c r="P42" s="27"/>
      <c r="Q42" s="27"/>
      <c r="R42" s="27"/>
      <c r="S42" s="91"/>
      <c r="T42" s="91"/>
      <c r="U42" s="27"/>
    </row>
    <row r="43" spans="2:21" s="760" customFormat="1" ht="20.25" hidden="1">
      <c r="C43" s="754"/>
      <c r="D43" s="754"/>
      <c r="E43" s="754"/>
      <c r="F43" s="754"/>
      <c r="G43" s="754"/>
      <c r="H43" s="754"/>
      <c r="I43" s="754"/>
      <c r="J43" s="754"/>
      <c r="K43" s="754"/>
      <c r="L43" s="764"/>
      <c r="M43" s="754"/>
      <c r="N43" s="754"/>
      <c r="O43" s="754"/>
      <c r="P43" s="754"/>
      <c r="Q43" s="754"/>
      <c r="S43" s="765"/>
      <c r="T43" s="766"/>
      <c r="U43" s="767"/>
    </row>
    <row r="44" spans="2:21" ht="12" hidden="1" customHeight="1">
      <c r="B44" s="120" t="s">
        <v>462</v>
      </c>
      <c r="C44" s="759"/>
      <c r="D44" s="768"/>
      <c r="E44" s="759"/>
      <c r="F44" s="759"/>
      <c r="G44" s="759"/>
      <c r="H44" s="759"/>
      <c r="I44" s="759"/>
      <c r="J44" s="759"/>
      <c r="K44" s="759"/>
      <c r="L44" s="759"/>
      <c r="M44" s="759"/>
      <c r="N44" s="759"/>
      <c r="O44" s="759"/>
      <c r="P44" s="759"/>
      <c r="Q44" s="759"/>
      <c r="R44" s="27"/>
      <c r="S44" s="91"/>
      <c r="T44" s="766"/>
      <c r="U44" s="769"/>
    </row>
    <row r="45" spans="2:21" ht="12" hidden="1" customHeight="1">
      <c r="B45" s="120"/>
      <c r="C45" s="759"/>
      <c r="D45" s="759"/>
      <c r="E45" s="759"/>
      <c r="F45" s="759"/>
      <c r="G45" s="759"/>
      <c r="H45" s="759"/>
      <c r="I45" s="759"/>
      <c r="J45" s="759"/>
      <c r="K45" s="759"/>
      <c r="L45" s="759"/>
      <c r="M45" s="759"/>
      <c r="N45" s="759"/>
      <c r="O45" s="759"/>
      <c r="P45" s="759"/>
      <c r="Q45" s="759"/>
      <c r="R45" s="27"/>
      <c r="S45" s="91"/>
      <c r="T45" s="766"/>
      <c r="U45" s="769"/>
    </row>
    <row r="46" spans="2:21" s="760" customFormat="1" ht="41.25" hidden="1" customHeight="1">
      <c r="B46" s="818" t="s">
        <v>615</v>
      </c>
      <c r="C46" s="818"/>
      <c r="D46" s="818"/>
      <c r="E46" s="818"/>
      <c r="F46" s="818"/>
      <c r="G46" s="818"/>
      <c r="H46" s="818"/>
      <c r="I46" s="818"/>
      <c r="J46" s="818"/>
      <c r="K46" s="818"/>
      <c r="L46" s="617"/>
      <c r="M46" s="745"/>
      <c r="N46" s="745"/>
      <c r="O46" s="745"/>
      <c r="P46" s="745"/>
      <c r="Q46" s="745"/>
      <c r="S46" s="765"/>
      <c r="T46" s="766"/>
      <c r="U46" s="767"/>
    </row>
    <row r="47" spans="2:21" s="760" customFormat="1" ht="48" hidden="1" customHeight="1">
      <c r="B47" s="818" t="s">
        <v>568</v>
      </c>
      <c r="C47" s="818"/>
      <c r="D47" s="818"/>
      <c r="E47" s="818"/>
      <c r="F47" s="818"/>
      <c r="G47" s="818"/>
      <c r="H47" s="818"/>
      <c r="I47" s="818"/>
      <c r="J47" s="818"/>
      <c r="K47" s="818"/>
      <c r="L47" s="617"/>
      <c r="M47" s="745"/>
      <c r="N47" s="745"/>
      <c r="O47" s="745"/>
      <c r="P47" s="745"/>
      <c r="Q47" s="745"/>
      <c r="S47" s="765"/>
      <c r="T47" s="766"/>
      <c r="U47" s="767"/>
    </row>
    <row r="48" spans="2:21" s="760" customFormat="1" ht="26.25" hidden="1" customHeight="1">
      <c r="B48" s="818" t="s">
        <v>624</v>
      </c>
      <c r="C48" s="818"/>
      <c r="D48" s="818"/>
      <c r="E48" s="818"/>
      <c r="F48" s="818"/>
      <c r="G48" s="818"/>
      <c r="H48" s="818"/>
      <c r="I48" s="818"/>
      <c r="J48" s="818"/>
      <c r="K48" s="818"/>
      <c r="L48" s="617"/>
      <c r="M48" s="745"/>
      <c r="N48" s="745"/>
      <c r="O48" s="745"/>
      <c r="P48" s="745"/>
      <c r="Q48" s="745"/>
      <c r="S48" s="765"/>
      <c r="T48" s="766"/>
      <c r="U48" s="767"/>
    </row>
    <row r="49" spans="2:21" ht="15" customHeight="1">
      <c r="B49" s="613"/>
      <c r="C49" s="759"/>
      <c r="D49" s="759"/>
      <c r="E49" s="759"/>
      <c r="F49" s="759"/>
      <c r="G49" s="759"/>
      <c r="H49" s="759"/>
      <c r="I49" s="759"/>
      <c r="J49" s="759"/>
      <c r="K49" s="759"/>
      <c r="L49" s="759"/>
      <c r="M49" s="759"/>
      <c r="N49" s="759"/>
      <c r="O49" s="759"/>
      <c r="P49" s="759"/>
      <c r="Q49" s="759"/>
      <c r="R49" s="27"/>
      <c r="S49" s="91"/>
      <c r="T49" s="766"/>
      <c r="U49" s="769"/>
    </row>
    <row r="50" spans="2:21" s="92" customFormat="1" ht="40.5" customHeight="1">
      <c r="B50" s="770" t="s">
        <v>34</v>
      </c>
      <c r="C50" s="771" t="str">
        <f>IF($B27&lt;&gt;"",$B27,"")</f>
        <v>Residential</v>
      </c>
      <c r="D50" s="771" t="str">
        <f>IF($B28&lt;&gt;"",$B28,"")</f>
        <v>GS&lt;50 kW</v>
      </c>
      <c r="E50" s="771" t="str">
        <f>IF($B29&lt;&gt;"",$B29,"")</f>
        <v>GS&gt;50 kW</v>
      </c>
      <c r="F50" s="771" t="str">
        <f>IF($B30&lt;&gt;"",$B30,"")</f>
        <v>Streetlights</v>
      </c>
      <c r="G50" s="772" t="str">
        <f>IF($B31&lt;&gt;"",$B31,"")</f>
        <v>Unmetered Scattered Load</v>
      </c>
      <c r="H50" s="771" t="s">
        <v>26</v>
      </c>
      <c r="I50" s="137" t="str">
        <f>IF($B33&lt;&gt;"",$B33,"")</f>
        <v/>
      </c>
      <c r="J50" s="137" t="str">
        <f>IF($B34&lt;&gt;"",$B34,"")</f>
        <v/>
      </c>
      <c r="K50" s="137" t="str">
        <f>IF($B35&lt;&gt;"",$B35,"")</f>
        <v/>
      </c>
      <c r="L50" s="137" t="str">
        <f>IF($B36&lt;&gt;"",$B36,"")</f>
        <v/>
      </c>
      <c r="M50" s="137" t="str">
        <f>IF($B37&lt;&gt;"",$B37,"")</f>
        <v/>
      </c>
      <c r="N50" s="137" t="str">
        <f>IF($B38&lt;&gt;"",$B38,"")</f>
        <v/>
      </c>
      <c r="O50" s="137" t="str">
        <f>IF($B39&lt;&gt;"",$B39,"")</f>
        <v/>
      </c>
      <c r="P50" s="137" t="str">
        <f>IF($B40&lt;&gt;"",$B40,"")</f>
        <v/>
      </c>
      <c r="Q50" s="245" t="s">
        <v>26</v>
      </c>
      <c r="S50" s="199"/>
      <c r="T50" s="773"/>
    </row>
    <row r="51" spans="2:21" s="777" customFormat="1" ht="15.75" customHeight="1">
      <c r="B51" s="774"/>
      <c r="C51" s="775" t="str">
        <f>C27</f>
        <v>kWh</v>
      </c>
      <c r="D51" s="775" t="str">
        <f>C28</f>
        <v>kWh</v>
      </c>
      <c r="E51" s="775" t="str">
        <f>C29</f>
        <v>kW</v>
      </c>
      <c r="F51" s="775" t="str">
        <f>C30</f>
        <v>kW</v>
      </c>
      <c r="G51" s="775" t="str">
        <f>C31</f>
        <v>KWh</v>
      </c>
      <c r="H51" s="776"/>
      <c r="I51" s="576">
        <f>C33</f>
        <v>0</v>
      </c>
      <c r="J51" s="576">
        <f>C34</f>
        <v>0</v>
      </c>
      <c r="K51" s="576">
        <f>C35</f>
        <v>0</v>
      </c>
      <c r="L51" s="576">
        <f>C36</f>
        <v>0</v>
      </c>
      <c r="M51" s="576">
        <f>C37</f>
        <v>0</v>
      </c>
      <c r="N51" s="576">
        <f>C38</f>
        <v>0</v>
      </c>
      <c r="O51" s="576">
        <f>C39</f>
        <v>0</v>
      </c>
      <c r="P51" s="576">
        <f>C40</f>
        <v>0</v>
      </c>
      <c r="Q51" s="577"/>
      <c r="T51" s="158"/>
    </row>
    <row r="52" spans="2:21" s="92" customFormat="1" ht="15.75" hidden="1">
      <c r="B52" s="156" t="s">
        <v>143</v>
      </c>
      <c r="C52" s="158"/>
      <c r="D52" s="158"/>
      <c r="E52" s="158"/>
      <c r="F52" s="158"/>
      <c r="G52" s="158"/>
      <c r="H52" s="778">
        <f>'4.  2011-2014 LRAM'!AD131</f>
        <v>0</v>
      </c>
      <c r="I52" s="779">
        <f>'4.  2011-2014 LRAM'!AE131</f>
        <v>0</v>
      </c>
      <c r="J52" s="779">
        <f>'4.  2011-2014 LRAM'!AF131</f>
        <v>0</v>
      </c>
      <c r="K52" s="779">
        <f>'4.  2011-2014 LRAM'!AG131</f>
        <v>0</v>
      </c>
      <c r="L52" s="779">
        <f>'4.  2011-2014 LRAM'!AH131</f>
        <v>0</v>
      </c>
      <c r="M52" s="779">
        <f>'4.  2011-2014 LRAM'!AI131</f>
        <v>0</v>
      </c>
      <c r="N52" s="779">
        <f>'4.  2011-2014 LRAM'!AJ131</f>
        <v>0</v>
      </c>
      <c r="O52" s="779">
        <f>'4.  2011-2014 LRAM'!AK131</f>
        <v>0</v>
      </c>
      <c r="P52" s="779">
        <f>'4.  2011-2014 LRAM'!AL131</f>
        <v>0</v>
      </c>
      <c r="Q52" s="153">
        <f>SUM(C52:P52)</f>
        <v>0</v>
      </c>
      <c r="T52" s="166"/>
      <c r="U52" s="780"/>
    </row>
    <row r="53" spans="2:21" s="92" customFormat="1" ht="15.75" hidden="1">
      <c r="B53" s="156" t="s">
        <v>35</v>
      </c>
      <c r="C53" s="158"/>
      <c r="D53" s="158"/>
      <c r="E53" s="158"/>
      <c r="F53" s="158"/>
      <c r="G53" s="158"/>
      <c r="H53" s="778">
        <f>-'4.  2011-2014 LRAM'!AD132</f>
        <v>0</v>
      </c>
      <c r="I53" s="158">
        <f>-'4.  2011-2014 LRAM'!AE132</f>
        <v>0</v>
      </c>
      <c r="J53" s="158">
        <f>-'4.  2011-2014 LRAM'!AF132</f>
        <v>0</v>
      </c>
      <c r="K53" s="158">
        <f>-'4.  2011-2014 LRAM'!AG132</f>
        <v>0</v>
      </c>
      <c r="L53" s="158">
        <f>-'4.  2011-2014 LRAM'!AH132</f>
        <v>0</v>
      </c>
      <c r="M53" s="158">
        <f>-'4.  2011-2014 LRAM'!AI132</f>
        <v>0</v>
      </c>
      <c r="N53" s="158">
        <f>-'4.  2011-2014 LRAM'!AJ132</f>
        <v>0</v>
      </c>
      <c r="O53" s="158">
        <f>-'4.  2011-2014 LRAM'!AK132</f>
        <v>0</v>
      </c>
      <c r="P53" s="158">
        <f>-'4.  2011-2014 LRAM'!AL132</f>
        <v>0</v>
      </c>
      <c r="Q53" s="159">
        <f>SUM(C53:P53)</f>
        <v>0</v>
      </c>
      <c r="R53" s="781"/>
      <c r="S53" s="199"/>
      <c r="T53" s="782"/>
      <c r="U53" s="780"/>
    </row>
    <row r="54" spans="2:21" s="199" customFormat="1" ht="15.75" hidden="1">
      <c r="B54" s="783" t="s">
        <v>67</v>
      </c>
      <c r="C54" s="784"/>
      <c r="D54" s="784"/>
      <c r="E54" s="784"/>
      <c r="F54" s="784"/>
      <c r="G54" s="784"/>
      <c r="H54" s="785"/>
      <c r="I54" s="786"/>
      <c r="J54" s="163"/>
      <c r="K54" s="163"/>
      <c r="L54" s="163"/>
      <c r="M54" s="163"/>
      <c r="N54" s="163"/>
      <c r="O54" s="163"/>
      <c r="P54" s="163"/>
      <c r="Q54" s="164"/>
      <c r="T54" s="782"/>
      <c r="U54" s="780"/>
    </row>
    <row r="55" spans="2:21" s="92" customFormat="1" ht="15.75" hidden="1">
      <c r="B55" s="156" t="s">
        <v>144</v>
      </c>
      <c r="C55" s="158"/>
      <c r="D55" s="158"/>
      <c r="E55" s="158"/>
      <c r="F55" s="158"/>
      <c r="G55" s="158"/>
      <c r="H55" s="778">
        <f>'4.  2011-2014 LRAM'!AD261</f>
        <v>0</v>
      </c>
      <c r="I55" s="158">
        <f>'4.  2011-2014 LRAM'!AE261</f>
        <v>0</v>
      </c>
      <c r="J55" s="158">
        <f>'4.  2011-2014 LRAM'!AF261</f>
        <v>0</v>
      </c>
      <c r="K55" s="158">
        <f>'4.  2011-2014 LRAM'!AG261</f>
        <v>0</v>
      </c>
      <c r="L55" s="158">
        <f>'4.  2011-2014 LRAM'!AH261</f>
        <v>0</v>
      </c>
      <c r="M55" s="158">
        <f>'4.  2011-2014 LRAM'!AI261</f>
        <v>0</v>
      </c>
      <c r="N55" s="158">
        <f>'4.  2011-2014 LRAM'!AJ261</f>
        <v>0</v>
      </c>
      <c r="O55" s="158">
        <f>'4.  2011-2014 LRAM'!AK261</f>
        <v>0</v>
      </c>
      <c r="P55" s="158">
        <f>'4.  2011-2014 LRAM'!AL261</f>
        <v>0</v>
      </c>
      <c r="Q55" s="159">
        <f>SUM(C55:P55)</f>
        <v>0</v>
      </c>
      <c r="T55" s="166"/>
      <c r="U55" s="780"/>
    </row>
    <row r="56" spans="2:21" s="92" customFormat="1" ht="15.75" hidden="1">
      <c r="B56" s="156" t="s">
        <v>36</v>
      </c>
      <c r="C56" s="158"/>
      <c r="D56" s="158"/>
      <c r="E56" s="158"/>
      <c r="F56" s="158"/>
      <c r="G56" s="158"/>
      <c r="H56" s="778">
        <f>-'4.  2011-2014 LRAM'!AD262</f>
        <v>0</v>
      </c>
      <c r="I56" s="158">
        <f>-'4.  2011-2014 LRAM'!AE262</f>
        <v>0</v>
      </c>
      <c r="J56" s="158">
        <f>-'4.  2011-2014 LRAM'!AF262</f>
        <v>0</v>
      </c>
      <c r="K56" s="158">
        <f>-'4.  2011-2014 LRAM'!AG262</f>
        <v>0</v>
      </c>
      <c r="L56" s="158">
        <f>-'4.  2011-2014 LRAM'!AH262</f>
        <v>0</v>
      </c>
      <c r="M56" s="158">
        <f>-'4.  2011-2014 LRAM'!AI262</f>
        <v>0</v>
      </c>
      <c r="N56" s="158">
        <f>-'4.  2011-2014 LRAM'!AJ262</f>
        <v>0</v>
      </c>
      <c r="O56" s="158">
        <f>-'4.  2011-2014 LRAM'!AK262</f>
        <v>0</v>
      </c>
      <c r="P56" s="158">
        <f>-'4.  2011-2014 LRAM'!AL262</f>
        <v>0</v>
      </c>
      <c r="Q56" s="159">
        <f>SUM(C56:P56)</f>
        <v>0</v>
      </c>
      <c r="R56" s="781"/>
      <c r="T56" s="166"/>
      <c r="U56" s="780"/>
    </row>
    <row r="57" spans="2:21" s="199" customFormat="1" ht="15.75" hidden="1">
      <c r="B57" s="783" t="s">
        <v>67</v>
      </c>
      <c r="C57" s="784"/>
      <c r="D57" s="784"/>
      <c r="E57" s="784"/>
      <c r="F57" s="784"/>
      <c r="G57" s="784"/>
      <c r="H57" s="785"/>
      <c r="I57" s="786"/>
      <c r="J57" s="163"/>
      <c r="K57" s="163"/>
      <c r="L57" s="163"/>
      <c r="M57" s="163"/>
      <c r="N57" s="163"/>
      <c r="O57" s="163"/>
      <c r="P57" s="163"/>
      <c r="Q57" s="164"/>
      <c r="T57" s="782"/>
      <c r="U57" s="780"/>
    </row>
    <row r="58" spans="2:21" s="40" customFormat="1" ht="15.75" hidden="1">
      <c r="B58" s="156" t="s">
        <v>38</v>
      </c>
      <c r="C58" s="158"/>
      <c r="D58" s="158"/>
      <c r="E58" s="158"/>
      <c r="F58" s="158"/>
      <c r="G58" s="158"/>
      <c r="H58" s="778">
        <f>'4.  2011-2014 LRAM'!AD391</f>
        <v>0</v>
      </c>
      <c r="I58" s="158">
        <f>'4.  2011-2014 LRAM'!AE391</f>
        <v>0</v>
      </c>
      <c r="J58" s="158">
        <f>'4.  2011-2014 LRAM'!AF391</f>
        <v>0</v>
      </c>
      <c r="K58" s="158">
        <f>'4.  2011-2014 LRAM'!AG391</f>
        <v>0</v>
      </c>
      <c r="L58" s="158">
        <f>'4.  2011-2014 LRAM'!AH391</f>
        <v>0</v>
      </c>
      <c r="M58" s="158">
        <f>'4.  2011-2014 LRAM'!AI391</f>
        <v>0</v>
      </c>
      <c r="N58" s="158">
        <f>'4.  2011-2014 LRAM'!AJ391</f>
        <v>0</v>
      </c>
      <c r="O58" s="158">
        <f>'4.  2011-2014 LRAM'!AK391</f>
        <v>0</v>
      </c>
      <c r="P58" s="158">
        <f>'4.  2011-2014 LRAM'!AL391</f>
        <v>0</v>
      </c>
      <c r="Q58" s="159">
        <f>SUM(C58:P58)</f>
        <v>0</v>
      </c>
      <c r="T58" s="166"/>
      <c r="U58" s="780"/>
    </row>
    <row r="59" spans="2:21" s="40" customFormat="1" ht="15.75" hidden="1">
      <c r="B59" s="156" t="s">
        <v>37</v>
      </c>
      <c r="C59" s="158"/>
      <c r="D59" s="158"/>
      <c r="E59" s="158"/>
      <c r="F59" s="158"/>
      <c r="G59" s="158"/>
      <c r="H59" s="778">
        <f>-'4.  2011-2014 LRAM'!AD392</f>
        <v>0</v>
      </c>
      <c r="I59" s="158">
        <f>-'4.  2011-2014 LRAM'!AE392</f>
        <v>0</v>
      </c>
      <c r="J59" s="158">
        <f>-'4.  2011-2014 LRAM'!AF392</f>
        <v>0</v>
      </c>
      <c r="K59" s="158">
        <f>-'4.  2011-2014 LRAM'!AG392</f>
        <v>0</v>
      </c>
      <c r="L59" s="158">
        <f>-'4.  2011-2014 LRAM'!AH392</f>
        <v>0</v>
      </c>
      <c r="M59" s="158">
        <f>-'4.  2011-2014 LRAM'!AI392</f>
        <v>0</v>
      </c>
      <c r="N59" s="158">
        <f>-'4.  2011-2014 LRAM'!AJ392</f>
        <v>0</v>
      </c>
      <c r="O59" s="158">
        <f>-'4.  2011-2014 LRAM'!AK392</f>
        <v>0</v>
      </c>
      <c r="P59" s="158">
        <f>-'4.  2011-2014 LRAM'!AL392</f>
        <v>0</v>
      </c>
      <c r="Q59" s="159">
        <f>SUM(C59:P59)</f>
        <v>0</v>
      </c>
      <c r="R59" s="781"/>
      <c r="T59" s="166"/>
      <c r="U59" s="780"/>
    </row>
    <row r="60" spans="2:21" s="199" customFormat="1" ht="15.75" hidden="1">
      <c r="B60" s="783" t="s">
        <v>67</v>
      </c>
      <c r="C60" s="784"/>
      <c r="D60" s="784"/>
      <c r="E60" s="784"/>
      <c r="F60" s="784"/>
      <c r="G60" s="784"/>
      <c r="H60" s="785"/>
      <c r="I60" s="786"/>
      <c r="J60" s="163"/>
      <c r="K60" s="163"/>
      <c r="L60" s="163"/>
      <c r="M60" s="163"/>
      <c r="N60" s="163"/>
      <c r="O60" s="163"/>
      <c r="P60" s="163"/>
      <c r="Q60" s="164"/>
      <c r="T60" s="782"/>
      <c r="U60" s="780"/>
    </row>
    <row r="61" spans="2:21" s="40" customFormat="1" ht="15.75" hidden="1">
      <c r="B61" s="156" t="s">
        <v>40</v>
      </c>
      <c r="C61" s="158"/>
      <c r="D61" s="158"/>
      <c r="E61" s="158"/>
      <c r="F61" s="158"/>
      <c r="G61" s="158"/>
      <c r="H61" s="778">
        <f>'4.  2011-2014 LRAM'!AD521</f>
        <v>0</v>
      </c>
      <c r="I61" s="158">
        <f>'4.  2011-2014 LRAM'!AE521</f>
        <v>0</v>
      </c>
      <c r="J61" s="158">
        <f>'4.  2011-2014 LRAM'!AF521</f>
        <v>0</v>
      </c>
      <c r="K61" s="158">
        <f>'4.  2011-2014 LRAM'!AG521</f>
        <v>0</v>
      </c>
      <c r="L61" s="158">
        <f>'4.  2011-2014 LRAM'!AH521</f>
        <v>0</v>
      </c>
      <c r="M61" s="158">
        <f>'4.  2011-2014 LRAM'!AI521</f>
        <v>0</v>
      </c>
      <c r="N61" s="158">
        <f>'4.  2011-2014 LRAM'!AJ521</f>
        <v>0</v>
      </c>
      <c r="O61" s="158">
        <f>'4.  2011-2014 LRAM'!AK521</f>
        <v>0</v>
      </c>
      <c r="P61" s="158">
        <f>'4.  2011-2014 LRAM'!AL521</f>
        <v>0</v>
      </c>
      <c r="Q61" s="159">
        <f>SUM(C61:P61)</f>
        <v>0</v>
      </c>
      <c r="T61" s="166"/>
      <c r="U61" s="780"/>
    </row>
    <row r="62" spans="2:21" s="40" customFormat="1" ht="15.75" hidden="1">
      <c r="B62" s="156" t="s">
        <v>39</v>
      </c>
      <c r="C62" s="158"/>
      <c r="D62" s="158"/>
      <c r="E62" s="158"/>
      <c r="F62" s="158"/>
      <c r="G62" s="158"/>
      <c r="H62" s="778">
        <f>-'4.  2011-2014 LRAM'!AD522</f>
        <v>0</v>
      </c>
      <c r="I62" s="158">
        <f>-'4.  2011-2014 LRAM'!AE522</f>
        <v>0</v>
      </c>
      <c r="J62" s="158">
        <f>-'4.  2011-2014 LRAM'!AF522</f>
        <v>0</v>
      </c>
      <c r="K62" s="158">
        <f>-'4.  2011-2014 LRAM'!AG522</f>
        <v>0</v>
      </c>
      <c r="L62" s="158">
        <f>-'4.  2011-2014 LRAM'!AH522</f>
        <v>0</v>
      </c>
      <c r="M62" s="158">
        <f>-'4.  2011-2014 LRAM'!AI522</f>
        <v>0</v>
      </c>
      <c r="N62" s="158">
        <f>-'4.  2011-2014 LRAM'!AJ522</f>
        <v>0</v>
      </c>
      <c r="O62" s="158">
        <f>-'4.  2011-2014 LRAM'!AK522</f>
        <v>0</v>
      </c>
      <c r="P62" s="158">
        <f>-'4.  2011-2014 LRAM'!AL522</f>
        <v>0</v>
      </c>
      <c r="Q62" s="159">
        <f>SUM(C62:P62)</f>
        <v>0</v>
      </c>
      <c r="R62" s="781"/>
      <c r="T62" s="166"/>
      <c r="U62" s="780"/>
    </row>
    <row r="63" spans="2:21" s="199" customFormat="1" ht="15.75" hidden="1">
      <c r="B63" s="783" t="s">
        <v>67</v>
      </c>
      <c r="C63" s="784"/>
      <c r="D63" s="784"/>
      <c r="E63" s="784"/>
      <c r="F63" s="784"/>
      <c r="G63" s="784"/>
      <c r="H63" s="785"/>
      <c r="I63" s="786"/>
      <c r="J63" s="163"/>
      <c r="K63" s="163"/>
      <c r="L63" s="163"/>
      <c r="M63" s="163"/>
      <c r="N63" s="163"/>
      <c r="O63" s="163"/>
      <c r="P63" s="163"/>
      <c r="Q63" s="164"/>
      <c r="T63" s="782"/>
      <c r="U63" s="780"/>
    </row>
    <row r="64" spans="2:21" s="40" customFormat="1" ht="15.75" hidden="1">
      <c r="B64" s="156" t="s">
        <v>94</v>
      </c>
      <c r="C64" s="166"/>
      <c r="D64" s="166"/>
      <c r="E64" s="166"/>
      <c r="F64" s="166"/>
      <c r="G64" s="166"/>
      <c r="H64" s="787">
        <f>'5.  2015-2020 LRAM'!AD204</f>
        <v>0</v>
      </c>
      <c r="I64" s="166">
        <f>'5.  2015-2020 LRAM'!AE204</f>
        <v>0</v>
      </c>
      <c r="J64" s="166">
        <f>'5.  2015-2020 LRAM'!AF204</f>
        <v>0</v>
      </c>
      <c r="K64" s="166">
        <f>'5.  2015-2020 LRAM'!AG204</f>
        <v>0</v>
      </c>
      <c r="L64" s="166">
        <f>'5.  2015-2020 LRAM'!AH204</f>
        <v>0</v>
      </c>
      <c r="M64" s="166">
        <f>'5.  2015-2020 LRAM'!AI204</f>
        <v>0</v>
      </c>
      <c r="N64" s="166">
        <f>'5.  2015-2020 LRAM'!AJ204</f>
        <v>0</v>
      </c>
      <c r="O64" s="166">
        <f>'5.  2015-2020 LRAM'!AK204</f>
        <v>0</v>
      </c>
      <c r="P64" s="166">
        <f>'5.  2015-2020 LRAM'!AL204</f>
        <v>0</v>
      </c>
      <c r="Q64" s="159">
        <f>SUM(C64:P64)</f>
        <v>0</v>
      </c>
      <c r="T64" s="166"/>
      <c r="U64" s="780"/>
    </row>
    <row r="65" spans="2:31" s="40" customFormat="1" ht="15.75" hidden="1">
      <c r="B65" s="156" t="s">
        <v>93</v>
      </c>
      <c r="C65" s="166"/>
      <c r="D65" s="166"/>
      <c r="E65" s="166"/>
      <c r="F65" s="166"/>
      <c r="G65" s="166"/>
      <c r="H65" s="787">
        <f>-'5.  2015-2020 LRAM'!AD205</f>
        <v>0</v>
      </c>
      <c r="I65" s="166">
        <f>-'5.  2015-2020 LRAM'!AE205</f>
        <v>0</v>
      </c>
      <c r="J65" s="166">
        <f>-'5.  2015-2020 LRAM'!AF205</f>
        <v>0</v>
      </c>
      <c r="K65" s="166">
        <f>-'5.  2015-2020 LRAM'!AG205</f>
        <v>0</v>
      </c>
      <c r="L65" s="166">
        <f>-'5.  2015-2020 LRAM'!AH205</f>
        <v>0</v>
      </c>
      <c r="M65" s="166">
        <f>-'5.  2015-2020 LRAM'!AI205</f>
        <v>0</v>
      </c>
      <c r="N65" s="166">
        <f>-'5.  2015-2020 LRAM'!AJ205</f>
        <v>0</v>
      </c>
      <c r="O65" s="166">
        <f>-'5.  2015-2020 LRAM'!AK205</f>
        <v>0</v>
      </c>
      <c r="P65" s="166">
        <f>-'5.  2015-2020 LRAM'!AL205</f>
        <v>0</v>
      </c>
      <c r="Q65" s="159">
        <f>SUM(C65:P65)</f>
        <v>0</v>
      </c>
      <c r="R65" s="781"/>
      <c r="T65" s="166"/>
      <c r="U65" s="780"/>
    </row>
    <row r="66" spans="2:31" s="199" customFormat="1" ht="15.75" hidden="1">
      <c r="B66" s="783" t="s">
        <v>67</v>
      </c>
      <c r="C66" s="784"/>
      <c r="D66" s="784"/>
      <c r="E66" s="784"/>
      <c r="F66" s="784"/>
      <c r="G66" s="784"/>
      <c r="H66" s="785"/>
      <c r="I66" s="786"/>
      <c r="J66" s="163"/>
      <c r="K66" s="163"/>
      <c r="L66" s="163"/>
      <c r="M66" s="163"/>
      <c r="N66" s="163"/>
      <c r="O66" s="163"/>
      <c r="P66" s="163"/>
      <c r="Q66" s="164"/>
      <c r="T66" s="782"/>
      <c r="U66" s="780"/>
      <c r="Y66" s="199" t="s">
        <v>29</v>
      </c>
      <c r="Z66" s="199" t="s">
        <v>373</v>
      </c>
      <c r="AA66" s="199" t="s">
        <v>374</v>
      </c>
      <c r="AB66" s="199" t="s">
        <v>684</v>
      </c>
      <c r="AC66" s="199" t="s">
        <v>32</v>
      </c>
    </row>
    <row r="67" spans="2:31" s="40" customFormat="1" ht="15.75">
      <c r="B67" s="156" t="s">
        <v>226</v>
      </c>
      <c r="C67" s="803">
        <f>'1.  LRAMVA Summary'!D67</f>
        <v>58866.848747204342</v>
      </c>
      <c r="D67" s="803">
        <f>'1.  LRAMVA Summary'!E67</f>
        <v>70506.607678008761</v>
      </c>
      <c r="E67" s="803">
        <f>'1.  LRAMVA Summary'!F67</f>
        <v>11604.187427368668</v>
      </c>
      <c r="F67" s="803">
        <f>'1.  LRAMVA Summary'!G67</f>
        <v>0</v>
      </c>
      <c r="G67" s="803">
        <f>'1.  LRAMVA Summary'!H67</f>
        <v>0</v>
      </c>
      <c r="H67" s="804">
        <f>SUM(C67:G67)</f>
        <v>140977.64385258176</v>
      </c>
      <c r="I67" s="158">
        <f>'5.  2015-2020 LRAM'!AE388</f>
        <v>0</v>
      </c>
      <c r="J67" s="158">
        <f>'5.  2015-2020 LRAM'!AF388</f>
        <v>0</v>
      </c>
      <c r="K67" s="158">
        <f>'5.  2015-2020 LRAM'!AG388</f>
        <v>0</v>
      </c>
      <c r="L67" s="158">
        <f>'5.  2015-2020 LRAM'!AH388</f>
        <v>0</v>
      </c>
      <c r="M67" s="158">
        <f>'5.  2015-2020 LRAM'!AI388</f>
        <v>0</v>
      </c>
      <c r="N67" s="158">
        <f>'5.  2015-2020 LRAM'!AJ388</f>
        <v>0</v>
      </c>
      <c r="O67" s="158">
        <f>'5.  2015-2020 LRAM'!AK388</f>
        <v>0</v>
      </c>
      <c r="P67" s="158">
        <f>'5.  2015-2020 LRAM'!AL388</f>
        <v>0</v>
      </c>
      <c r="Q67" s="159">
        <f>SUM(C67:P67)</f>
        <v>281955.28770516353</v>
      </c>
      <c r="T67" s="166"/>
      <c r="U67" s="780"/>
      <c r="Y67" s="788">
        <f>C67+C68</f>
        <v>36136.298047204342</v>
      </c>
      <c r="Z67" s="788">
        <f t="shared" ref="Z67:AC67" si="3">D67+D68</f>
        <v>63066.343178008763</v>
      </c>
      <c r="AA67" s="788">
        <f t="shared" si="3"/>
        <v>-22762.835172631334</v>
      </c>
      <c r="AB67" s="788">
        <f t="shared" si="3"/>
        <v>-2955.0135999999998</v>
      </c>
      <c r="AC67" s="788">
        <f t="shared" si="3"/>
        <v>-55.2712</v>
      </c>
      <c r="AD67" s="788"/>
      <c r="AE67" s="788"/>
    </row>
    <row r="68" spans="2:31" s="40" customFormat="1" ht="15.75">
      <c r="B68" s="156" t="s">
        <v>225</v>
      </c>
      <c r="C68" s="805">
        <f>'1.  LRAMVA Summary'!D68</f>
        <v>-22730.550699999996</v>
      </c>
      <c r="D68" s="805">
        <f>'1.  LRAMVA Summary'!E68</f>
        <v>-7440.2645000000002</v>
      </c>
      <c r="E68" s="805">
        <f>'1.  LRAMVA Summary'!F68</f>
        <v>-34367.022600000004</v>
      </c>
      <c r="F68" s="805">
        <f>'1.  LRAMVA Summary'!G68</f>
        <v>-2955.0135999999998</v>
      </c>
      <c r="G68" s="805">
        <f>'1.  LRAMVA Summary'!H68</f>
        <v>-55.2712</v>
      </c>
      <c r="H68" s="806">
        <f t="shared" ref="H68:H86" si="4">SUM(C68:G68)</f>
        <v>-67548.122600000002</v>
      </c>
      <c r="I68" s="158">
        <f>-'5.  2015-2020 LRAM'!AE389</f>
        <v>0</v>
      </c>
      <c r="J68" s="158">
        <f>-'5.  2015-2020 LRAM'!AF389</f>
        <v>0</v>
      </c>
      <c r="K68" s="158">
        <f>-'5.  2015-2020 LRAM'!AG389</f>
        <v>0</v>
      </c>
      <c r="L68" s="158">
        <f>-'5.  2015-2020 LRAM'!AH389</f>
        <v>0</v>
      </c>
      <c r="M68" s="158">
        <f>-'5.  2015-2020 LRAM'!AI389</f>
        <v>0</v>
      </c>
      <c r="N68" s="158">
        <f>-'5.  2015-2020 LRAM'!AJ389</f>
        <v>0</v>
      </c>
      <c r="O68" s="158">
        <f>-'5.  2015-2020 LRAM'!AK389</f>
        <v>0</v>
      </c>
      <c r="P68" s="158">
        <f>-'5.  2015-2020 LRAM'!AL389</f>
        <v>0</v>
      </c>
      <c r="Q68" s="159">
        <f>SUM(C68:P68)</f>
        <v>-135096.2452</v>
      </c>
      <c r="R68" s="781"/>
      <c r="T68" s="166"/>
      <c r="U68" s="780"/>
    </row>
    <row r="69" spans="2:31" s="199" customFormat="1" ht="15.75" hidden="1">
      <c r="B69" s="783" t="s">
        <v>67</v>
      </c>
      <c r="C69" s="807">
        <f>'1.  LRAMVA Summary'!D69</f>
        <v>0</v>
      </c>
      <c r="D69" s="807"/>
      <c r="E69" s="807"/>
      <c r="F69" s="807"/>
      <c r="G69" s="807"/>
      <c r="H69" s="808">
        <f t="shared" si="4"/>
        <v>0</v>
      </c>
      <c r="I69" s="786"/>
      <c r="J69" s="163"/>
      <c r="K69" s="163"/>
      <c r="L69" s="163"/>
      <c r="M69" s="163"/>
      <c r="N69" s="163"/>
      <c r="O69" s="163"/>
      <c r="P69" s="163"/>
      <c r="Q69" s="164"/>
      <c r="T69" s="782"/>
      <c r="U69" s="780"/>
    </row>
    <row r="70" spans="2:31" s="40" customFormat="1" ht="15.75" hidden="1">
      <c r="B70" s="156" t="s">
        <v>228</v>
      </c>
      <c r="C70" s="803">
        <f>'1.  LRAMVA Summary'!D70</f>
        <v>0</v>
      </c>
      <c r="D70" s="803">
        <f>'5.  2015-2020 LRAM'!Z572</f>
        <v>12972.251310576761</v>
      </c>
      <c r="E70" s="803">
        <f>'5.  2015-2020 LRAM'!AA572</f>
        <v>2293.6592304148317</v>
      </c>
      <c r="F70" s="803">
        <f>'5.  2015-2020 LRAM'!AB572</f>
        <v>0</v>
      </c>
      <c r="G70" s="803">
        <f>'5.  2015-2020 LRAM'!AC572</f>
        <v>0</v>
      </c>
      <c r="H70" s="804">
        <f t="shared" si="4"/>
        <v>15265.910540991594</v>
      </c>
      <c r="I70" s="158">
        <f>'5.  2015-2020 LRAM'!AE572</f>
        <v>0</v>
      </c>
      <c r="J70" s="158">
        <f>'5.  2015-2020 LRAM'!AF572</f>
        <v>0</v>
      </c>
      <c r="K70" s="158">
        <f>'5.  2015-2020 LRAM'!AG572</f>
        <v>0</v>
      </c>
      <c r="L70" s="158">
        <f>'5.  2015-2020 LRAM'!AH572</f>
        <v>0</v>
      </c>
      <c r="M70" s="158">
        <f>'5.  2015-2020 LRAM'!AI572</f>
        <v>0</v>
      </c>
      <c r="N70" s="158">
        <f>'5.  2015-2020 LRAM'!AJ572</f>
        <v>0</v>
      </c>
      <c r="O70" s="158">
        <f>'5.  2015-2020 LRAM'!AK572</f>
        <v>0</v>
      </c>
      <c r="P70" s="158">
        <f>'5.  2015-2020 LRAM'!AL572</f>
        <v>0</v>
      </c>
      <c r="Q70" s="159">
        <f>SUM(C70:P70)</f>
        <v>30531.821081983187</v>
      </c>
      <c r="T70" s="166"/>
      <c r="U70" s="780"/>
    </row>
    <row r="71" spans="2:31" s="40" customFormat="1" ht="15.75" hidden="1">
      <c r="B71" s="156" t="s">
        <v>227</v>
      </c>
      <c r="C71" s="803">
        <f>'1.  LRAMVA Summary'!D71</f>
        <v>0</v>
      </c>
      <c r="D71" s="803">
        <f>-'5.  2015-2020 LRAM'!Z573</f>
        <v>-7009.763519218186</v>
      </c>
      <c r="E71" s="803">
        <f>-'5.  2015-2020 LRAM'!AA573</f>
        <v>-3072.856616661295</v>
      </c>
      <c r="F71" s="803">
        <f>-'5.  2015-2020 LRAM'!AB573</f>
        <v>0</v>
      </c>
      <c r="G71" s="803">
        <f>-'5.  2015-2020 LRAM'!AC573</f>
        <v>0</v>
      </c>
      <c r="H71" s="804">
        <f t="shared" si="4"/>
        <v>-10082.620135879481</v>
      </c>
      <c r="I71" s="158">
        <f>-'5.  2015-2020 LRAM'!AE573</f>
        <v>0</v>
      </c>
      <c r="J71" s="158">
        <f>-'5.  2015-2020 LRAM'!AF573</f>
        <v>0</v>
      </c>
      <c r="K71" s="158">
        <f>-'5.  2015-2020 LRAM'!AG573</f>
        <v>0</v>
      </c>
      <c r="L71" s="158">
        <f>-'5.  2015-2020 LRAM'!AH573</f>
        <v>0</v>
      </c>
      <c r="M71" s="158">
        <f>-'5.  2015-2020 LRAM'!AI573</f>
        <v>0</v>
      </c>
      <c r="N71" s="158">
        <f>-'5.  2015-2020 LRAM'!AJ573</f>
        <v>0</v>
      </c>
      <c r="O71" s="158">
        <f>-'5.  2015-2020 LRAM'!AK573</f>
        <v>0</v>
      </c>
      <c r="P71" s="158">
        <f>-'5.  2015-2020 LRAM'!AL573</f>
        <v>0</v>
      </c>
      <c r="Q71" s="159">
        <f>SUM(C71:P71)</f>
        <v>-20165.240271758961</v>
      </c>
      <c r="R71" s="781"/>
      <c r="T71" s="166"/>
      <c r="U71" s="780"/>
    </row>
    <row r="72" spans="2:31" s="199" customFormat="1" ht="15.75" hidden="1">
      <c r="B72" s="783" t="s">
        <v>67</v>
      </c>
      <c r="C72" s="807">
        <f>'1.  LRAMVA Summary'!D72</f>
        <v>0</v>
      </c>
      <c r="D72" s="807"/>
      <c r="E72" s="807"/>
      <c r="F72" s="807"/>
      <c r="G72" s="807"/>
      <c r="H72" s="808">
        <f t="shared" si="4"/>
        <v>0</v>
      </c>
      <c r="I72" s="786"/>
      <c r="J72" s="163"/>
      <c r="K72" s="163"/>
      <c r="L72" s="163"/>
      <c r="M72" s="163"/>
      <c r="N72" s="163"/>
      <c r="O72" s="163"/>
      <c r="P72" s="163"/>
      <c r="Q72" s="164"/>
      <c r="T72" s="782"/>
      <c r="U72" s="780"/>
    </row>
    <row r="73" spans="2:31" s="40" customFormat="1" ht="15.75" hidden="1">
      <c r="B73" s="156" t="s">
        <v>230</v>
      </c>
      <c r="C73" s="803">
        <f>'1.  LRAMVA Summary'!D73</f>
        <v>0</v>
      </c>
      <c r="D73" s="803">
        <f>'5.  2015-2020 LRAM'!Z756</f>
        <v>7110.6234259695275</v>
      </c>
      <c r="E73" s="803">
        <f>'5.  2015-2020 LRAM'!AA756</f>
        <v>3111.2228756548739</v>
      </c>
      <c r="F73" s="803">
        <f>'5.  2015-2020 LRAM'!AB756</f>
        <v>0</v>
      </c>
      <c r="G73" s="803">
        <f>'5.  2015-2020 LRAM'!AC756</f>
        <v>0</v>
      </c>
      <c r="H73" s="804">
        <f t="shared" si="4"/>
        <v>10221.846301624402</v>
      </c>
      <c r="I73" s="158">
        <f>'5.  2015-2020 LRAM'!AE756</f>
        <v>0</v>
      </c>
      <c r="J73" s="158">
        <f>'5.  2015-2020 LRAM'!AF756</f>
        <v>0</v>
      </c>
      <c r="K73" s="158">
        <f>'5.  2015-2020 LRAM'!AG756</f>
        <v>0</v>
      </c>
      <c r="L73" s="158">
        <f>'5.  2015-2020 LRAM'!AH756</f>
        <v>0</v>
      </c>
      <c r="M73" s="158">
        <f>'5.  2015-2020 LRAM'!AI756</f>
        <v>0</v>
      </c>
      <c r="N73" s="158">
        <f>'5.  2015-2020 LRAM'!AJ756</f>
        <v>0</v>
      </c>
      <c r="O73" s="158">
        <f>'5.  2015-2020 LRAM'!AK756</f>
        <v>0</v>
      </c>
      <c r="P73" s="158">
        <f>'5.  2015-2020 LRAM'!AL756</f>
        <v>0</v>
      </c>
      <c r="Q73" s="159">
        <f>SUM(C73:P73)</f>
        <v>20443.692603248805</v>
      </c>
      <c r="T73" s="166"/>
      <c r="U73" s="780"/>
    </row>
    <row r="74" spans="2:31" s="40" customFormat="1" ht="16.5" hidden="1" customHeight="1">
      <c r="B74" s="156" t="s">
        <v>229</v>
      </c>
      <c r="C74" s="803">
        <f>'1.  LRAMVA Summary'!D74</f>
        <v>0</v>
      </c>
      <c r="D74" s="803">
        <f>-'5.  2015-2020 LRAM'!Z757</f>
        <v>-1628.2705858726883</v>
      </c>
      <c r="E74" s="803">
        <f>-'5.  2015-2020 LRAM'!AA757</f>
        <v>-12508.862431713353</v>
      </c>
      <c r="F74" s="803">
        <f>-'5.  2015-2020 LRAM'!AB757</f>
        <v>-40797.76492856913</v>
      </c>
      <c r="G74" s="803">
        <f>-'5.  2015-2020 LRAM'!AC757</f>
        <v>0</v>
      </c>
      <c r="H74" s="804">
        <f t="shared" si="4"/>
        <v>-54934.897946155172</v>
      </c>
      <c r="I74" s="158">
        <f>-'5.  2015-2020 LRAM'!AE757</f>
        <v>0</v>
      </c>
      <c r="J74" s="158">
        <f>-'5.  2015-2020 LRAM'!AF757</f>
        <v>0</v>
      </c>
      <c r="K74" s="158">
        <f>-'5.  2015-2020 LRAM'!AG757</f>
        <v>0</v>
      </c>
      <c r="L74" s="158">
        <f>-'5.  2015-2020 LRAM'!AH757</f>
        <v>0</v>
      </c>
      <c r="M74" s="158">
        <f>-'5.  2015-2020 LRAM'!AI757</f>
        <v>0</v>
      </c>
      <c r="N74" s="158">
        <f>-'5.  2015-2020 LRAM'!AJ757</f>
        <v>0</v>
      </c>
      <c r="O74" s="158">
        <f>-'5.  2015-2020 LRAM'!AK757</f>
        <v>0</v>
      </c>
      <c r="P74" s="158">
        <f>-'5.  2015-2020 LRAM'!AL757</f>
        <v>0</v>
      </c>
      <c r="Q74" s="159">
        <f>SUM(C74:P74)</f>
        <v>-109869.79589231034</v>
      </c>
      <c r="R74" s="781"/>
      <c r="T74" s="166"/>
      <c r="U74" s="780"/>
    </row>
    <row r="75" spans="2:31" s="199" customFormat="1" ht="15.75" hidden="1">
      <c r="B75" s="783" t="s">
        <v>67</v>
      </c>
      <c r="C75" s="807">
        <f>'1.  LRAMVA Summary'!D75</f>
        <v>0</v>
      </c>
      <c r="D75" s="807"/>
      <c r="E75" s="807"/>
      <c r="F75" s="807"/>
      <c r="G75" s="807"/>
      <c r="H75" s="808">
        <f t="shared" si="4"/>
        <v>0</v>
      </c>
      <c r="I75" s="786"/>
      <c r="J75" s="163"/>
      <c r="K75" s="163"/>
      <c r="L75" s="163"/>
      <c r="M75" s="163"/>
      <c r="N75" s="163"/>
      <c r="O75" s="163"/>
      <c r="P75" s="163"/>
      <c r="Q75" s="164"/>
      <c r="T75" s="782"/>
      <c r="U75" s="780"/>
    </row>
    <row r="76" spans="2:31" s="40" customFormat="1" ht="15.75" hidden="1">
      <c r="B76" s="156" t="s">
        <v>232</v>
      </c>
      <c r="C76" s="803">
        <f>'1.  LRAMVA Summary'!D76</f>
        <v>0</v>
      </c>
      <c r="D76" s="803">
        <f>'5.  2015-2020 LRAM'!Z940</f>
        <v>0</v>
      </c>
      <c r="E76" s="803">
        <f>'5.  2015-2020 LRAM'!AA940</f>
        <v>0</v>
      </c>
      <c r="F76" s="803">
        <f>'5.  2015-2020 LRAM'!AB940</f>
        <v>0</v>
      </c>
      <c r="G76" s="803">
        <f>'5.  2015-2020 LRAM'!AC940</f>
        <v>0</v>
      </c>
      <c r="H76" s="804">
        <f t="shared" si="4"/>
        <v>0</v>
      </c>
      <c r="I76" s="158">
        <f>'5.  2015-2020 LRAM'!AE940</f>
        <v>0</v>
      </c>
      <c r="J76" s="158">
        <f>'5.  2015-2020 LRAM'!AF940</f>
        <v>0</v>
      </c>
      <c r="K76" s="158">
        <f>'5.  2015-2020 LRAM'!AG940</f>
        <v>0</v>
      </c>
      <c r="L76" s="158">
        <f>'5.  2015-2020 LRAM'!AH940</f>
        <v>0</v>
      </c>
      <c r="M76" s="158">
        <f>'5.  2015-2020 LRAM'!AI940</f>
        <v>0</v>
      </c>
      <c r="N76" s="158">
        <f>'5.  2015-2020 LRAM'!AJ940</f>
        <v>0</v>
      </c>
      <c r="O76" s="158">
        <f>'5.  2015-2020 LRAM'!AK940</f>
        <v>0</v>
      </c>
      <c r="P76" s="158">
        <f>'5.  2015-2020 LRAM'!AL940</f>
        <v>0</v>
      </c>
      <c r="Q76" s="159">
        <f>SUM(C76:P76)</f>
        <v>0</v>
      </c>
      <c r="T76" s="166"/>
      <c r="U76" s="780"/>
    </row>
    <row r="77" spans="2:31" s="40" customFormat="1" ht="15.75" hidden="1">
      <c r="B77" s="156" t="s">
        <v>231</v>
      </c>
      <c r="C77" s="803">
        <f>'1.  LRAMVA Summary'!D77</f>
        <v>0</v>
      </c>
      <c r="D77" s="803">
        <f>-'5.  2015-2020 LRAM'!Z941</f>
        <v>0</v>
      </c>
      <c r="E77" s="803">
        <f>-'5.  2015-2020 LRAM'!AA941</f>
        <v>0</v>
      </c>
      <c r="F77" s="803">
        <f>-'5.  2015-2020 LRAM'!AB941</f>
        <v>0</v>
      </c>
      <c r="G77" s="803">
        <f>-'5.  2015-2020 LRAM'!AC941</f>
        <v>0</v>
      </c>
      <c r="H77" s="804">
        <f t="shared" si="4"/>
        <v>0</v>
      </c>
      <c r="I77" s="158">
        <f>-'5.  2015-2020 LRAM'!AE941</f>
        <v>0</v>
      </c>
      <c r="J77" s="158">
        <f>-'5.  2015-2020 LRAM'!AF941</f>
        <v>0</v>
      </c>
      <c r="K77" s="158">
        <f>-'5.  2015-2020 LRAM'!AG941</f>
        <v>0</v>
      </c>
      <c r="L77" s="158">
        <f>-'5.  2015-2020 LRAM'!AH941</f>
        <v>0</v>
      </c>
      <c r="M77" s="158">
        <f>-'5.  2015-2020 LRAM'!AI941</f>
        <v>0</v>
      </c>
      <c r="N77" s="158">
        <f>-'5.  2015-2020 LRAM'!AJ941</f>
        <v>0</v>
      </c>
      <c r="O77" s="158">
        <f>-'5.  2015-2020 LRAM'!AK941</f>
        <v>0</v>
      </c>
      <c r="P77" s="158">
        <f>-'5.  2015-2020 LRAM'!AL941</f>
        <v>0</v>
      </c>
      <c r="Q77" s="159">
        <f>SUM(C77:P77)</f>
        <v>0</v>
      </c>
      <c r="R77" s="781"/>
      <c r="T77" s="166"/>
      <c r="U77" s="780"/>
    </row>
    <row r="78" spans="2:31" s="199" customFormat="1" ht="15.75" hidden="1">
      <c r="B78" s="783" t="s">
        <v>67</v>
      </c>
      <c r="C78" s="807">
        <f>'1.  LRAMVA Summary'!D78</f>
        <v>0</v>
      </c>
      <c r="D78" s="807"/>
      <c r="E78" s="807"/>
      <c r="F78" s="807"/>
      <c r="G78" s="807"/>
      <c r="H78" s="808">
        <f t="shared" si="4"/>
        <v>0</v>
      </c>
      <c r="I78" s="786"/>
      <c r="J78" s="163"/>
      <c r="K78" s="163"/>
      <c r="L78" s="163"/>
      <c r="M78" s="163"/>
      <c r="N78" s="163"/>
      <c r="O78" s="163"/>
      <c r="P78" s="163"/>
      <c r="Q78" s="164"/>
      <c r="T78" s="782"/>
      <c r="U78" s="780"/>
    </row>
    <row r="79" spans="2:31" s="40" customFormat="1" ht="15.75" hidden="1">
      <c r="B79" s="156" t="s">
        <v>234</v>
      </c>
      <c r="C79" s="803">
        <f>'1.  LRAMVA Summary'!D79</f>
        <v>0</v>
      </c>
      <c r="D79" s="803">
        <f>'5.  2015-2020 LRAM'!Z1124</f>
        <v>0</v>
      </c>
      <c r="E79" s="803">
        <f>'5.  2015-2020 LRAM'!AA1124</f>
        <v>0</v>
      </c>
      <c r="F79" s="803">
        <f>'5.  2015-2020 LRAM'!AB1124</f>
        <v>0</v>
      </c>
      <c r="G79" s="803">
        <f>'5.  2015-2020 LRAM'!AC1124</f>
        <v>0</v>
      </c>
      <c r="H79" s="804">
        <f t="shared" si="4"/>
        <v>0</v>
      </c>
      <c r="I79" s="158">
        <f>'5.  2015-2020 LRAM'!AE1124</f>
        <v>0</v>
      </c>
      <c r="J79" s="158">
        <f>'5.  2015-2020 LRAM'!AF1124</f>
        <v>0</v>
      </c>
      <c r="K79" s="158">
        <f>'5.  2015-2020 LRAM'!AG1124</f>
        <v>0</v>
      </c>
      <c r="L79" s="158">
        <f>'5.  2015-2020 LRAM'!AH1124</f>
        <v>0</v>
      </c>
      <c r="M79" s="158">
        <f>'5.  2015-2020 LRAM'!AI1124</f>
        <v>0</v>
      </c>
      <c r="N79" s="158">
        <f>'5.  2015-2020 LRAM'!AJ1124</f>
        <v>0</v>
      </c>
      <c r="O79" s="158">
        <f>'5.  2015-2020 LRAM'!AK1124</f>
        <v>0</v>
      </c>
      <c r="P79" s="158">
        <f>'5.  2015-2020 LRAM'!AL1124</f>
        <v>0</v>
      </c>
      <c r="Q79" s="159">
        <f>SUM(C79:P79)</f>
        <v>0</v>
      </c>
      <c r="T79" s="166"/>
      <c r="U79" s="780"/>
    </row>
    <row r="80" spans="2:31" s="40" customFormat="1" ht="15.75" hidden="1">
      <c r="B80" s="156" t="s">
        <v>233</v>
      </c>
      <c r="C80" s="803">
        <f>'1.  LRAMVA Summary'!D80</f>
        <v>0</v>
      </c>
      <c r="D80" s="803">
        <f>-'5.  2015-2020 LRAM'!Z1125</f>
        <v>0</v>
      </c>
      <c r="E80" s="803">
        <f>-'5.  2015-2020 LRAM'!AA1125</f>
        <v>0</v>
      </c>
      <c r="F80" s="803">
        <f>-'5.  2015-2020 LRAM'!AB1125</f>
        <v>0</v>
      </c>
      <c r="G80" s="803">
        <f>-'5.  2015-2020 LRAM'!AC1125</f>
        <v>0</v>
      </c>
      <c r="H80" s="804">
        <f t="shared" si="4"/>
        <v>0</v>
      </c>
      <c r="I80" s="158">
        <f>-'5.  2015-2020 LRAM'!AE1125</f>
        <v>0</v>
      </c>
      <c r="J80" s="158">
        <f>-'5.  2015-2020 LRAM'!AF1125</f>
        <v>0</v>
      </c>
      <c r="K80" s="158">
        <f>-'5.  2015-2020 LRAM'!AG1125</f>
        <v>0</v>
      </c>
      <c r="L80" s="158">
        <f>-'5.  2015-2020 LRAM'!AH1125</f>
        <v>0</v>
      </c>
      <c r="M80" s="158">
        <f>-'5.  2015-2020 LRAM'!AI1125</f>
        <v>0</v>
      </c>
      <c r="N80" s="158">
        <f>-'5.  2015-2020 LRAM'!AJ1125</f>
        <v>0</v>
      </c>
      <c r="O80" s="158">
        <f>-'5.  2015-2020 LRAM'!AK1125</f>
        <v>0</v>
      </c>
      <c r="P80" s="158">
        <f>-'5.  2015-2020 LRAM'!AL1125</f>
        <v>0</v>
      </c>
      <c r="Q80" s="159">
        <f>SUM(C80:P80)</f>
        <v>0</v>
      </c>
      <c r="R80" s="781"/>
      <c r="T80" s="166"/>
      <c r="U80" s="780"/>
    </row>
    <row r="81" spans="2:21" s="199" customFormat="1" ht="15.75" hidden="1">
      <c r="B81" s="783" t="s">
        <v>67</v>
      </c>
      <c r="C81" s="807">
        <f>'1.  LRAMVA Summary'!D81</f>
        <v>0</v>
      </c>
      <c r="D81" s="807"/>
      <c r="E81" s="807"/>
      <c r="F81" s="807"/>
      <c r="G81" s="807"/>
      <c r="H81" s="808">
        <f t="shared" si="4"/>
        <v>0</v>
      </c>
      <c r="I81" s="786"/>
      <c r="J81" s="163"/>
      <c r="K81" s="163"/>
      <c r="L81" s="163"/>
      <c r="M81" s="163"/>
      <c r="N81" s="163"/>
      <c r="O81" s="163"/>
      <c r="P81" s="163"/>
      <c r="Q81" s="164"/>
      <c r="T81" s="782"/>
      <c r="U81" s="780"/>
    </row>
    <row r="82" spans="2:21" s="92" customFormat="1" ht="20.25" hidden="1" customHeight="1">
      <c r="B82" s="789" t="s">
        <v>43</v>
      </c>
      <c r="C82" s="803">
        <f>'1.  LRAMVA Summary'!D82</f>
        <v>1680.9401308291222</v>
      </c>
      <c r="D82" s="803">
        <f>'6.  Carrying Charges'!J102</f>
        <v>317.95948018912753</v>
      </c>
      <c r="E82" s="803">
        <f>'6.  Carrying Charges'!K102</f>
        <v>-114.76262732868298</v>
      </c>
      <c r="F82" s="803">
        <f>'6.  Carrying Charges'!L102</f>
        <v>-14.898193566666665</v>
      </c>
      <c r="G82" s="803">
        <f>'6.  Carrying Charges'!M102</f>
        <v>-0.27865896666666667</v>
      </c>
      <c r="H82" s="804">
        <f t="shared" si="4"/>
        <v>1868.9601311562335</v>
      </c>
      <c r="I82" s="790">
        <f>'6.  Carrying Charges'!O102</f>
        <v>0</v>
      </c>
      <c r="J82" s="679">
        <f>'6.  Carrying Charges'!P102</f>
        <v>0</v>
      </c>
      <c r="K82" s="679">
        <f>'6.  Carrying Charges'!Q102</f>
        <v>0</v>
      </c>
      <c r="L82" s="679">
        <f>'6.  Carrying Charges'!R102</f>
        <v>0</v>
      </c>
      <c r="M82" s="679">
        <f>'6.  Carrying Charges'!S102</f>
        <v>0</v>
      </c>
      <c r="N82" s="679">
        <f>'6.  Carrying Charges'!T102</f>
        <v>0</v>
      </c>
      <c r="O82" s="679">
        <f>'6.  Carrying Charges'!U102</f>
        <v>0</v>
      </c>
      <c r="P82" s="679">
        <f>'6.  Carrying Charges'!V102</f>
        <v>0</v>
      </c>
      <c r="Q82" s="680">
        <f>SUM(C82:P82)</f>
        <v>3737.920262312467</v>
      </c>
      <c r="T82" s="166"/>
      <c r="U82" s="780"/>
    </row>
    <row r="83" spans="2:21" s="40" customFormat="1" ht="21.75" hidden="1" customHeight="1">
      <c r="B83" s="791" t="s">
        <v>241</v>
      </c>
      <c r="C83" s="809">
        <f>'1.  LRAMVA Summary'!D83</f>
        <v>37817.238178033462</v>
      </c>
      <c r="D83" s="809">
        <f t="shared" ref="D83:G83" si="5">SUM(D52:D80)+D82</f>
        <v>74829.143289653308</v>
      </c>
      <c r="E83" s="809">
        <f t="shared" si="5"/>
        <v>-33054.434742264952</v>
      </c>
      <c r="F83" s="809">
        <f t="shared" si="5"/>
        <v>-43767.676722135795</v>
      </c>
      <c r="G83" s="809">
        <f t="shared" si="5"/>
        <v>-55.549858966666669</v>
      </c>
      <c r="H83" s="804">
        <f t="shared" si="4"/>
        <v>35768.720144319355</v>
      </c>
      <c r="I83" s="792">
        <f t="shared" ref="I83:P83" si="6">SUM(I52:I69)+I82</f>
        <v>0</v>
      </c>
      <c r="J83" s="623">
        <f t="shared" si="6"/>
        <v>0</v>
      </c>
      <c r="K83" s="623">
        <f t="shared" si="6"/>
        <v>0</v>
      </c>
      <c r="L83" s="623">
        <f t="shared" si="6"/>
        <v>0</v>
      </c>
      <c r="M83" s="623">
        <f t="shared" si="6"/>
        <v>0</v>
      </c>
      <c r="N83" s="623">
        <f t="shared" si="6"/>
        <v>0</v>
      </c>
      <c r="O83" s="623">
        <f t="shared" si="6"/>
        <v>0</v>
      </c>
      <c r="P83" s="623">
        <f t="shared" si="6"/>
        <v>0</v>
      </c>
      <c r="Q83" s="623">
        <f>SUM(Q52:Q69)+Q82</f>
        <v>150596.96276747598</v>
      </c>
      <c r="T83" s="166"/>
      <c r="U83" s="780"/>
    </row>
    <row r="84" spans="2:21" ht="20.25" hidden="1" customHeight="1">
      <c r="B84" s="793" t="s">
        <v>538</v>
      </c>
      <c r="C84" s="810">
        <f>'1.  LRAMVA Summary'!D84</f>
        <v>0</v>
      </c>
      <c r="D84" s="810"/>
      <c r="E84" s="810"/>
      <c r="F84" s="810"/>
      <c r="G84" s="810"/>
      <c r="H84" s="811">
        <f t="shared" si="4"/>
        <v>0</v>
      </c>
      <c r="I84" s="755"/>
      <c r="J84" s="755"/>
      <c r="K84" s="755"/>
      <c r="L84" s="755"/>
      <c r="M84" s="755"/>
      <c r="N84" s="755"/>
      <c r="O84" s="755"/>
      <c r="P84" s="755"/>
      <c r="Q84" s="755"/>
      <c r="R84" s="27"/>
      <c r="S84" s="91"/>
      <c r="T84" s="91"/>
      <c r="U84" s="769"/>
    </row>
    <row r="85" spans="2:21" ht="20.25" customHeight="1">
      <c r="B85" s="794" t="s">
        <v>707</v>
      </c>
      <c r="C85" s="812">
        <f>C67+C68</f>
        <v>36136.298047204342</v>
      </c>
      <c r="D85" s="812">
        <f t="shared" ref="D85:H85" si="7">D67+D68</f>
        <v>63066.343178008763</v>
      </c>
      <c r="E85" s="812">
        <f t="shared" si="7"/>
        <v>-22762.835172631334</v>
      </c>
      <c r="F85" s="812">
        <f t="shared" si="7"/>
        <v>-2955.0135999999998</v>
      </c>
      <c r="G85" s="812">
        <f t="shared" si="7"/>
        <v>-55.2712</v>
      </c>
      <c r="H85" s="813">
        <f t="shared" si="7"/>
        <v>73429.521252581762</v>
      </c>
      <c r="I85" s="755"/>
      <c r="J85" s="755"/>
      <c r="K85" s="755"/>
      <c r="L85" s="755"/>
      <c r="M85" s="755"/>
      <c r="N85" s="755"/>
      <c r="O85" s="755"/>
      <c r="P85" s="755"/>
      <c r="Q85" s="755"/>
      <c r="R85" s="27"/>
      <c r="S85" s="91"/>
      <c r="T85" s="91"/>
      <c r="U85" s="769"/>
    </row>
    <row r="86" spans="2:21" ht="20.25" customHeight="1">
      <c r="B86" s="795" t="s">
        <v>43</v>
      </c>
      <c r="C86" s="814">
        <f>'1.  LRAMVA Summary'!D82</f>
        <v>1680.9401308291222</v>
      </c>
      <c r="D86" s="814">
        <f>'1.  LRAMVA Summary'!E82</f>
        <v>2933.6360634970406</v>
      </c>
      <c r="E86" s="814">
        <f>'1.  LRAMVA Summary'!F82</f>
        <v>-1058.8512161135677</v>
      </c>
      <c r="F86" s="814">
        <f>'1.  LRAMVA Summary'!G82</f>
        <v>-137.45738262666674</v>
      </c>
      <c r="G86" s="814">
        <f>'1.  LRAMVA Summary'!H82</f>
        <v>-2.5710319866666671</v>
      </c>
      <c r="H86" s="815">
        <f t="shared" si="4"/>
        <v>3415.696563599261</v>
      </c>
      <c r="I86" s="755"/>
      <c r="J86" s="755"/>
      <c r="K86" s="755"/>
      <c r="L86" s="755"/>
      <c r="M86" s="755"/>
      <c r="N86" s="755"/>
      <c r="O86" s="755"/>
      <c r="P86" s="755"/>
      <c r="Q86" s="755"/>
      <c r="R86" s="27"/>
      <c r="S86" s="91"/>
      <c r="T86" s="91"/>
      <c r="U86" s="769"/>
    </row>
    <row r="87" spans="2:21" ht="20.25" customHeight="1">
      <c r="B87" s="796" t="s">
        <v>26</v>
      </c>
      <c r="C87" s="816">
        <f>C85+C86</f>
        <v>37817.238178033462</v>
      </c>
      <c r="D87" s="816">
        <f t="shared" ref="D87:H87" si="8">D85+D86</f>
        <v>65999.979241505804</v>
      </c>
      <c r="E87" s="816">
        <f t="shared" si="8"/>
        <v>-23821.6863887449</v>
      </c>
      <c r="F87" s="816">
        <f t="shared" si="8"/>
        <v>-3092.4709826266667</v>
      </c>
      <c r="G87" s="816">
        <f t="shared" si="8"/>
        <v>-57.842231986666668</v>
      </c>
      <c r="H87" s="817">
        <f t="shared" si="8"/>
        <v>76845.21781618103</v>
      </c>
      <c r="I87" s="27"/>
      <c r="J87" s="27"/>
      <c r="K87" s="27"/>
      <c r="L87" s="27"/>
      <c r="M87" s="27"/>
      <c r="N87" s="27"/>
      <c r="O87" s="27"/>
      <c r="P87" s="27"/>
      <c r="Q87" s="27"/>
      <c r="R87" s="27"/>
      <c r="S87" s="91"/>
      <c r="T87" s="91"/>
      <c r="U87" s="769"/>
    </row>
    <row r="88" spans="2:21">
      <c r="B88" s="27"/>
      <c r="C88" s="27"/>
      <c r="D88" s="27"/>
      <c r="E88" s="27"/>
      <c r="F88" s="27"/>
      <c r="G88" s="27"/>
      <c r="H88" s="27"/>
      <c r="I88" s="27"/>
      <c r="J88" s="27"/>
      <c r="K88" s="27"/>
      <c r="L88" s="27"/>
      <c r="M88" s="27"/>
      <c r="N88" s="27"/>
      <c r="O88" s="27"/>
      <c r="P88" s="27"/>
      <c r="Q88" s="27"/>
      <c r="R88" s="27"/>
      <c r="S88" s="91"/>
      <c r="T88" s="91"/>
      <c r="U88" s="27"/>
    </row>
    <row r="89" spans="2:21" ht="21" hidden="1" customHeight="1">
      <c r="B89" s="120" t="s">
        <v>539</v>
      </c>
      <c r="C89" s="27"/>
      <c r="D89" s="92"/>
      <c r="E89" s="797"/>
      <c r="F89" s="27"/>
      <c r="G89" s="27"/>
      <c r="H89" s="27"/>
      <c r="I89" s="27"/>
      <c r="J89" s="27"/>
      <c r="K89" s="27"/>
      <c r="L89" s="27"/>
      <c r="M89" s="27"/>
      <c r="N89" s="27"/>
      <c r="O89" s="27"/>
      <c r="P89" s="27"/>
      <c r="Q89" s="27"/>
      <c r="R89" s="27"/>
      <c r="S89" s="91"/>
      <c r="T89" s="91"/>
      <c r="U89" s="27"/>
    </row>
    <row r="90" spans="2:21" s="111" customFormat="1" ht="27.75" hidden="1" customHeight="1">
      <c r="B90" s="570" t="s">
        <v>559</v>
      </c>
      <c r="C90" s="798"/>
      <c r="D90" s="799"/>
      <c r="E90" s="798"/>
      <c r="F90" s="798"/>
      <c r="G90" s="798"/>
      <c r="H90" s="798"/>
      <c r="I90" s="798"/>
      <c r="S90" s="757"/>
      <c r="T90" s="757"/>
    </row>
    <row r="91" spans="2:21" ht="11.25" hidden="1" customHeight="1">
      <c r="B91" s="112"/>
      <c r="C91" s="27"/>
      <c r="D91" s="92"/>
      <c r="E91" s="27"/>
      <c r="F91" s="27"/>
      <c r="G91" s="27"/>
      <c r="H91" s="27"/>
      <c r="I91" s="27"/>
      <c r="J91" s="27"/>
      <c r="K91" s="27"/>
      <c r="L91" s="27"/>
      <c r="M91" s="27"/>
      <c r="N91" s="27"/>
      <c r="O91" s="27"/>
      <c r="P91" s="27"/>
      <c r="Q91" s="27"/>
      <c r="R91" s="27"/>
      <c r="S91" s="91"/>
      <c r="T91" s="91"/>
      <c r="U91" s="27"/>
    </row>
    <row r="92" spans="2:21" s="562" customFormat="1" ht="25.5" hidden="1" customHeight="1">
      <c r="B92" s="800"/>
      <c r="C92" s="801">
        <v>2012</v>
      </c>
      <c r="D92" s="801">
        <v>2013</v>
      </c>
      <c r="E92" s="801">
        <v>2014</v>
      </c>
      <c r="F92" s="801">
        <v>2015</v>
      </c>
      <c r="G92" s="801">
        <v>2016</v>
      </c>
      <c r="H92" s="801">
        <v>2017</v>
      </c>
      <c r="I92" s="801">
        <v>2018</v>
      </c>
      <c r="J92" s="801">
        <v>2019</v>
      </c>
      <c r="K92" s="801">
        <v>2020</v>
      </c>
      <c r="L92" s="561" t="s">
        <v>26</v>
      </c>
      <c r="S92" s="563"/>
      <c r="T92" s="563"/>
    </row>
    <row r="93" spans="2:21" s="92" customFormat="1" ht="23.25" hidden="1" customHeight="1">
      <c r="B93" s="200">
        <v>2011</v>
      </c>
      <c r="C93" s="556">
        <f>SUM('4.  2011-2014 LRAM'!Y259:AL259)</f>
        <v>9256.729708014409</v>
      </c>
      <c r="D93" s="556">
        <f>SUM('4.  2011-2014 LRAM'!Y388:AL388)</f>
        <v>9690.2931107264467</v>
      </c>
      <c r="E93" s="557">
        <f>SUM('4.  2011-2014 LRAM'!Y517:AL517)</f>
        <v>9851.9720558461122</v>
      </c>
      <c r="F93" s="557">
        <f>SUM('5.  2015-2020 LRAM'!Y199:AL199)</f>
        <v>9389.4754856566033</v>
      </c>
      <c r="G93" s="556">
        <f>SUM('5.  2015-2020 LRAM'!Y382:AL382)</f>
        <v>1903639</v>
      </c>
      <c r="H93" s="557">
        <f>SUM('5.  2015-2020 LRAM'!Y565:AL565)</f>
        <v>1903639</v>
      </c>
      <c r="I93" s="556">
        <f>SUM('5.  2015-2020 LRAM'!Y748:AL748)</f>
        <v>1903639</v>
      </c>
      <c r="J93" s="556">
        <f>SUM('5.  2015-2020 LRAM'!Y931:AL931)</f>
        <v>0</v>
      </c>
      <c r="K93" s="556">
        <f>SUM('5.  2015-2020 LRAM'!Y1114:AL1114)</f>
        <v>0</v>
      </c>
      <c r="L93" s="556">
        <f>SUM(C93:K93)</f>
        <v>5749105.4703602437</v>
      </c>
      <c r="S93" s="199"/>
      <c r="T93" s="199"/>
    </row>
    <row r="94" spans="2:21" s="92" customFormat="1" ht="23.25" hidden="1" customHeight="1">
      <c r="B94" s="200">
        <v>2012</v>
      </c>
      <c r="C94" s="557">
        <f>SUM('4.  2011-2014 LRAM'!Y260:AL260)</f>
        <v>19092.144128927968</v>
      </c>
      <c r="D94" s="556">
        <f>SUM('4.  2011-2014 LRAM'!Y389:AL389)</f>
        <v>19800.193507441854</v>
      </c>
      <c r="E94" s="557">
        <f>SUM('4.  2011-2014 LRAM'!Y518:AL518)</f>
        <v>22436.908561039458</v>
      </c>
      <c r="F94" s="557">
        <f>SUM('5.  2015-2020 LRAM'!Y200:AL200)</f>
        <v>21100.484744945374</v>
      </c>
      <c r="G94" s="556">
        <f>SUM('5.  2015-2020 LRAM'!Y383:AL383)</f>
        <v>0</v>
      </c>
      <c r="H94" s="557">
        <f>SUM('5.  2015-2020 LRAM'!Y566:AL566)</f>
        <v>0</v>
      </c>
      <c r="I94" s="556">
        <f>SUM('5.  2015-2020 LRAM'!Y749:AL749)</f>
        <v>0</v>
      </c>
      <c r="J94" s="556">
        <f>SUM('5.  2015-2020 LRAM'!Y932:AL932)</f>
        <v>0</v>
      </c>
      <c r="K94" s="556">
        <f>SUM('5.  2015-2020 LRAM'!Y1115:AL1115)</f>
        <v>0</v>
      </c>
      <c r="L94" s="556">
        <f>SUM(C94:K94)</f>
        <v>82429.730942354654</v>
      </c>
      <c r="S94" s="199"/>
      <c r="T94" s="199"/>
    </row>
    <row r="95" spans="2:21" s="92" customFormat="1" ht="23.25" hidden="1" customHeight="1">
      <c r="B95" s="200">
        <v>2013</v>
      </c>
      <c r="C95" s="559"/>
      <c r="D95" s="557">
        <f>SUM('4.  2011-2014 LRAM'!Y390:AL390)</f>
        <v>19458.491601667793</v>
      </c>
      <c r="E95" s="557">
        <f>SUM('4.  2011-2014 LRAM'!Y519:AL519)</f>
        <v>21869.118430028284</v>
      </c>
      <c r="F95" s="557">
        <f>SUM('5.  2015-2020 LRAM'!Y201:AL201)</f>
        <v>21667.034881278854</v>
      </c>
      <c r="G95" s="556">
        <f>SUM('5.  2015-2020 LRAM'!Y384:AL384)</f>
        <v>18.339600000000001</v>
      </c>
      <c r="H95" s="557">
        <f>SUM('5.  2015-2020 LRAM'!Y567:AL567)</f>
        <v>18.722799999999999</v>
      </c>
      <c r="I95" s="556">
        <f>SUM('5.  2015-2020 LRAM'!Y750:AL750)</f>
        <v>18.9605</v>
      </c>
      <c r="J95" s="556">
        <f>SUM('5.  2015-2020 LRAM'!Y933:AL933)</f>
        <v>0</v>
      </c>
      <c r="K95" s="556">
        <f>SUM('5.  2015-2020 LRAM'!Y1116:AL1116)</f>
        <v>0</v>
      </c>
      <c r="L95" s="556">
        <f>SUM(C95:K95)</f>
        <v>63050.667812974942</v>
      </c>
      <c r="S95" s="199"/>
      <c r="T95" s="199"/>
    </row>
    <row r="96" spans="2:21" s="92" customFormat="1" ht="23.25" hidden="1" customHeight="1">
      <c r="B96" s="200">
        <v>2014</v>
      </c>
      <c r="C96" s="559"/>
      <c r="D96" s="559"/>
      <c r="E96" s="557">
        <f>SUM('4.  2011-2014 LRAM'!Y520:AL520)</f>
        <v>33623.917604630478</v>
      </c>
      <c r="F96" s="557">
        <f>SUM('5.  2015-2020 LRAM'!Y202:AL202)</f>
        <v>32616.644552784208</v>
      </c>
      <c r="G96" s="556">
        <f>SUM('5.  2015-2020 LRAM'!Y385:AL385)</f>
        <v>7925.644270104588</v>
      </c>
      <c r="H96" s="557">
        <f>SUM('5.  2015-2020 LRAM'!Y568:AL568)</f>
        <v>5914.2674687928411</v>
      </c>
      <c r="I96" s="556">
        <f>SUM('5.  2015-2020 LRAM'!Y751:AL751)</f>
        <v>5211.6115828638231</v>
      </c>
      <c r="J96" s="556">
        <f>SUM('5.  2015-2020 LRAM'!Y934:AL934)</f>
        <v>0</v>
      </c>
      <c r="K96" s="556">
        <f>SUM('5.  2015-2020 LRAM'!Y1117:AL1117)</f>
        <v>0</v>
      </c>
      <c r="L96" s="556">
        <f>SUM(E96:K96)</f>
        <v>85292.085479175934</v>
      </c>
      <c r="S96" s="199"/>
      <c r="T96" s="199"/>
    </row>
    <row r="97" spans="2:20" s="92" customFormat="1" ht="23.25" hidden="1" customHeight="1">
      <c r="B97" s="200">
        <v>2015</v>
      </c>
      <c r="C97" s="559"/>
      <c r="D97" s="559"/>
      <c r="E97" s="559"/>
      <c r="F97" s="557">
        <f>SUM('5.  2015-2020 LRAM'!Y203:AL203)</f>
        <v>26364.771610266485</v>
      </c>
      <c r="G97" s="556">
        <f>SUM('5.  2015-2020 LRAM'!Y386:AL386)</f>
        <v>20618.192450250866</v>
      </c>
      <c r="H97" s="557">
        <f>SUM('5.  2015-2020 LRAM'!Y569:AL569)</f>
        <v>18267.061270741797</v>
      </c>
      <c r="I97" s="556">
        <f>SUM('5.  2015-2020 LRAM'!Y752:AL752)</f>
        <v>17550.130990760834</v>
      </c>
      <c r="J97" s="556">
        <f>SUM('5.  2015-2020 LRAM'!Y935:AL935)</f>
        <v>0</v>
      </c>
      <c r="K97" s="556">
        <f>SUM('5.  2015-2020 LRAM'!Y1118:AL1118)</f>
        <v>0</v>
      </c>
      <c r="L97" s="556">
        <f>SUM(F97:K97)</f>
        <v>82800.156322019975</v>
      </c>
      <c r="S97" s="199"/>
      <c r="T97" s="199"/>
    </row>
    <row r="98" spans="2:20" s="92" customFormat="1" ht="23.25" hidden="1" customHeight="1">
      <c r="B98" s="200">
        <v>2016</v>
      </c>
      <c r="C98" s="559"/>
      <c r="D98" s="559"/>
      <c r="E98" s="559"/>
      <c r="F98" s="559"/>
      <c r="G98" s="556">
        <f>SUM('5.  2015-2020 LRAM'!Y387:AL387)</f>
        <v>20088.031335389078</v>
      </c>
      <c r="H98" s="557">
        <f>SUM('5.  2015-2020 LRAM'!Y570:AL570)</f>
        <v>17925.777483748894</v>
      </c>
      <c r="I98" s="556">
        <f>SUM('5.  2015-2020 LRAM'!Y753:AL753)</f>
        <v>17140.138383714562</v>
      </c>
      <c r="J98" s="556">
        <f>SUM('5.  2015-2020 LRAM'!Y936:AL936)</f>
        <v>0</v>
      </c>
      <c r="K98" s="556">
        <f>SUM('5.  2015-2020 LRAM'!Y1119:AL1119)</f>
        <v>0</v>
      </c>
      <c r="L98" s="556">
        <f>SUM(G98:K98)</f>
        <v>55153.947202852534</v>
      </c>
      <c r="S98" s="199"/>
      <c r="T98" s="199"/>
    </row>
    <row r="99" spans="2:20" s="92" customFormat="1" ht="23.25" hidden="1" customHeight="1">
      <c r="B99" s="200">
        <v>2017</v>
      </c>
      <c r="C99" s="559"/>
      <c r="D99" s="559"/>
      <c r="E99" s="559"/>
      <c r="F99" s="559"/>
      <c r="G99" s="559"/>
      <c r="H99" s="556">
        <f>SUM('5.  2015-2020 LRAM'!Y571:AL571)</f>
        <v>23074.955225433245</v>
      </c>
      <c r="I99" s="556">
        <f>SUM('5.  2015-2020 LRAM'!Y754:AL754)</f>
        <v>18855.333538309082</v>
      </c>
      <c r="J99" s="556">
        <f>SUM('5.  2015-2020 LRAM'!Y937:AL937)</f>
        <v>0</v>
      </c>
      <c r="K99" s="556">
        <f>SUM('5.  2015-2020 LRAM'!Y1120:AL1120)</f>
        <v>0</v>
      </c>
      <c r="L99" s="556">
        <f>SUM(H99:K99)</f>
        <v>41930.288763742326</v>
      </c>
      <c r="S99" s="199"/>
      <c r="T99" s="199"/>
    </row>
    <row r="100" spans="2:20" s="92" customFormat="1" ht="23.25" hidden="1" customHeight="1">
      <c r="B100" s="200">
        <v>2018</v>
      </c>
      <c r="C100" s="559"/>
      <c r="D100" s="559"/>
      <c r="E100" s="559"/>
      <c r="F100" s="559"/>
      <c r="G100" s="559"/>
      <c r="H100" s="559"/>
      <c r="I100" s="556">
        <f>SUM('5.  2015-2020 LRAM'!Y755:AL755)</f>
        <v>20019.327886224233</v>
      </c>
      <c r="J100" s="556">
        <f>SUM('5.  2015-2020 LRAM'!Y938:AL938)</f>
        <v>0</v>
      </c>
      <c r="K100" s="556">
        <f>SUM('5.  2015-2020 LRAM'!Y1121:AL1121)</f>
        <v>0</v>
      </c>
      <c r="L100" s="556">
        <f>SUM(I100:K100)</f>
        <v>20019.327886224233</v>
      </c>
      <c r="S100" s="199"/>
      <c r="T100" s="199"/>
    </row>
    <row r="101" spans="2:20" s="92" customFormat="1" ht="23.25" hidden="1" customHeight="1">
      <c r="B101" s="200">
        <v>2019</v>
      </c>
      <c r="C101" s="559"/>
      <c r="D101" s="559"/>
      <c r="E101" s="559"/>
      <c r="F101" s="559"/>
      <c r="G101" s="559"/>
      <c r="H101" s="559"/>
      <c r="I101" s="559"/>
      <c r="J101" s="556">
        <f>SUM('5.  2015-2020 LRAM'!Y939:AL939)</f>
        <v>0</v>
      </c>
      <c r="K101" s="556">
        <f>SUM('5.  2015-2020 LRAM'!Y1122:AL1122)</f>
        <v>0</v>
      </c>
      <c r="L101" s="556">
        <f>SUM(J101:K101)</f>
        <v>0</v>
      </c>
      <c r="S101" s="199"/>
      <c r="T101" s="199"/>
    </row>
    <row r="102" spans="2:20" s="92" customFormat="1" ht="23.25" hidden="1" customHeight="1">
      <c r="B102" s="200">
        <v>2020</v>
      </c>
      <c r="C102" s="559"/>
      <c r="D102" s="559"/>
      <c r="E102" s="559"/>
      <c r="F102" s="559"/>
      <c r="G102" s="559"/>
      <c r="H102" s="559"/>
      <c r="I102" s="559"/>
      <c r="J102" s="559"/>
      <c r="K102" s="558">
        <f>SUM('5.  2015-2020 LRAM'!Y1123:AL1123)</f>
        <v>0</v>
      </c>
      <c r="L102" s="558">
        <f>K102</f>
        <v>0</v>
      </c>
      <c r="S102" s="199"/>
      <c r="T102" s="199"/>
    </row>
    <row r="103" spans="2:20" s="198" customFormat="1" ht="24" hidden="1" customHeight="1">
      <c r="B103" s="571" t="s">
        <v>521</v>
      </c>
      <c r="C103" s="556">
        <f>C93+C94</f>
        <v>28348.873836942377</v>
      </c>
      <c r="D103" s="556">
        <f>D93+D94+D95</f>
        <v>48948.978219836092</v>
      </c>
      <c r="E103" s="556">
        <f>E93+E94+E95+E96</f>
        <v>87781.916651544336</v>
      </c>
      <c r="F103" s="556">
        <f>F93+F94+F95+F96+F97</f>
        <v>111138.41127493152</v>
      </c>
      <c r="G103" s="556">
        <f>G93+G94+G95+G96+G97+G98</f>
        <v>1952289.2076557446</v>
      </c>
      <c r="H103" s="556">
        <f>H93+H94+H95+H96+H97+H98+H99</f>
        <v>1968839.7842487169</v>
      </c>
      <c r="I103" s="556">
        <f>I93+I94+I95+I96+I97+I98+I99+I100</f>
        <v>1982434.5028818725</v>
      </c>
      <c r="J103" s="556">
        <f>J93+J94+J95+J96+J97+J98+J99+J100+J101</f>
        <v>0</v>
      </c>
      <c r="K103" s="556">
        <f>SUM(K93:K102)</f>
        <v>0</v>
      </c>
      <c r="L103" s="556">
        <f>SUM(L93:L102)</f>
        <v>6179781.6747695878</v>
      </c>
      <c r="S103" s="201"/>
      <c r="T103" s="201"/>
    </row>
    <row r="104" spans="2:20" ht="24.75" hidden="1" customHeight="1">
      <c r="B104" s="802" t="s">
        <v>520</v>
      </c>
      <c r="C104" s="554">
        <f>'4.  2011-2014 LRAM'!AM262</f>
        <v>0</v>
      </c>
      <c r="D104" s="554">
        <f>'4.  2011-2014 LRAM'!AM392</f>
        <v>61929.956399999995</v>
      </c>
      <c r="E104" s="554">
        <f>'4.  2011-2014 LRAM'!AM522</f>
        <v>69920.1446</v>
      </c>
      <c r="F104" s="554">
        <f>'5.  2015-2020 LRAM'!AM205</f>
        <v>70517.137900000002</v>
      </c>
      <c r="G104" s="554">
        <f>'5.  2015-2020 LRAM'!AM389</f>
        <v>24820.021574722407</v>
      </c>
      <c r="H104" s="554">
        <f>'5.  2015-2020 LRAM'!AM573</f>
        <v>28561.677106211588</v>
      </c>
      <c r="I104" s="554">
        <f>'5.  2015-2020 LRAM'!AM757</f>
        <v>80587.283146155169</v>
      </c>
      <c r="J104" s="554">
        <f>'5.  2015-2020 LRAM'!AM941</f>
        <v>0</v>
      </c>
      <c r="K104" s="554">
        <f>'5.  2015-2020 LRAM'!AM1125</f>
        <v>0</v>
      </c>
      <c r="L104" s="556">
        <f>SUM(C104:K104)</f>
        <v>336336.22072708915</v>
      </c>
      <c r="M104" s="27"/>
      <c r="N104" s="27"/>
      <c r="O104" s="27"/>
      <c r="P104" s="27"/>
      <c r="Q104" s="27"/>
      <c r="R104" s="27"/>
      <c r="S104" s="91"/>
      <c r="T104" s="91"/>
    </row>
    <row r="105" spans="2:20" ht="24.75" hidden="1" customHeight="1">
      <c r="B105" s="802" t="s">
        <v>43</v>
      </c>
      <c r="C105" s="554">
        <f>'6.  Carrying Charges'!W42</f>
        <v>0</v>
      </c>
      <c r="D105" s="554">
        <f>'6.  Carrying Charges'!W57</f>
        <v>0</v>
      </c>
      <c r="E105" s="554">
        <f>'6.  Carrying Charges'!W72</f>
        <v>0</v>
      </c>
      <c r="F105" s="554">
        <f>'6.  Carrying Charges'!W87</f>
        <v>0</v>
      </c>
      <c r="G105" s="554">
        <f>'6.  Carrying Charges'!W102</f>
        <v>370.20716964843308</v>
      </c>
      <c r="H105" s="554">
        <f>'6.  Carrying Charges'!W117</f>
        <v>1251.3614246794145</v>
      </c>
      <c r="I105" s="554">
        <f>'6.  Carrying Charges'!W132</f>
        <v>2618.9862580087502</v>
      </c>
      <c r="J105" s="554">
        <f>'6.  Carrying Charges'!W147</f>
        <v>3415.6965635992638</v>
      </c>
      <c r="K105" s="554">
        <f>'6.  Carrying Charges'!W162</f>
        <v>3415.6965635992638</v>
      </c>
      <c r="L105" s="556">
        <f>SUM(C105:K105)</f>
        <v>11071.947979535125</v>
      </c>
      <c r="M105" s="27"/>
      <c r="N105" s="27"/>
      <c r="O105" s="27"/>
      <c r="P105" s="27"/>
      <c r="Q105" s="27"/>
      <c r="R105" s="27"/>
      <c r="S105" s="91"/>
      <c r="T105" s="91"/>
    </row>
    <row r="106" spans="2:20" ht="23.25" hidden="1" customHeight="1">
      <c r="B106" s="571" t="s">
        <v>26</v>
      </c>
      <c r="C106" s="554">
        <f t="shared" ref="C106:I106" si="9">C103-C104+C105</f>
        <v>28348.873836942377</v>
      </c>
      <c r="D106" s="554">
        <f t="shared" si="9"/>
        <v>-12980.978180163904</v>
      </c>
      <c r="E106" s="554">
        <f t="shared" si="9"/>
        <v>17861.772051544336</v>
      </c>
      <c r="F106" s="554">
        <f t="shared" si="9"/>
        <v>40621.273374931523</v>
      </c>
      <c r="G106" s="554">
        <f t="shared" si="9"/>
        <v>1927839.3932506707</v>
      </c>
      <c r="H106" s="554">
        <f t="shared" si="9"/>
        <v>1941529.4685671846</v>
      </c>
      <c r="I106" s="554">
        <f t="shared" si="9"/>
        <v>1904466.2059937262</v>
      </c>
      <c r="J106" s="554">
        <f>J103-J104+J105</f>
        <v>3415.6965635992638</v>
      </c>
      <c r="K106" s="554">
        <f>K103-K104+K105</f>
        <v>3415.6965635992638</v>
      </c>
      <c r="L106" s="554">
        <f>L103-L104+L105</f>
        <v>5854517.4020220339</v>
      </c>
      <c r="M106" s="27"/>
      <c r="N106" s="27"/>
      <c r="O106" s="27"/>
      <c r="P106" s="27"/>
      <c r="Q106" s="27"/>
      <c r="R106" s="27"/>
      <c r="S106" s="91"/>
      <c r="T106" s="91"/>
    </row>
    <row r="107" spans="2:20" ht="15.75" hidden="1">
      <c r="B107" s="27"/>
      <c r="C107" s="27"/>
      <c r="D107" s="92"/>
      <c r="E107" s="27"/>
      <c r="F107" s="27"/>
      <c r="G107" s="27"/>
      <c r="H107" s="27"/>
      <c r="I107" s="27"/>
      <c r="J107" s="27"/>
      <c r="K107" s="27"/>
      <c r="L107" s="27"/>
      <c r="M107" s="27"/>
      <c r="N107" s="27"/>
      <c r="O107" s="27"/>
      <c r="P107" s="27"/>
      <c r="Q107" s="27"/>
      <c r="R107" s="27"/>
      <c r="S107" s="91"/>
      <c r="T107" s="91"/>
    </row>
    <row r="108" spans="2:20" ht="15.75" hidden="1">
      <c r="B108" s="797" t="s">
        <v>528</v>
      </c>
      <c r="C108" s="27"/>
      <c r="D108" s="92"/>
      <c r="E108" s="27"/>
      <c r="F108" s="27"/>
      <c r="G108" s="27"/>
      <c r="H108" s="27"/>
      <c r="I108" s="27"/>
      <c r="J108" s="27"/>
      <c r="K108" s="27"/>
      <c r="L108" s="27"/>
      <c r="M108" s="27"/>
      <c r="N108" s="27"/>
      <c r="O108" s="27"/>
      <c r="P108" s="27"/>
      <c r="Q108" s="27"/>
      <c r="R108" s="27"/>
      <c r="S108" s="91"/>
      <c r="T108" s="91"/>
    </row>
    <row r="109" spans="2:20" ht="15.75">
      <c r="B109" s="27"/>
      <c r="C109" s="27"/>
      <c r="D109" s="92"/>
      <c r="E109" s="27"/>
      <c r="F109" s="27"/>
      <c r="G109" s="27"/>
      <c r="H109" s="27"/>
      <c r="I109" s="27"/>
      <c r="J109" s="27"/>
      <c r="K109" s="27"/>
      <c r="L109" s="27"/>
      <c r="M109" s="27"/>
      <c r="N109" s="27"/>
      <c r="O109" s="27"/>
      <c r="P109" s="27"/>
      <c r="Q109" s="27"/>
      <c r="R109" s="27"/>
      <c r="S109" s="91"/>
      <c r="T109" s="91"/>
    </row>
  </sheetData>
  <mergeCells count="4">
    <mergeCell ref="B24:F24"/>
    <mergeCell ref="B46:K46"/>
    <mergeCell ref="B47:K47"/>
    <mergeCell ref="B48:K48"/>
  </mergeCells>
  <hyperlinks>
    <hyperlink ref="B82" location="'6.  Carrying Charges'!A1" display="Carrying Charges"/>
    <hyperlink ref="B108" location="'1.  LRAMVA Summary'!A1" display="Return to top"/>
  </hyperlinks>
  <pageMargins left="0.7" right="0.7" top="0.75" bottom="0.75" header="0.3" footer="0.3"/>
  <pageSetup orientation="portrait" horizontalDpi="1200" verticalDpi="1200" r:id="rId1"/>
  <ignoredErrors>
    <ignoredError sqref="H8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I26" sqref="I26"/>
    </sheetView>
  </sheetViews>
  <sheetFormatPr defaultColWidth="9.140625" defaultRowHeight="15"/>
  <cols>
    <col min="1" max="16384" width="9.140625" style="12"/>
  </cols>
  <sheetData>
    <row r="14" spans="2:24" ht="15.75">
      <c r="B14" s="588" t="s">
        <v>507</v>
      </c>
    </row>
    <row r="15" spans="2:24" ht="15.75">
      <c r="B15" s="588"/>
    </row>
    <row r="16" spans="2:24" s="668" customFormat="1" ht="28.5" customHeight="1">
      <c r="B16" s="867" t="s">
        <v>642</v>
      </c>
      <c r="C16" s="867"/>
      <c r="D16" s="867"/>
      <c r="E16" s="867"/>
      <c r="F16" s="867"/>
      <c r="G16" s="867"/>
      <c r="H16" s="867"/>
      <c r="I16" s="867"/>
      <c r="J16" s="867"/>
      <c r="K16" s="867"/>
      <c r="L16" s="867"/>
      <c r="M16" s="867"/>
      <c r="N16" s="867"/>
      <c r="O16" s="867"/>
      <c r="P16" s="867"/>
      <c r="Q16" s="867"/>
      <c r="R16" s="867"/>
      <c r="S16" s="867"/>
      <c r="T16" s="867"/>
      <c r="U16" s="867"/>
      <c r="V16" s="867"/>
      <c r="W16" s="867"/>
      <c r="X16" s="867"/>
    </row>
  </sheetData>
  <mergeCells count="1">
    <mergeCell ref="B16:X1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P534"/>
  <sheetViews>
    <sheetView topLeftCell="A261" zoomScale="55" zoomScaleNormal="55" zoomScaleSheetLayoutView="80" zoomScalePageLayoutView="85" workbookViewId="0">
      <selection activeCell="D513" sqref="D513"/>
    </sheetView>
  </sheetViews>
  <sheetFormatPr defaultColWidth="9.140625" defaultRowHeight="14.25" outlineLevelRow="1" outlineLevelCol="1"/>
  <cols>
    <col min="1" max="1" width="4.7109375" style="509" customWidth="1"/>
    <col min="2" max="2" width="43.7109375" style="256" customWidth="1"/>
    <col min="3" max="3" width="14" style="256" customWidth="1"/>
    <col min="4" max="4" width="18.140625" style="255" customWidth="1"/>
    <col min="5" max="8" width="10.42578125" style="255" hidden="1" customWidth="1" outlineLevel="1"/>
    <col min="9" max="13" width="9.140625" style="255" hidden="1" customWidth="1" outlineLevel="1"/>
    <col min="14" max="14" width="12.42578125" style="255" hidden="1" customWidth="1" outlineLevel="1"/>
    <col min="15" max="15" width="17.5703125" style="255" customWidth="1" collapsed="1"/>
    <col min="16" max="24" width="9.42578125" style="255" hidden="1" customWidth="1" outlineLevel="1"/>
    <col min="25" max="25" width="14.140625" style="257" customWidth="1" collapsed="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68" t="s">
        <v>172</v>
      </c>
      <c r="C3" s="259" t="s">
        <v>176</v>
      </c>
      <c r="D3" s="507"/>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68"/>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5"/>
      <c r="C5" s="865" t="s">
        <v>553</v>
      </c>
      <c r="D5" s="866"/>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68" t="s">
        <v>507</v>
      </c>
      <c r="C7" s="869" t="s">
        <v>640</v>
      </c>
      <c r="D7" s="869"/>
      <c r="E7" s="869"/>
      <c r="F7" s="869"/>
      <c r="G7" s="869"/>
      <c r="H7" s="869"/>
      <c r="I7" s="869"/>
      <c r="J7" s="869"/>
      <c r="K7" s="869"/>
      <c r="L7" s="869"/>
      <c r="M7" s="869"/>
      <c r="N7" s="869"/>
      <c r="O7" s="869"/>
      <c r="P7" s="869"/>
      <c r="Q7" s="869"/>
      <c r="R7" s="869"/>
      <c r="S7" s="869"/>
      <c r="T7" s="869"/>
      <c r="U7" s="869"/>
      <c r="V7" s="869"/>
      <c r="W7" s="869"/>
      <c r="X7" s="869"/>
      <c r="Y7" s="606"/>
      <c r="Z7" s="606"/>
      <c r="AA7" s="606"/>
      <c r="AB7" s="606"/>
      <c r="AC7" s="606"/>
      <c r="AD7" s="606"/>
      <c r="AE7" s="272"/>
      <c r="AF7" s="272"/>
      <c r="AG7" s="272"/>
      <c r="AH7" s="272"/>
      <c r="AI7" s="272"/>
      <c r="AJ7" s="272"/>
      <c r="AK7" s="272"/>
      <c r="AL7" s="272"/>
    </row>
    <row r="8" spans="1:39" s="273" customFormat="1" ht="58.5" customHeight="1">
      <c r="A8" s="509"/>
      <c r="B8" s="868"/>
      <c r="C8" s="869" t="s">
        <v>574</v>
      </c>
      <c r="D8" s="869"/>
      <c r="E8" s="869"/>
      <c r="F8" s="869"/>
      <c r="G8" s="869"/>
      <c r="H8" s="869"/>
      <c r="I8" s="869"/>
      <c r="J8" s="869"/>
      <c r="K8" s="869"/>
      <c r="L8" s="869"/>
      <c r="M8" s="869"/>
      <c r="N8" s="869"/>
      <c r="O8" s="869"/>
      <c r="P8" s="869"/>
      <c r="Q8" s="869"/>
      <c r="R8" s="869"/>
      <c r="S8" s="869"/>
      <c r="T8" s="869"/>
      <c r="U8" s="869"/>
      <c r="V8" s="869"/>
      <c r="W8" s="869"/>
      <c r="X8" s="869"/>
      <c r="Y8" s="606"/>
      <c r="Z8" s="606"/>
      <c r="AA8" s="606"/>
      <c r="AB8" s="606"/>
      <c r="AC8" s="606"/>
      <c r="AD8" s="606"/>
      <c r="AE8" s="274"/>
      <c r="AF8" s="257"/>
      <c r="AG8" s="257"/>
      <c r="AH8" s="257"/>
      <c r="AI8" s="257"/>
      <c r="AJ8" s="257"/>
      <c r="AK8" s="257"/>
      <c r="AL8" s="257"/>
      <c r="AM8" s="258"/>
    </row>
    <row r="9" spans="1:39" s="273" customFormat="1" ht="57.75" customHeight="1">
      <c r="A9" s="509"/>
      <c r="B9" s="275"/>
      <c r="C9" s="869" t="s">
        <v>573</v>
      </c>
      <c r="D9" s="869"/>
      <c r="E9" s="869"/>
      <c r="F9" s="869"/>
      <c r="G9" s="869"/>
      <c r="H9" s="869"/>
      <c r="I9" s="869"/>
      <c r="J9" s="869"/>
      <c r="K9" s="869"/>
      <c r="L9" s="869"/>
      <c r="M9" s="869"/>
      <c r="N9" s="869"/>
      <c r="O9" s="869"/>
      <c r="P9" s="869"/>
      <c r="Q9" s="869"/>
      <c r="R9" s="869"/>
      <c r="S9" s="869"/>
      <c r="T9" s="869"/>
      <c r="U9" s="869"/>
      <c r="V9" s="869"/>
      <c r="W9" s="869"/>
      <c r="X9" s="869"/>
      <c r="Y9" s="606"/>
      <c r="Z9" s="606"/>
      <c r="AA9" s="606"/>
      <c r="AB9" s="606"/>
      <c r="AC9" s="606"/>
      <c r="AD9" s="606"/>
      <c r="AE9" s="274"/>
      <c r="AF9" s="257"/>
      <c r="AG9" s="257"/>
      <c r="AH9" s="257"/>
      <c r="AI9" s="257"/>
      <c r="AJ9" s="257"/>
      <c r="AK9" s="257"/>
      <c r="AL9" s="257"/>
      <c r="AM9" s="258"/>
    </row>
    <row r="10" spans="1:39" ht="41.25" customHeight="1">
      <c r="B10" s="277"/>
      <c r="C10" s="869" t="s">
        <v>643</v>
      </c>
      <c r="D10" s="869"/>
      <c r="E10" s="869"/>
      <c r="F10" s="869"/>
      <c r="G10" s="869"/>
      <c r="H10" s="869"/>
      <c r="I10" s="869"/>
      <c r="J10" s="869"/>
      <c r="K10" s="869"/>
      <c r="L10" s="869"/>
      <c r="M10" s="869"/>
      <c r="N10" s="869"/>
      <c r="O10" s="869"/>
      <c r="P10" s="869"/>
      <c r="Q10" s="869"/>
      <c r="R10" s="869"/>
      <c r="S10" s="869"/>
      <c r="T10" s="869"/>
      <c r="U10" s="869"/>
      <c r="V10" s="869"/>
      <c r="W10" s="869"/>
      <c r="X10" s="869"/>
      <c r="Y10" s="606"/>
      <c r="Z10" s="606"/>
      <c r="AA10" s="606"/>
      <c r="AB10" s="606"/>
      <c r="AC10" s="606"/>
      <c r="AD10" s="606"/>
      <c r="AE10" s="274"/>
      <c r="AF10" s="278"/>
      <c r="AG10" s="278"/>
      <c r="AH10" s="278"/>
      <c r="AI10" s="278"/>
      <c r="AJ10" s="278"/>
      <c r="AK10" s="278"/>
      <c r="AL10" s="278"/>
    </row>
    <row r="11" spans="1:39" ht="53.25" customHeight="1">
      <c r="C11" s="869" t="s">
        <v>626</v>
      </c>
      <c r="D11" s="869"/>
      <c r="E11" s="869"/>
      <c r="F11" s="869"/>
      <c r="G11" s="869"/>
      <c r="H11" s="869"/>
      <c r="I11" s="869"/>
      <c r="J11" s="869"/>
      <c r="K11" s="869"/>
      <c r="L11" s="869"/>
      <c r="M11" s="869"/>
      <c r="N11" s="869"/>
      <c r="O11" s="869"/>
      <c r="P11" s="869"/>
      <c r="Q11" s="869"/>
      <c r="R11" s="869"/>
      <c r="S11" s="869"/>
      <c r="T11" s="869"/>
      <c r="U11" s="869"/>
      <c r="V11" s="869"/>
      <c r="W11" s="869"/>
      <c r="X11" s="869"/>
      <c r="Y11" s="606"/>
      <c r="Z11" s="606"/>
      <c r="AA11" s="606"/>
      <c r="AB11" s="606"/>
      <c r="AC11" s="606"/>
      <c r="AD11" s="606"/>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68" t="s">
        <v>529</v>
      </c>
      <c r="C13" s="591" t="s">
        <v>524</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4"/>
      <c r="AF13" s="278"/>
      <c r="AG13" s="278"/>
      <c r="AH13" s="278"/>
      <c r="AI13" s="278"/>
      <c r="AJ13" s="278"/>
      <c r="AK13" s="278"/>
      <c r="AL13" s="278"/>
      <c r="AM13" s="255"/>
    </row>
    <row r="14" spans="1:39" ht="20.25" customHeight="1">
      <c r="B14" s="868"/>
      <c r="C14" s="591" t="s">
        <v>525</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4"/>
      <c r="AF14" s="278"/>
      <c r="AG14" s="278"/>
      <c r="AH14" s="278"/>
      <c r="AI14" s="278"/>
      <c r="AJ14" s="278"/>
      <c r="AK14" s="278"/>
      <c r="AL14" s="278"/>
      <c r="AM14" s="255"/>
    </row>
    <row r="15" spans="1:39" ht="20.25" customHeight="1">
      <c r="C15" s="591" t="s">
        <v>526</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4"/>
      <c r="AF15" s="278"/>
      <c r="AG15" s="278"/>
      <c r="AH15" s="278"/>
      <c r="AI15" s="278"/>
      <c r="AJ15" s="278"/>
      <c r="AK15" s="278"/>
      <c r="AL15" s="278"/>
      <c r="AM15" s="255"/>
    </row>
    <row r="16" spans="1:39" ht="20.25" customHeight="1">
      <c r="C16" s="591" t="s">
        <v>527</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90"/>
      <c r="O18" s="283"/>
      <c r="Y18" s="272"/>
      <c r="Z18" s="269"/>
      <c r="AA18" s="269"/>
      <c r="AB18" s="269"/>
      <c r="AC18" s="269"/>
      <c r="AD18" s="269"/>
      <c r="AE18" s="269"/>
      <c r="AF18" s="269"/>
      <c r="AG18" s="269"/>
      <c r="AH18" s="269"/>
      <c r="AI18" s="269"/>
      <c r="AJ18" s="269"/>
      <c r="AK18" s="269"/>
      <c r="AL18" s="269"/>
      <c r="AM18" s="284"/>
    </row>
    <row r="19" spans="1:39" s="285" customFormat="1" ht="36" customHeight="1">
      <c r="A19" s="509"/>
      <c r="B19" s="870" t="s">
        <v>212</v>
      </c>
      <c r="C19" s="872" t="s">
        <v>33</v>
      </c>
      <c r="D19" s="286" t="s">
        <v>424</v>
      </c>
      <c r="E19" s="874" t="s">
        <v>210</v>
      </c>
      <c r="F19" s="875"/>
      <c r="G19" s="875"/>
      <c r="H19" s="875"/>
      <c r="I19" s="875"/>
      <c r="J19" s="875"/>
      <c r="K19" s="875"/>
      <c r="L19" s="875"/>
      <c r="M19" s="876"/>
      <c r="N19" s="880" t="s">
        <v>214</v>
      </c>
      <c r="O19" s="286" t="s">
        <v>425</v>
      </c>
      <c r="P19" s="874" t="s">
        <v>213</v>
      </c>
      <c r="Q19" s="875"/>
      <c r="R19" s="875"/>
      <c r="S19" s="875"/>
      <c r="T19" s="875"/>
      <c r="U19" s="875"/>
      <c r="V19" s="875"/>
      <c r="W19" s="875"/>
      <c r="X19" s="876"/>
      <c r="Y19" s="877" t="s">
        <v>244</v>
      </c>
      <c r="Z19" s="878"/>
      <c r="AA19" s="878"/>
      <c r="AB19" s="878"/>
      <c r="AC19" s="878"/>
      <c r="AD19" s="878"/>
      <c r="AE19" s="878"/>
      <c r="AF19" s="878"/>
      <c r="AG19" s="878"/>
      <c r="AH19" s="878"/>
      <c r="AI19" s="878"/>
      <c r="AJ19" s="878"/>
      <c r="AK19" s="878"/>
      <c r="AL19" s="878"/>
      <c r="AM19" s="879"/>
    </row>
    <row r="20" spans="1:39" s="285" customFormat="1" ht="59.25" customHeight="1">
      <c r="A20" s="509"/>
      <c r="B20" s="871"/>
      <c r="C20" s="873"/>
      <c r="D20" s="287">
        <v>2011</v>
      </c>
      <c r="E20" s="287">
        <v>2012</v>
      </c>
      <c r="F20" s="287">
        <v>2013</v>
      </c>
      <c r="G20" s="287">
        <v>2014</v>
      </c>
      <c r="H20" s="287">
        <v>2015</v>
      </c>
      <c r="I20" s="287">
        <v>2016</v>
      </c>
      <c r="J20" s="287">
        <v>2017</v>
      </c>
      <c r="K20" s="287">
        <v>2018</v>
      </c>
      <c r="L20" s="287">
        <v>2019</v>
      </c>
      <c r="M20" s="287">
        <v>2020</v>
      </c>
      <c r="N20" s="881"/>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GS&gt;50 kW</v>
      </c>
      <c r="AB20" s="288" t="str">
        <f>'1.  LRAMVA Summary'!G50</f>
        <v>Streetlights</v>
      </c>
      <c r="AC20" s="288" t="str">
        <f>'1.  LRAMVA Summary'!H50</f>
        <v>Unmetered Scattered Load</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0"/>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KWh</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509">
        <v>1</v>
      </c>
      <c r="B22" s="296" t="s">
        <v>1</v>
      </c>
      <c r="C22" s="293" t="s">
        <v>25</v>
      </c>
      <c r="D22" s="297">
        <v>52746.940326103329</v>
      </c>
      <c r="E22" s="297">
        <v>52746.940326103329</v>
      </c>
      <c r="F22" s="297">
        <v>52746.940326103329</v>
      </c>
      <c r="G22" s="297">
        <v>52443.725112754277</v>
      </c>
      <c r="H22" s="297">
        <v>39500.16606746184</v>
      </c>
      <c r="I22" s="297">
        <v>0</v>
      </c>
      <c r="J22" s="297">
        <v>0</v>
      </c>
      <c r="K22" s="297">
        <v>0</v>
      </c>
      <c r="L22" s="297">
        <v>0</v>
      </c>
      <c r="M22" s="297">
        <v>0</v>
      </c>
      <c r="N22" s="293"/>
      <c r="O22" s="297">
        <v>7.626611228809197</v>
      </c>
      <c r="P22" s="297">
        <v>7.626611228809197</v>
      </c>
      <c r="Q22" s="297">
        <v>7.626611228809197</v>
      </c>
      <c r="R22" s="297">
        <v>7.2875408183543122</v>
      </c>
      <c r="S22" s="297">
        <v>5.193470906745727</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hidden="1" outlineLevel="1">
      <c r="A23" s="509"/>
      <c r="B23" s="296" t="s">
        <v>215</v>
      </c>
      <c r="C23" s="293" t="s">
        <v>164</v>
      </c>
      <c r="D23" s="297"/>
      <c r="E23" s="297"/>
      <c r="F23" s="297"/>
      <c r="G23" s="297"/>
      <c r="H23" s="297"/>
      <c r="I23" s="297"/>
      <c r="J23" s="297"/>
      <c r="K23" s="297"/>
      <c r="L23" s="297"/>
      <c r="M23" s="297"/>
      <c r="N23" s="469"/>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hidden="1" outlineLevel="1">
      <c r="A24" s="511"/>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hidden="1" outlineLevel="1">
      <c r="A25" s="509">
        <v>2</v>
      </c>
      <c r="B25" s="296" t="s">
        <v>2</v>
      </c>
      <c r="C25" s="293" t="s">
        <v>25</v>
      </c>
      <c r="D25" s="297">
        <v>1671.4918706195494</v>
      </c>
      <c r="E25" s="297">
        <v>1671.4918706195494</v>
      </c>
      <c r="F25" s="297">
        <v>1671.4918706195494</v>
      </c>
      <c r="G25" s="297">
        <v>1222.1344022192445</v>
      </c>
      <c r="H25" s="297">
        <v>0</v>
      </c>
      <c r="I25" s="297">
        <v>0</v>
      </c>
      <c r="J25" s="297">
        <v>0</v>
      </c>
      <c r="K25" s="297">
        <v>0</v>
      </c>
      <c r="L25" s="297">
        <v>0</v>
      </c>
      <c r="M25" s="297">
        <v>0</v>
      </c>
      <c r="N25" s="293"/>
      <c r="O25" s="297">
        <v>1.1879073687414818</v>
      </c>
      <c r="P25" s="297">
        <v>1.1879073687414818</v>
      </c>
      <c r="Q25" s="297">
        <v>1.1879073687414818</v>
      </c>
      <c r="R25" s="297">
        <v>0.68541338247813122</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 hidden="1" outlineLevel="1">
      <c r="A26" s="509"/>
      <c r="B26" s="296" t="s">
        <v>215</v>
      </c>
      <c r="C26" s="293" t="s">
        <v>164</v>
      </c>
      <c r="D26" s="297"/>
      <c r="E26" s="297"/>
      <c r="F26" s="297"/>
      <c r="G26" s="297"/>
      <c r="H26" s="297"/>
      <c r="I26" s="297"/>
      <c r="J26" s="297"/>
      <c r="K26" s="297"/>
      <c r="L26" s="297"/>
      <c r="M26" s="297"/>
      <c r="N26" s="469"/>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hidden="1" outlineLevel="1">
      <c r="A27" s="511"/>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hidden="1" outlineLevel="1">
      <c r="A28" s="509">
        <v>3</v>
      </c>
      <c r="B28" s="296" t="s">
        <v>3</v>
      </c>
      <c r="C28" s="293" t="s">
        <v>25</v>
      </c>
      <c r="D28" s="297">
        <v>60902.619333977389</v>
      </c>
      <c r="E28" s="297">
        <v>60902.619333977389</v>
      </c>
      <c r="F28" s="297">
        <v>60902.619333977389</v>
      </c>
      <c r="G28" s="297">
        <v>60902.619333977389</v>
      </c>
      <c r="H28" s="297">
        <v>60902.619333977389</v>
      </c>
      <c r="I28" s="297">
        <v>60902.619333977389</v>
      </c>
      <c r="J28" s="297">
        <v>60902.619333977389</v>
      </c>
      <c r="K28" s="297">
        <v>60902.619333977389</v>
      </c>
      <c r="L28" s="297">
        <v>60902.619333977389</v>
      </c>
      <c r="M28" s="297">
        <v>60902.619333977389</v>
      </c>
      <c r="N28" s="293"/>
      <c r="O28" s="297">
        <v>31.598265159682093</v>
      </c>
      <c r="P28" s="297">
        <v>31.598265159682093</v>
      </c>
      <c r="Q28" s="297">
        <v>31.598265159682093</v>
      </c>
      <c r="R28" s="297">
        <v>31.598265159682093</v>
      </c>
      <c r="S28" s="297">
        <v>31.598265159682093</v>
      </c>
      <c r="T28" s="297">
        <v>31.598265159682093</v>
      </c>
      <c r="U28" s="297">
        <v>31.598265159682093</v>
      </c>
      <c r="V28" s="297">
        <v>31.598265159682093</v>
      </c>
      <c r="W28" s="297">
        <v>31.598265159682093</v>
      </c>
      <c r="X28" s="297">
        <v>31.598265159682093</v>
      </c>
      <c r="Y28" s="412">
        <v>1</v>
      </c>
      <c r="Z28" s="412"/>
      <c r="AA28" s="412"/>
      <c r="AB28" s="412"/>
      <c r="AC28" s="412"/>
      <c r="AD28" s="412"/>
      <c r="AE28" s="412"/>
      <c r="AF28" s="412"/>
      <c r="AG28" s="412"/>
      <c r="AH28" s="412"/>
      <c r="AI28" s="412"/>
      <c r="AJ28" s="412"/>
      <c r="AK28" s="412"/>
      <c r="AL28" s="412"/>
      <c r="AM28" s="298">
        <f>SUM(Y28:AL28)</f>
        <v>1</v>
      </c>
    </row>
    <row r="29" spans="1:39" s="285" customFormat="1" ht="15" hidden="1" outlineLevel="1">
      <c r="A29" s="509"/>
      <c r="B29" s="296" t="s">
        <v>215</v>
      </c>
      <c r="C29" s="293" t="s">
        <v>164</v>
      </c>
      <c r="D29" s="297"/>
      <c r="E29" s="297"/>
      <c r="F29" s="297"/>
      <c r="G29" s="297"/>
      <c r="H29" s="297"/>
      <c r="I29" s="297"/>
      <c r="J29" s="297"/>
      <c r="K29" s="297"/>
      <c r="L29" s="297"/>
      <c r="M29" s="297"/>
      <c r="N29" s="469"/>
      <c r="O29" s="297"/>
      <c r="P29" s="297"/>
      <c r="Q29" s="297"/>
      <c r="R29" s="297"/>
      <c r="S29" s="297"/>
      <c r="T29" s="297"/>
      <c r="U29" s="297"/>
      <c r="V29" s="297"/>
      <c r="W29" s="297"/>
      <c r="X29" s="297"/>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hidden="1" outlineLevel="1">
      <c r="A30" s="509"/>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hidden="1" outlineLevel="1">
      <c r="A31" s="509">
        <v>4</v>
      </c>
      <c r="B31" s="296" t="s">
        <v>4</v>
      </c>
      <c r="C31" s="293" t="s">
        <v>25</v>
      </c>
      <c r="D31" s="297">
        <v>54256.762724071887</v>
      </c>
      <c r="E31" s="297">
        <v>54256.762724071887</v>
      </c>
      <c r="F31" s="297">
        <v>54256.762724071887</v>
      </c>
      <c r="G31" s="297">
        <v>54256.762724071887</v>
      </c>
      <c r="H31" s="297">
        <v>49963.072324449298</v>
      </c>
      <c r="I31" s="297">
        <v>45204.398005769297</v>
      </c>
      <c r="J31" s="297">
        <v>35170.073191306939</v>
      </c>
      <c r="K31" s="297">
        <v>34945.224112276381</v>
      </c>
      <c r="L31" s="297">
        <v>43929.590410594581</v>
      </c>
      <c r="M31" s="297">
        <v>16679.091885422826</v>
      </c>
      <c r="N31" s="293"/>
      <c r="O31" s="297">
        <v>3.3392644783408905</v>
      </c>
      <c r="P31" s="297">
        <v>3.3392644783408905</v>
      </c>
      <c r="Q31" s="297">
        <v>3.3392644783408905</v>
      </c>
      <c r="R31" s="297">
        <v>3.3392644783408905</v>
      </c>
      <c r="S31" s="297">
        <v>3.1404539460095009</v>
      </c>
      <c r="T31" s="297">
        <v>2.9201132864753054</v>
      </c>
      <c r="U31" s="297">
        <v>2.4554944452741139</v>
      </c>
      <c r="V31" s="297">
        <v>2.4298267421884345</v>
      </c>
      <c r="W31" s="297">
        <v>2.8458294066063994</v>
      </c>
      <c r="X31" s="297">
        <v>1.5840509331139143</v>
      </c>
      <c r="Y31" s="412">
        <v>1</v>
      </c>
      <c r="Z31" s="412"/>
      <c r="AA31" s="412"/>
      <c r="AB31" s="412"/>
      <c r="AC31" s="412"/>
      <c r="AD31" s="412"/>
      <c r="AE31" s="412"/>
      <c r="AF31" s="412"/>
      <c r="AG31" s="412"/>
      <c r="AH31" s="412"/>
      <c r="AI31" s="412"/>
      <c r="AJ31" s="412"/>
      <c r="AK31" s="412"/>
      <c r="AL31" s="412"/>
      <c r="AM31" s="298">
        <f>SUM(Y31:AL31)</f>
        <v>1</v>
      </c>
    </row>
    <row r="32" spans="1:39" s="285" customFormat="1" ht="15" hidden="1" outlineLevel="1">
      <c r="A32" s="509"/>
      <c r="B32" s="296" t="s">
        <v>215</v>
      </c>
      <c r="C32" s="293" t="s">
        <v>164</v>
      </c>
      <c r="D32" s="297"/>
      <c r="E32" s="297"/>
      <c r="F32" s="297"/>
      <c r="G32" s="297"/>
      <c r="H32" s="297"/>
      <c r="I32" s="297"/>
      <c r="J32" s="297"/>
      <c r="K32" s="297"/>
      <c r="L32" s="297"/>
      <c r="M32" s="297"/>
      <c r="N32" s="469"/>
      <c r="O32" s="297"/>
      <c r="P32" s="297"/>
      <c r="Q32" s="297"/>
      <c r="R32" s="297"/>
      <c r="S32" s="297"/>
      <c r="T32" s="297"/>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hidden="1" outlineLevel="1">
      <c r="A33" s="509"/>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hidden="1" outlineLevel="1">
      <c r="A34" s="509">
        <v>5</v>
      </c>
      <c r="B34" s="296" t="s">
        <v>5</v>
      </c>
      <c r="C34" s="293" t="s">
        <v>25</v>
      </c>
      <c r="D34" s="297">
        <v>90221.827974615051</v>
      </c>
      <c r="E34" s="297">
        <v>90221.827974615051</v>
      </c>
      <c r="F34" s="297">
        <v>90221.827974615051</v>
      </c>
      <c r="G34" s="297">
        <v>90221.827974615051</v>
      </c>
      <c r="H34" s="297">
        <v>82993.171440725331</v>
      </c>
      <c r="I34" s="297">
        <v>74526.576652665623</v>
      </c>
      <c r="J34" s="297">
        <v>54974.639281761061</v>
      </c>
      <c r="K34" s="297">
        <v>54784.637409639443</v>
      </c>
      <c r="L34" s="297">
        <v>69910.296714489392</v>
      </c>
      <c r="M34" s="297">
        <v>22126.681956716464</v>
      </c>
      <c r="N34" s="293"/>
      <c r="O34" s="297">
        <v>5.113504196502344</v>
      </c>
      <c r="P34" s="297">
        <v>5.113504196502344</v>
      </c>
      <c r="Q34" s="297">
        <v>5.113504196502344</v>
      </c>
      <c r="R34" s="297">
        <v>5.113504196502344</v>
      </c>
      <c r="S34" s="297">
        <v>4.7787960737020345</v>
      </c>
      <c r="T34" s="297">
        <v>4.3867677576883164</v>
      </c>
      <c r="U34" s="297">
        <v>3.4814553771866423</v>
      </c>
      <c r="V34" s="297">
        <v>3.4597656657572338</v>
      </c>
      <c r="W34" s="297">
        <v>4.1601283138244458</v>
      </c>
      <c r="X34" s="297">
        <v>1.9476059839550437</v>
      </c>
      <c r="Y34" s="412">
        <v>1</v>
      </c>
      <c r="Z34" s="412"/>
      <c r="AA34" s="412"/>
      <c r="AB34" s="412"/>
      <c r="AC34" s="412"/>
      <c r="AD34" s="412"/>
      <c r="AE34" s="412"/>
      <c r="AF34" s="412"/>
      <c r="AG34" s="412"/>
      <c r="AH34" s="412"/>
      <c r="AI34" s="412"/>
      <c r="AJ34" s="412"/>
      <c r="AK34" s="412"/>
      <c r="AL34" s="412"/>
      <c r="AM34" s="298">
        <f>SUM(Y34:AL34)</f>
        <v>1</v>
      </c>
    </row>
    <row r="35" spans="1:39" s="285" customFormat="1" ht="15" hidden="1" outlineLevel="1">
      <c r="A35" s="509"/>
      <c r="B35" s="296" t="s">
        <v>215</v>
      </c>
      <c r="C35" s="293" t="s">
        <v>164</v>
      </c>
      <c r="D35" s="297"/>
      <c r="E35" s="297"/>
      <c r="F35" s="297"/>
      <c r="G35" s="297"/>
      <c r="H35" s="297"/>
      <c r="I35" s="297"/>
      <c r="J35" s="297"/>
      <c r="K35" s="297"/>
      <c r="L35" s="297"/>
      <c r="M35" s="297"/>
      <c r="N35" s="469"/>
      <c r="O35" s="297"/>
      <c r="P35" s="297"/>
      <c r="Q35" s="297"/>
      <c r="R35" s="297"/>
      <c r="S35" s="297"/>
      <c r="T35" s="297"/>
      <c r="U35" s="297"/>
      <c r="V35" s="297"/>
      <c r="W35" s="297"/>
      <c r="X35" s="297"/>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hidden="1" outlineLevel="1">
      <c r="A36" s="509"/>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hidden="1" outlineLevel="1">
      <c r="A37" s="509">
        <v>6</v>
      </c>
      <c r="B37" s="296" t="s">
        <v>6</v>
      </c>
      <c r="C37" s="293" t="s">
        <v>25</v>
      </c>
      <c r="D37" s="297">
        <v>0</v>
      </c>
      <c r="E37" s="297">
        <v>0</v>
      </c>
      <c r="F37" s="297">
        <v>0</v>
      </c>
      <c r="G37" s="297">
        <v>0</v>
      </c>
      <c r="H37" s="297">
        <v>0</v>
      </c>
      <c r="I37" s="297">
        <v>0</v>
      </c>
      <c r="J37" s="297">
        <v>0</v>
      </c>
      <c r="K37" s="297">
        <v>0</v>
      </c>
      <c r="L37" s="297">
        <v>0</v>
      </c>
      <c r="M37" s="297">
        <v>0</v>
      </c>
      <c r="N37" s="293"/>
      <c r="O37" s="297">
        <v>0</v>
      </c>
      <c r="P37" s="297">
        <v>0</v>
      </c>
      <c r="Q37" s="297">
        <v>0</v>
      </c>
      <c r="R37" s="297">
        <v>0</v>
      </c>
      <c r="S37" s="297">
        <v>0</v>
      </c>
      <c r="T37" s="297">
        <v>0</v>
      </c>
      <c r="U37" s="297">
        <v>0</v>
      </c>
      <c r="V37" s="297">
        <v>0</v>
      </c>
      <c r="W37" s="297">
        <v>0</v>
      </c>
      <c r="X37" s="297">
        <v>0</v>
      </c>
      <c r="Y37" s="412">
        <v>1</v>
      </c>
      <c r="Z37" s="412"/>
      <c r="AA37" s="412"/>
      <c r="AB37" s="412"/>
      <c r="AC37" s="412"/>
      <c r="AD37" s="412"/>
      <c r="AE37" s="412"/>
      <c r="AF37" s="412"/>
      <c r="AG37" s="412"/>
      <c r="AH37" s="412"/>
      <c r="AI37" s="412"/>
      <c r="AJ37" s="412"/>
      <c r="AK37" s="412"/>
      <c r="AL37" s="412"/>
      <c r="AM37" s="298">
        <f>SUM(Y37:AL37)</f>
        <v>1</v>
      </c>
    </row>
    <row r="38" spans="1:39" s="285" customFormat="1" ht="15" hidden="1" outlineLevel="1">
      <c r="A38" s="509"/>
      <c r="B38" s="296" t="s">
        <v>215</v>
      </c>
      <c r="C38" s="293" t="s">
        <v>164</v>
      </c>
      <c r="D38" s="297"/>
      <c r="E38" s="297"/>
      <c r="F38" s="297"/>
      <c r="G38" s="297"/>
      <c r="H38" s="297"/>
      <c r="I38" s="297"/>
      <c r="J38" s="297"/>
      <c r="K38" s="297"/>
      <c r="L38" s="297"/>
      <c r="M38" s="297"/>
      <c r="N38" s="469"/>
      <c r="O38" s="297"/>
      <c r="P38" s="297"/>
      <c r="Q38" s="297"/>
      <c r="R38" s="297"/>
      <c r="S38" s="297"/>
      <c r="T38" s="297"/>
      <c r="U38" s="297"/>
      <c r="V38" s="297"/>
      <c r="W38" s="297"/>
      <c r="X38" s="297"/>
      <c r="Y38" s="413">
        <f>Y37</f>
        <v>1</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hidden="1" outlineLevel="1">
      <c r="A39" s="509"/>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hidden="1" outlineLevel="1">
      <c r="A40" s="509">
        <v>7</v>
      </c>
      <c r="B40" s="296" t="s">
        <v>42</v>
      </c>
      <c r="C40" s="293" t="s">
        <v>25</v>
      </c>
      <c r="D40" s="297" t="s">
        <v>708</v>
      </c>
      <c r="E40" s="297" t="s">
        <v>708</v>
      </c>
      <c r="F40" s="297" t="s">
        <v>708</v>
      </c>
      <c r="G40" s="297" t="s">
        <v>708</v>
      </c>
      <c r="H40" s="297" t="s">
        <v>708</v>
      </c>
      <c r="I40" s="297" t="s">
        <v>708</v>
      </c>
      <c r="J40" s="297" t="s">
        <v>708</v>
      </c>
      <c r="K40" s="297" t="s">
        <v>708</v>
      </c>
      <c r="L40" s="297" t="s">
        <v>708</v>
      </c>
      <c r="M40" s="297" t="s">
        <v>708</v>
      </c>
      <c r="N40" s="293"/>
      <c r="O40" s="297" t="s">
        <v>708</v>
      </c>
      <c r="P40" s="297" t="s">
        <v>708</v>
      </c>
      <c r="Q40" s="297" t="s">
        <v>708</v>
      </c>
      <c r="R40" s="297" t="s">
        <v>708</v>
      </c>
      <c r="S40" s="297" t="s">
        <v>708</v>
      </c>
      <c r="T40" s="297" t="s">
        <v>708</v>
      </c>
      <c r="U40" s="297" t="s">
        <v>708</v>
      </c>
      <c r="V40" s="297" t="s">
        <v>708</v>
      </c>
      <c r="W40" s="297" t="s">
        <v>708</v>
      </c>
      <c r="X40" s="297" t="s">
        <v>708</v>
      </c>
      <c r="Y40" s="412"/>
      <c r="Z40" s="412"/>
      <c r="AA40" s="412"/>
      <c r="AB40" s="412"/>
      <c r="AC40" s="412"/>
      <c r="AD40" s="412"/>
      <c r="AE40" s="412"/>
      <c r="AF40" s="412"/>
      <c r="AG40" s="412"/>
      <c r="AH40" s="412"/>
      <c r="AI40" s="412"/>
      <c r="AJ40" s="412"/>
      <c r="AK40" s="412"/>
      <c r="AL40" s="412"/>
      <c r="AM40" s="298">
        <f>SUM(Y40:AL40)</f>
        <v>0</v>
      </c>
    </row>
    <row r="41" spans="1:39" s="285" customFormat="1" ht="15" hidden="1" outlineLevel="1">
      <c r="A41" s="509"/>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hidden="1" outlineLevel="1">
      <c r="A42" s="509"/>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hidden="1" outlineLevel="1">
      <c r="A43" s="509">
        <v>8</v>
      </c>
      <c r="B43" s="296" t="s">
        <v>487</v>
      </c>
      <c r="C43" s="293" t="s">
        <v>25</v>
      </c>
      <c r="D43" s="297" t="s">
        <v>708</v>
      </c>
      <c r="E43" s="297" t="s">
        <v>708</v>
      </c>
      <c r="F43" s="297" t="s">
        <v>708</v>
      </c>
      <c r="G43" s="297" t="s">
        <v>708</v>
      </c>
      <c r="H43" s="297" t="s">
        <v>708</v>
      </c>
      <c r="I43" s="297" t="s">
        <v>708</v>
      </c>
      <c r="J43" s="297" t="s">
        <v>708</v>
      </c>
      <c r="K43" s="297" t="s">
        <v>708</v>
      </c>
      <c r="L43" s="297" t="s">
        <v>708</v>
      </c>
      <c r="M43" s="297" t="s">
        <v>708</v>
      </c>
      <c r="N43" s="293"/>
      <c r="O43" s="297" t="s">
        <v>708</v>
      </c>
      <c r="P43" s="297" t="s">
        <v>708</v>
      </c>
      <c r="Q43" s="297" t="s">
        <v>708</v>
      </c>
      <c r="R43" s="297" t="s">
        <v>708</v>
      </c>
      <c r="S43" s="297" t="s">
        <v>708</v>
      </c>
      <c r="T43" s="297" t="s">
        <v>708</v>
      </c>
      <c r="U43" s="297" t="s">
        <v>708</v>
      </c>
      <c r="V43" s="297" t="s">
        <v>708</v>
      </c>
      <c r="W43" s="297" t="s">
        <v>708</v>
      </c>
      <c r="X43" s="297" t="s">
        <v>708</v>
      </c>
      <c r="Y43" s="412"/>
      <c r="Z43" s="412"/>
      <c r="AA43" s="412"/>
      <c r="AB43" s="412"/>
      <c r="AC43" s="412"/>
      <c r="AD43" s="412"/>
      <c r="AE43" s="412"/>
      <c r="AF43" s="412"/>
      <c r="AG43" s="412"/>
      <c r="AH43" s="412"/>
      <c r="AI43" s="412"/>
      <c r="AJ43" s="412"/>
      <c r="AK43" s="412"/>
      <c r="AL43" s="412"/>
      <c r="AM43" s="298">
        <f>SUM(Y43:AL43)</f>
        <v>0</v>
      </c>
    </row>
    <row r="44" spans="1:39" s="285" customFormat="1" ht="15" hidden="1" outlineLevel="1">
      <c r="A44" s="509"/>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hidden="1" outlineLevel="1">
      <c r="A45" s="509"/>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hidden="1" outlineLevel="1">
      <c r="A46" s="509">
        <v>9</v>
      </c>
      <c r="B46" s="296" t="s">
        <v>7</v>
      </c>
      <c r="C46" s="293" t="s">
        <v>25</v>
      </c>
      <c r="D46" s="297" t="s">
        <v>708</v>
      </c>
      <c r="E46" s="297" t="s">
        <v>708</v>
      </c>
      <c r="F46" s="297" t="s">
        <v>708</v>
      </c>
      <c r="G46" s="297" t="s">
        <v>708</v>
      </c>
      <c r="H46" s="297" t="s">
        <v>708</v>
      </c>
      <c r="I46" s="297" t="s">
        <v>708</v>
      </c>
      <c r="J46" s="297" t="s">
        <v>708</v>
      </c>
      <c r="K46" s="297" t="s">
        <v>708</v>
      </c>
      <c r="L46" s="297" t="s">
        <v>708</v>
      </c>
      <c r="M46" s="297" t="s">
        <v>708</v>
      </c>
      <c r="N46" s="293"/>
      <c r="O46" s="297" t="s">
        <v>708</v>
      </c>
      <c r="P46" s="297" t="s">
        <v>708</v>
      </c>
      <c r="Q46" s="297" t="s">
        <v>708</v>
      </c>
      <c r="R46" s="297" t="s">
        <v>708</v>
      </c>
      <c r="S46" s="297" t="s">
        <v>708</v>
      </c>
      <c r="T46" s="297" t="s">
        <v>708</v>
      </c>
      <c r="U46" s="297" t="s">
        <v>708</v>
      </c>
      <c r="V46" s="297" t="s">
        <v>708</v>
      </c>
      <c r="W46" s="297" t="s">
        <v>708</v>
      </c>
      <c r="X46" s="297" t="s">
        <v>708</v>
      </c>
      <c r="Y46" s="412"/>
      <c r="Z46" s="412"/>
      <c r="AA46" s="412"/>
      <c r="AB46" s="412"/>
      <c r="AC46" s="412"/>
      <c r="AD46" s="412"/>
      <c r="AE46" s="412"/>
      <c r="AF46" s="412"/>
      <c r="AG46" s="412"/>
      <c r="AH46" s="412"/>
      <c r="AI46" s="412"/>
      <c r="AJ46" s="412"/>
      <c r="AK46" s="412"/>
      <c r="AL46" s="412"/>
      <c r="AM46" s="298">
        <f>SUM(Y46:AL46)</f>
        <v>0</v>
      </c>
    </row>
    <row r="47" spans="1:39" s="285" customFormat="1" ht="15" hidden="1" outlineLevel="1">
      <c r="A47" s="509"/>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hidden="1" outlineLevel="1">
      <c r="A48" s="509"/>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hidden="1" outlineLevel="1">
      <c r="A49" s="510"/>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hidden="1" outlineLevel="1">
      <c r="A50" s="509">
        <v>10</v>
      </c>
      <c r="B50" s="312" t="s">
        <v>22</v>
      </c>
      <c r="C50" s="293" t="s">
        <v>25</v>
      </c>
      <c r="D50" s="297">
        <v>116644.15013152071</v>
      </c>
      <c r="E50" s="297">
        <v>116644.15013152071</v>
      </c>
      <c r="F50" s="297">
        <v>116644.15013152071</v>
      </c>
      <c r="G50" s="297">
        <v>116644.15013152071</v>
      </c>
      <c r="H50" s="297">
        <v>116644.15013152071</v>
      </c>
      <c r="I50" s="297">
        <v>116644.15013152071</v>
      </c>
      <c r="J50" s="297">
        <v>116644.15013152071</v>
      </c>
      <c r="K50" s="297">
        <v>116644.15013152071</v>
      </c>
      <c r="L50" s="297">
        <v>116644.15013152071</v>
      </c>
      <c r="M50" s="297">
        <v>116644.15013152071</v>
      </c>
      <c r="N50" s="297">
        <v>12</v>
      </c>
      <c r="O50" s="297">
        <v>15.542213275204141</v>
      </c>
      <c r="P50" s="297">
        <v>15.542213275204141</v>
      </c>
      <c r="Q50" s="297">
        <v>15.542213275204141</v>
      </c>
      <c r="R50" s="297">
        <v>15.542213275204141</v>
      </c>
      <c r="S50" s="297">
        <v>15.542213275204141</v>
      </c>
      <c r="T50" s="297">
        <v>15.542213275204141</v>
      </c>
      <c r="U50" s="297">
        <v>15.542213275204141</v>
      </c>
      <c r="V50" s="297">
        <v>15.542213275204141</v>
      </c>
      <c r="W50" s="297">
        <v>15.542213275204141</v>
      </c>
      <c r="X50" s="297">
        <v>15.542213275204141</v>
      </c>
      <c r="Y50" s="417">
        <v>0</v>
      </c>
      <c r="Z50" s="417">
        <v>1</v>
      </c>
      <c r="AA50" s="417">
        <v>0</v>
      </c>
      <c r="AB50" s="417"/>
      <c r="AC50" s="417"/>
      <c r="AD50" s="417"/>
      <c r="AE50" s="417"/>
      <c r="AF50" s="417"/>
      <c r="AG50" s="417"/>
      <c r="AH50" s="417"/>
      <c r="AI50" s="417"/>
      <c r="AJ50" s="417"/>
      <c r="AK50" s="417"/>
      <c r="AL50" s="417"/>
      <c r="AM50" s="298">
        <f>SUM(Y50:AL50)</f>
        <v>1</v>
      </c>
    </row>
    <row r="51" spans="1:42" s="285" customFormat="1" ht="15" hidden="1" outlineLevel="1">
      <c r="A51" s="509"/>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1</v>
      </c>
      <c r="AA51" s="413">
        <f>AA50</f>
        <v>0</v>
      </c>
      <c r="AB51" s="413">
        <f t="shared" ref="AB51:AL51" si="9">AB50</f>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hidden="1" outlineLevel="1">
      <c r="A52" s="509"/>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hidden="1" outlineLevel="1">
      <c r="A53" s="509">
        <v>11</v>
      </c>
      <c r="B53" s="316" t="s">
        <v>21</v>
      </c>
      <c r="C53" s="293" t="s">
        <v>25</v>
      </c>
      <c r="D53" s="297">
        <v>161529.24697593649</v>
      </c>
      <c r="E53" s="297">
        <v>161529.24697593649</v>
      </c>
      <c r="F53" s="297">
        <v>161529.24697593649</v>
      </c>
      <c r="G53" s="297">
        <v>79595.894640730126</v>
      </c>
      <c r="H53" s="297">
        <v>79595.894640730126</v>
      </c>
      <c r="I53" s="297">
        <v>79595.894640730126</v>
      </c>
      <c r="J53" s="297">
        <v>17296.754687108401</v>
      </c>
      <c r="K53" s="297">
        <v>17296.754687108401</v>
      </c>
      <c r="L53" s="297">
        <v>17296.754687108401</v>
      </c>
      <c r="M53" s="297">
        <v>17296.754687108401</v>
      </c>
      <c r="N53" s="297">
        <v>12</v>
      </c>
      <c r="O53" s="297">
        <v>60.788904907489417</v>
      </c>
      <c r="P53" s="297">
        <v>60.788904907489417</v>
      </c>
      <c r="Q53" s="297">
        <v>60.788904907489417</v>
      </c>
      <c r="R53" s="297">
        <v>31.725768759739751</v>
      </c>
      <c r="S53" s="297">
        <v>31.725768759739751</v>
      </c>
      <c r="T53" s="297">
        <v>31.725768759739751</v>
      </c>
      <c r="U53" s="297">
        <v>6.0568843103556</v>
      </c>
      <c r="V53" s="297">
        <v>6.0568843103556</v>
      </c>
      <c r="W53" s="297">
        <v>6.0568843103556</v>
      </c>
      <c r="X53" s="297">
        <v>6.0568843103556</v>
      </c>
      <c r="Y53" s="417">
        <v>0</v>
      </c>
      <c r="Z53" s="417">
        <v>1</v>
      </c>
      <c r="AA53" s="417">
        <v>0</v>
      </c>
      <c r="AB53" s="417"/>
      <c r="AC53" s="417"/>
      <c r="AD53" s="417"/>
      <c r="AE53" s="417"/>
      <c r="AF53" s="417"/>
      <c r="AG53" s="417"/>
      <c r="AH53" s="417"/>
      <c r="AI53" s="417"/>
      <c r="AJ53" s="417"/>
      <c r="AK53" s="417"/>
      <c r="AL53" s="417"/>
      <c r="AM53" s="298">
        <f>SUM(Y53:AL53)</f>
        <v>1</v>
      </c>
    </row>
    <row r="54" spans="1:42" s="285" customFormat="1" ht="15" hidden="1" outlineLevel="1">
      <c r="A54" s="509"/>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hidden="1" outlineLevel="1">
      <c r="A55" s="509"/>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hidden="1" outlineLevel="1">
      <c r="A56" s="509">
        <v>12</v>
      </c>
      <c r="B56" s="316" t="s">
        <v>23</v>
      </c>
      <c r="C56" s="293" t="s">
        <v>25</v>
      </c>
      <c r="D56" s="297" t="s">
        <v>708</v>
      </c>
      <c r="E56" s="297" t="s">
        <v>708</v>
      </c>
      <c r="F56" s="297" t="s">
        <v>708</v>
      </c>
      <c r="G56" s="297" t="s">
        <v>708</v>
      </c>
      <c r="H56" s="297" t="s">
        <v>708</v>
      </c>
      <c r="I56" s="297" t="s">
        <v>708</v>
      </c>
      <c r="J56" s="297" t="s">
        <v>708</v>
      </c>
      <c r="K56" s="297" t="s">
        <v>708</v>
      </c>
      <c r="L56" s="297" t="s">
        <v>708</v>
      </c>
      <c r="M56" s="297" t="s">
        <v>708</v>
      </c>
      <c r="N56" s="297">
        <v>3</v>
      </c>
      <c r="O56" s="297" t="s">
        <v>708</v>
      </c>
      <c r="P56" s="297" t="s">
        <v>708</v>
      </c>
      <c r="Q56" s="297" t="s">
        <v>708</v>
      </c>
      <c r="R56" s="297" t="s">
        <v>708</v>
      </c>
      <c r="S56" s="297" t="s">
        <v>708</v>
      </c>
      <c r="T56" s="297" t="s">
        <v>708</v>
      </c>
      <c r="U56" s="297" t="s">
        <v>708</v>
      </c>
      <c r="V56" s="297" t="s">
        <v>708</v>
      </c>
      <c r="W56" s="297" t="s">
        <v>708</v>
      </c>
      <c r="X56" s="297" t="s">
        <v>708</v>
      </c>
      <c r="Y56" s="417"/>
      <c r="Z56" s="417"/>
      <c r="AA56" s="417"/>
      <c r="AB56" s="417"/>
      <c r="AC56" s="417"/>
      <c r="AD56" s="417"/>
      <c r="AE56" s="417"/>
      <c r="AF56" s="417"/>
      <c r="AG56" s="417"/>
      <c r="AH56" s="417"/>
      <c r="AI56" s="417"/>
      <c r="AJ56" s="417"/>
      <c r="AK56" s="417"/>
      <c r="AL56" s="417"/>
      <c r="AM56" s="298">
        <f>SUM(Y56:AL56)</f>
        <v>0</v>
      </c>
    </row>
    <row r="57" spans="1:42" s="285" customFormat="1" ht="15" hidden="1" outlineLevel="1">
      <c r="A57" s="509"/>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hidden="1" outlineLevel="1">
      <c r="A58" s="509"/>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hidden="1" outlineLevel="1">
      <c r="A59" s="509">
        <v>13</v>
      </c>
      <c r="B59" s="316" t="s">
        <v>24</v>
      </c>
      <c r="C59" s="293" t="s">
        <v>25</v>
      </c>
      <c r="D59" s="297" t="s">
        <v>708</v>
      </c>
      <c r="E59" s="297" t="s">
        <v>708</v>
      </c>
      <c r="F59" s="297" t="s">
        <v>708</v>
      </c>
      <c r="G59" s="297" t="s">
        <v>708</v>
      </c>
      <c r="H59" s="297" t="s">
        <v>708</v>
      </c>
      <c r="I59" s="297" t="s">
        <v>708</v>
      </c>
      <c r="J59" s="297" t="s">
        <v>708</v>
      </c>
      <c r="K59" s="297" t="s">
        <v>708</v>
      </c>
      <c r="L59" s="297" t="s">
        <v>708</v>
      </c>
      <c r="M59" s="297" t="s">
        <v>708</v>
      </c>
      <c r="N59" s="297">
        <v>12</v>
      </c>
      <c r="O59" s="297" t="s">
        <v>708</v>
      </c>
      <c r="P59" s="297" t="s">
        <v>708</v>
      </c>
      <c r="Q59" s="297" t="s">
        <v>708</v>
      </c>
      <c r="R59" s="297" t="s">
        <v>708</v>
      </c>
      <c r="S59" s="297" t="s">
        <v>708</v>
      </c>
      <c r="T59" s="297" t="s">
        <v>708</v>
      </c>
      <c r="U59" s="297" t="s">
        <v>708</v>
      </c>
      <c r="V59" s="297" t="s">
        <v>708</v>
      </c>
      <c r="W59" s="297" t="s">
        <v>708</v>
      </c>
      <c r="X59" s="297" t="s">
        <v>708</v>
      </c>
      <c r="Y59" s="417"/>
      <c r="Z59" s="417"/>
      <c r="AA59" s="417"/>
      <c r="AB59" s="417"/>
      <c r="AC59" s="417"/>
      <c r="AD59" s="417"/>
      <c r="AE59" s="417"/>
      <c r="AF59" s="417"/>
      <c r="AG59" s="417"/>
      <c r="AH59" s="417"/>
      <c r="AI59" s="417"/>
      <c r="AJ59" s="417"/>
      <c r="AK59" s="417"/>
      <c r="AL59" s="417"/>
      <c r="AM59" s="298">
        <f>SUM(Y59:AL59)</f>
        <v>0</v>
      </c>
    </row>
    <row r="60" spans="1:42" s="285" customFormat="1" ht="15" hidden="1" outlineLevel="1">
      <c r="A60" s="509"/>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hidden="1" outlineLevel="1">
      <c r="A61" s="509"/>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hidden="1" outlineLevel="1">
      <c r="A62" s="509">
        <v>14</v>
      </c>
      <c r="B62" s="316" t="s">
        <v>20</v>
      </c>
      <c r="C62" s="293" t="s">
        <v>25</v>
      </c>
      <c r="D62" s="297" t="s">
        <v>708</v>
      </c>
      <c r="E62" s="297" t="s">
        <v>708</v>
      </c>
      <c r="F62" s="297" t="s">
        <v>708</v>
      </c>
      <c r="G62" s="297" t="s">
        <v>708</v>
      </c>
      <c r="H62" s="297" t="s">
        <v>708</v>
      </c>
      <c r="I62" s="297" t="s">
        <v>708</v>
      </c>
      <c r="J62" s="297" t="s">
        <v>708</v>
      </c>
      <c r="K62" s="297" t="s">
        <v>708</v>
      </c>
      <c r="L62" s="297" t="s">
        <v>708</v>
      </c>
      <c r="M62" s="297" t="s">
        <v>708</v>
      </c>
      <c r="N62" s="297">
        <v>12</v>
      </c>
      <c r="O62" s="297" t="s">
        <v>708</v>
      </c>
      <c r="P62" s="297" t="s">
        <v>708</v>
      </c>
      <c r="Q62" s="297" t="s">
        <v>708</v>
      </c>
      <c r="R62" s="297" t="s">
        <v>708</v>
      </c>
      <c r="S62" s="297" t="s">
        <v>708</v>
      </c>
      <c r="T62" s="297" t="s">
        <v>708</v>
      </c>
      <c r="U62" s="297" t="s">
        <v>708</v>
      </c>
      <c r="V62" s="297" t="s">
        <v>708</v>
      </c>
      <c r="W62" s="297" t="s">
        <v>708</v>
      </c>
      <c r="X62" s="297" t="s">
        <v>708</v>
      </c>
      <c r="Y62" s="417"/>
      <c r="Z62" s="417"/>
      <c r="AA62" s="417"/>
      <c r="AB62" s="417"/>
      <c r="AC62" s="417"/>
      <c r="AD62" s="417"/>
      <c r="AE62" s="417"/>
      <c r="AF62" s="417"/>
      <c r="AG62" s="417"/>
      <c r="AH62" s="417"/>
      <c r="AI62" s="417"/>
      <c r="AJ62" s="417"/>
      <c r="AK62" s="417"/>
      <c r="AL62" s="417"/>
      <c r="AM62" s="298">
        <f>SUM(Y62:AL62)</f>
        <v>0</v>
      </c>
    </row>
    <row r="63" spans="1:42" s="285" customFormat="1" ht="15" hidden="1" outlineLevel="1">
      <c r="A63" s="509"/>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hidden="1" outlineLevel="1">
      <c r="A64" s="509"/>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hidden="1" outlineLevel="1">
      <c r="A65" s="509">
        <v>15</v>
      </c>
      <c r="B65" s="316" t="s">
        <v>488</v>
      </c>
      <c r="C65" s="293" t="s">
        <v>25</v>
      </c>
      <c r="D65" s="297" t="s">
        <v>708</v>
      </c>
      <c r="E65" s="297" t="s">
        <v>708</v>
      </c>
      <c r="F65" s="297" t="s">
        <v>708</v>
      </c>
      <c r="G65" s="297" t="s">
        <v>708</v>
      </c>
      <c r="H65" s="297" t="s">
        <v>708</v>
      </c>
      <c r="I65" s="297" t="s">
        <v>708</v>
      </c>
      <c r="J65" s="297" t="s">
        <v>708</v>
      </c>
      <c r="K65" s="297" t="s">
        <v>708</v>
      </c>
      <c r="L65" s="297" t="s">
        <v>708</v>
      </c>
      <c r="M65" s="297" t="s">
        <v>708</v>
      </c>
      <c r="N65" s="293"/>
      <c r="O65" s="297" t="s">
        <v>708</v>
      </c>
      <c r="P65" s="297" t="s">
        <v>708</v>
      </c>
      <c r="Q65" s="297" t="s">
        <v>708</v>
      </c>
      <c r="R65" s="297" t="s">
        <v>708</v>
      </c>
      <c r="S65" s="297" t="s">
        <v>708</v>
      </c>
      <c r="T65" s="297" t="s">
        <v>708</v>
      </c>
      <c r="U65" s="297" t="s">
        <v>708</v>
      </c>
      <c r="V65" s="297" t="s">
        <v>708</v>
      </c>
      <c r="W65" s="297" t="s">
        <v>708</v>
      </c>
      <c r="X65" s="297" t="s">
        <v>708</v>
      </c>
      <c r="Y65" s="417"/>
      <c r="Z65" s="417"/>
      <c r="AA65" s="417"/>
      <c r="AB65" s="417"/>
      <c r="AC65" s="417"/>
      <c r="AD65" s="417"/>
      <c r="AE65" s="417"/>
      <c r="AF65" s="417"/>
      <c r="AG65" s="417"/>
      <c r="AH65" s="417"/>
      <c r="AI65" s="417"/>
      <c r="AJ65" s="417"/>
      <c r="AK65" s="417"/>
      <c r="AL65" s="417"/>
      <c r="AM65" s="298">
        <f>SUM(Y65:AL65)</f>
        <v>0</v>
      </c>
    </row>
    <row r="66" spans="1:39" s="285" customFormat="1" ht="15" hidden="1" outlineLevel="1">
      <c r="A66" s="509"/>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hidden="1" outlineLevel="1">
      <c r="A67" s="509"/>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hidden="1" outlineLevel="1">
      <c r="A68" s="509">
        <v>16</v>
      </c>
      <c r="B68" s="316" t="s">
        <v>489</v>
      </c>
      <c r="C68" s="293" t="s">
        <v>25</v>
      </c>
      <c r="D68" s="297" t="s">
        <v>708</v>
      </c>
      <c r="E68" s="297" t="s">
        <v>708</v>
      </c>
      <c r="F68" s="297" t="s">
        <v>708</v>
      </c>
      <c r="G68" s="297" t="s">
        <v>708</v>
      </c>
      <c r="H68" s="297" t="s">
        <v>708</v>
      </c>
      <c r="I68" s="297" t="s">
        <v>708</v>
      </c>
      <c r="J68" s="297" t="s">
        <v>708</v>
      </c>
      <c r="K68" s="297" t="s">
        <v>708</v>
      </c>
      <c r="L68" s="297" t="s">
        <v>708</v>
      </c>
      <c r="M68" s="297" t="s">
        <v>708</v>
      </c>
      <c r="N68" s="293"/>
      <c r="O68" s="297" t="s">
        <v>708</v>
      </c>
      <c r="P68" s="297" t="s">
        <v>708</v>
      </c>
      <c r="Q68" s="297" t="s">
        <v>708</v>
      </c>
      <c r="R68" s="297" t="s">
        <v>708</v>
      </c>
      <c r="S68" s="297" t="s">
        <v>708</v>
      </c>
      <c r="T68" s="297" t="s">
        <v>708</v>
      </c>
      <c r="U68" s="297" t="s">
        <v>708</v>
      </c>
      <c r="V68" s="297" t="s">
        <v>708</v>
      </c>
      <c r="W68" s="297" t="s">
        <v>708</v>
      </c>
      <c r="X68" s="297" t="s">
        <v>708</v>
      </c>
      <c r="Y68" s="417"/>
      <c r="Z68" s="417"/>
      <c r="AA68" s="417"/>
      <c r="AB68" s="417"/>
      <c r="AC68" s="417"/>
      <c r="AD68" s="417"/>
      <c r="AE68" s="417"/>
      <c r="AF68" s="417"/>
      <c r="AG68" s="417"/>
      <c r="AH68" s="417"/>
      <c r="AI68" s="417"/>
      <c r="AJ68" s="417"/>
      <c r="AK68" s="417"/>
      <c r="AL68" s="417"/>
      <c r="AM68" s="298">
        <f>SUM(Y68:AL68)</f>
        <v>0</v>
      </c>
    </row>
    <row r="69" spans="1:39" s="285" customFormat="1" ht="15" hidden="1" outlineLevel="1">
      <c r="A69" s="509"/>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hidden="1" outlineLevel="1">
      <c r="A70" s="509"/>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hidden="1" outlineLevel="1">
      <c r="A71" s="509">
        <v>17</v>
      </c>
      <c r="B71" s="316" t="s">
        <v>9</v>
      </c>
      <c r="C71" s="293" t="s">
        <v>25</v>
      </c>
      <c r="D71" s="297">
        <v>1451.0339999999999</v>
      </c>
      <c r="E71" s="297">
        <v>0</v>
      </c>
      <c r="F71" s="297">
        <v>0</v>
      </c>
      <c r="G71" s="297">
        <v>0</v>
      </c>
      <c r="H71" s="297">
        <v>0</v>
      </c>
      <c r="I71" s="297">
        <v>0</v>
      </c>
      <c r="J71" s="297">
        <v>0</v>
      </c>
      <c r="K71" s="297">
        <v>0</v>
      </c>
      <c r="L71" s="297">
        <v>0</v>
      </c>
      <c r="M71" s="297">
        <v>0</v>
      </c>
      <c r="N71" s="293"/>
      <c r="O71" s="297">
        <v>37.164999999999999</v>
      </c>
      <c r="P71" s="297">
        <v>0</v>
      </c>
      <c r="Q71" s="297">
        <v>0</v>
      </c>
      <c r="R71" s="297">
        <v>0</v>
      </c>
      <c r="S71" s="297">
        <v>0</v>
      </c>
      <c r="T71" s="297">
        <v>0</v>
      </c>
      <c r="U71" s="297">
        <v>0</v>
      </c>
      <c r="V71" s="297">
        <v>0</v>
      </c>
      <c r="W71" s="297">
        <v>0</v>
      </c>
      <c r="X71" s="297">
        <v>0</v>
      </c>
      <c r="Y71" s="417">
        <v>0</v>
      </c>
      <c r="Z71" s="417">
        <v>0</v>
      </c>
      <c r="AA71" s="417">
        <v>1</v>
      </c>
      <c r="AB71" s="417"/>
      <c r="AC71" s="417"/>
      <c r="AD71" s="417"/>
      <c r="AE71" s="417"/>
      <c r="AF71" s="417"/>
      <c r="AG71" s="417"/>
      <c r="AH71" s="417"/>
      <c r="AI71" s="417"/>
      <c r="AJ71" s="417"/>
      <c r="AK71" s="417"/>
      <c r="AL71" s="417"/>
      <c r="AM71" s="298">
        <f>SUM(Y71:AL71)</f>
        <v>1</v>
      </c>
    </row>
    <row r="72" spans="1:39" s="285" customFormat="1" ht="15" hidden="1" outlineLevel="1">
      <c r="A72" s="509"/>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1</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hidden="1" outlineLevel="1">
      <c r="A73" s="509"/>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hidden="1" outlineLevel="1">
      <c r="A74" s="510"/>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hidden="1" outlineLevel="1">
      <c r="A75" s="509">
        <v>18</v>
      </c>
      <c r="B75" s="317" t="s">
        <v>11</v>
      </c>
      <c r="C75" s="293" t="s">
        <v>25</v>
      </c>
      <c r="D75" s="297" t="s">
        <v>708</v>
      </c>
      <c r="E75" s="297" t="s">
        <v>708</v>
      </c>
      <c r="F75" s="297" t="s">
        <v>708</v>
      </c>
      <c r="G75" s="297" t="s">
        <v>708</v>
      </c>
      <c r="H75" s="297" t="s">
        <v>708</v>
      </c>
      <c r="I75" s="297" t="s">
        <v>708</v>
      </c>
      <c r="J75" s="297" t="s">
        <v>708</v>
      </c>
      <c r="K75" s="297" t="s">
        <v>708</v>
      </c>
      <c r="L75" s="297" t="s">
        <v>708</v>
      </c>
      <c r="M75" s="297" t="s">
        <v>708</v>
      </c>
      <c r="N75" s="297">
        <v>12</v>
      </c>
      <c r="O75" s="297" t="s">
        <v>708</v>
      </c>
      <c r="P75" s="297" t="s">
        <v>708</v>
      </c>
      <c r="Q75" s="297" t="s">
        <v>708</v>
      </c>
      <c r="R75" s="297" t="s">
        <v>708</v>
      </c>
      <c r="S75" s="297" t="s">
        <v>708</v>
      </c>
      <c r="T75" s="297" t="s">
        <v>708</v>
      </c>
      <c r="U75" s="297" t="s">
        <v>708</v>
      </c>
      <c r="V75" s="297" t="s">
        <v>708</v>
      </c>
      <c r="W75" s="297" t="s">
        <v>708</v>
      </c>
      <c r="X75" s="297" t="s">
        <v>708</v>
      </c>
      <c r="Y75" s="417"/>
      <c r="Z75" s="417"/>
      <c r="AA75" s="417"/>
      <c r="AB75" s="417"/>
      <c r="AC75" s="417"/>
      <c r="AD75" s="417"/>
      <c r="AE75" s="417"/>
      <c r="AF75" s="417"/>
      <c r="AG75" s="417"/>
      <c r="AH75" s="417"/>
      <c r="AI75" s="417"/>
      <c r="AJ75" s="417"/>
      <c r="AK75" s="417"/>
      <c r="AL75" s="417"/>
      <c r="AM75" s="298">
        <f>SUM(Y75:AL75)</f>
        <v>0</v>
      </c>
    </row>
    <row r="76" spans="1:39" s="285" customFormat="1" ht="15" hidden="1" outlineLevel="1">
      <c r="A76" s="509"/>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hidden="1" outlineLevel="1">
      <c r="A77" s="512"/>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hidden="1" outlineLevel="1">
      <c r="A78" s="509">
        <v>19</v>
      </c>
      <c r="B78" s="317" t="s">
        <v>12</v>
      </c>
      <c r="C78" s="293" t="s">
        <v>25</v>
      </c>
      <c r="D78" s="297" t="s">
        <v>708</v>
      </c>
      <c r="E78" s="297" t="s">
        <v>708</v>
      </c>
      <c r="F78" s="297" t="s">
        <v>708</v>
      </c>
      <c r="G78" s="297" t="s">
        <v>708</v>
      </c>
      <c r="H78" s="297" t="s">
        <v>708</v>
      </c>
      <c r="I78" s="297" t="s">
        <v>708</v>
      </c>
      <c r="J78" s="297" t="s">
        <v>708</v>
      </c>
      <c r="K78" s="297" t="s">
        <v>708</v>
      </c>
      <c r="L78" s="297" t="s">
        <v>708</v>
      </c>
      <c r="M78" s="297" t="s">
        <v>708</v>
      </c>
      <c r="N78" s="297">
        <v>12</v>
      </c>
      <c r="O78" s="297" t="s">
        <v>708</v>
      </c>
      <c r="P78" s="297" t="s">
        <v>708</v>
      </c>
      <c r="Q78" s="297" t="s">
        <v>708</v>
      </c>
      <c r="R78" s="297" t="s">
        <v>708</v>
      </c>
      <c r="S78" s="297" t="s">
        <v>708</v>
      </c>
      <c r="T78" s="297" t="s">
        <v>708</v>
      </c>
      <c r="U78" s="297" t="s">
        <v>708</v>
      </c>
      <c r="V78" s="297" t="s">
        <v>708</v>
      </c>
      <c r="W78" s="297" t="s">
        <v>708</v>
      </c>
      <c r="X78" s="297" t="s">
        <v>708</v>
      </c>
      <c r="Y78" s="412"/>
      <c r="Z78" s="417"/>
      <c r="AA78" s="417"/>
      <c r="AB78" s="417"/>
      <c r="AC78" s="417"/>
      <c r="AD78" s="417"/>
      <c r="AE78" s="417"/>
      <c r="AF78" s="417"/>
      <c r="AG78" s="417"/>
      <c r="AH78" s="417"/>
      <c r="AI78" s="417"/>
      <c r="AJ78" s="417"/>
      <c r="AK78" s="417"/>
      <c r="AL78" s="417"/>
      <c r="AM78" s="298">
        <f>SUM(Y78:AL78)</f>
        <v>0</v>
      </c>
    </row>
    <row r="79" spans="1:39" s="285" customFormat="1" ht="15" hidden="1" outlineLevel="1">
      <c r="A79" s="509"/>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hidden="1" outlineLevel="1">
      <c r="A80" s="509"/>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hidden="1" outlineLevel="1">
      <c r="A81" s="509">
        <v>20</v>
      </c>
      <c r="B81" s="317" t="s">
        <v>13</v>
      </c>
      <c r="C81" s="293" t="s">
        <v>25</v>
      </c>
      <c r="D81" s="297" t="s">
        <v>708</v>
      </c>
      <c r="E81" s="297" t="s">
        <v>708</v>
      </c>
      <c r="F81" s="297" t="s">
        <v>708</v>
      </c>
      <c r="G81" s="297" t="s">
        <v>708</v>
      </c>
      <c r="H81" s="297" t="s">
        <v>708</v>
      </c>
      <c r="I81" s="297" t="s">
        <v>708</v>
      </c>
      <c r="J81" s="297" t="s">
        <v>708</v>
      </c>
      <c r="K81" s="297" t="s">
        <v>708</v>
      </c>
      <c r="L81" s="297" t="s">
        <v>708</v>
      </c>
      <c r="M81" s="297" t="s">
        <v>708</v>
      </c>
      <c r="N81" s="297">
        <v>12</v>
      </c>
      <c r="O81" s="297" t="s">
        <v>708</v>
      </c>
      <c r="P81" s="297" t="s">
        <v>708</v>
      </c>
      <c r="Q81" s="297" t="s">
        <v>708</v>
      </c>
      <c r="R81" s="297" t="s">
        <v>708</v>
      </c>
      <c r="S81" s="297" t="s">
        <v>708</v>
      </c>
      <c r="T81" s="297" t="s">
        <v>708</v>
      </c>
      <c r="U81" s="297" t="s">
        <v>708</v>
      </c>
      <c r="V81" s="297" t="s">
        <v>708</v>
      </c>
      <c r="W81" s="297" t="s">
        <v>708</v>
      </c>
      <c r="X81" s="297" t="s">
        <v>708</v>
      </c>
      <c r="Y81" s="412"/>
      <c r="Z81" s="417"/>
      <c r="AA81" s="417"/>
      <c r="AB81" s="417"/>
      <c r="AC81" s="417"/>
      <c r="AD81" s="417"/>
      <c r="AE81" s="417"/>
      <c r="AF81" s="417"/>
      <c r="AG81" s="417"/>
      <c r="AH81" s="417"/>
      <c r="AI81" s="417"/>
      <c r="AJ81" s="417"/>
      <c r="AK81" s="417"/>
      <c r="AL81" s="417"/>
      <c r="AM81" s="298">
        <f>SUM(Y81:AL81)</f>
        <v>0</v>
      </c>
    </row>
    <row r="82" spans="1:39" s="285" customFormat="1" ht="15" hidden="1" outlineLevel="1">
      <c r="A82" s="509"/>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hidden="1" outlineLevel="1">
      <c r="A83" s="509"/>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hidden="1" outlineLevel="1">
      <c r="A84" s="509">
        <v>21</v>
      </c>
      <c r="B84" s="317" t="s">
        <v>22</v>
      </c>
      <c r="C84" s="293" t="s">
        <v>25</v>
      </c>
      <c r="D84" s="297">
        <v>20486.999999999949</v>
      </c>
      <c r="E84" s="297">
        <v>20486.999999999949</v>
      </c>
      <c r="F84" s="297">
        <v>20486.999999999949</v>
      </c>
      <c r="G84" s="297">
        <v>20486.999999999949</v>
      </c>
      <c r="H84" s="297">
        <v>20486.999999999949</v>
      </c>
      <c r="I84" s="297">
        <v>20486.999999999949</v>
      </c>
      <c r="J84" s="297">
        <v>20486.999999999949</v>
      </c>
      <c r="K84" s="297">
        <v>20486.999999999949</v>
      </c>
      <c r="L84" s="297">
        <v>20486.999999999949</v>
      </c>
      <c r="M84" s="297">
        <v>20486.999999999949</v>
      </c>
      <c r="N84" s="297">
        <v>12</v>
      </c>
      <c r="O84" s="297">
        <v>3</v>
      </c>
      <c r="P84" s="297">
        <v>3</v>
      </c>
      <c r="Q84" s="297">
        <v>3</v>
      </c>
      <c r="R84" s="297">
        <v>3</v>
      </c>
      <c r="S84" s="297">
        <v>3</v>
      </c>
      <c r="T84" s="297">
        <v>3</v>
      </c>
      <c r="U84" s="297">
        <v>3</v>
      </c>
      <c r="V84" s="297">
        <v>3</v>
      </c>
      <c r="W84" s="297">
        <v>3</v>
      </c>
      <c r="X84" s="297">
        <v>3</v>
      </c>
      <c r="Y84" s="417">
        <v>0</v>
      </c>
      <c r="Z84" s="417">
        <v>1</v>
      </c>
      <c r="AA84" s="417">
        <v>0</v>
      </c>
      <c r="AB84" s="417"/>
      <c r="AC84" s="417"/>
      <c r="AD84" s="417"/>
      <c r="AE84" s="417"/>
      <c r="AF84" s="417"/>
      <c r="AG84" s="417"/>
      <c r="AH84" s="417"/>
      <c r="AI84" s="417"/>
      <c r="AJ84" s="417"/>
      <c r="AK84" s="417"/>
      <c r="AL84" s="417"/>
      <c r="AM84" s="298">
        <f>SUM(Y84:AL84)</f>
        <v>1</v>
      </c>
    </row>
    <row r="85" spans="1:39" s="285" customFormat="1" ht="15" hidden="1" outlineLevel="1">
      <c r="A85" s="509"/>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1</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hidden="1" outlineLevel="1">
      <c r="A86" s="509"/>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hidden="1" outlineLevel="1">
      <c r="A87" s="509">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hidden="1" outlineLevel="1">
      <c r="A88" s="509"/>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hidden="1" outlineLevel="1">
      <c r="A89" s="509"/>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hidden="1" outlineLevel="1">
      <c r="A90" s="510"/>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hidden="1" outlineLevel="1">
      <c r="A91" s="509">
        <v>23</v>
      </c>
      <c r="B91" s="317" t="s">
        <v>14</v>
      </c>
      <c r="C91" s="293" t="s">
        <v>25</v>
      </c>
      <c r="D91" s="297" t="s">
        <v>708</v>
      </c>
      <c r="E91" s="297" t="s">
        <v>708</v>
      </c>
      <c r="F91" s="297" t="s">
        <v>708</v>
      </c>
      <c r="G91" s="297" t="s">
        <v>708</v>
      </c>
      <c r="H91" s="297" t="s">
        <v>708</v>
      </c>
      <c r="I91" s="297" t="s">
        <v>708</v>
      </c>
      <c r="J91" s="297" t="s">
        <v>708</v>
      </c>
      <c r="K91" s="297" t="s">
        <v>708</v>
      </c>
      <c r="L91" s="297" t="s">
        <v>708</v>
      </c>
      <c r="M91" s="297" t="s">
        <v>708</v>
      </c>
      <c r="N91" s="293"/>
      <c r="O91" s="297" t="s">
        <v>708</v>
      </c>
      <c r="P91" s="297" t="s">
        <v>708</v>
      </c>
      <c r="Q91" s="297" t="s">
        <v>708</v>
      </c>
      <c r="R91" s="297" t="s">
        <v>708</v>
      </c>
      <c r="S91" s="297" t="s">
        <v>708</v>
      </c>
      <c r="T91" s="297" t="s">
        <v>708</v>
      </c>
      <c r="U91" s="297" t="s">
        <v>708</v>
      </c>
      <c r="V91" s="297" t="s">
        <v>708</v>
      </c>
      <c r="W91" s="297" t="s">
        <v>708</v>
      </c>
      <c r="X91" s="297" t="s">
        <v>708</v>
      </c>
      <c r="Y91" s="412"/>
      <c r="Z91" s="412"/>
      <c r="AA91" s="412"/>
      <c r="AB91" s="412"/>
      <c r="AC91" s="412"/>
      <c r="AD91" s="412"/>
      <c r="AE91" s="412"/>
      <c r="AF91" s="412"/>
      <c r="AG91" s="412"/>
      <c r="AH91" s="412"/>
      <c r="AI91" s="412"/>
      <c r="AJ91" s="412"/>
      <c r="AK91" s="412"/>
      <c r="AL91" s="412"/>
      <c r="AM91" s="298">
        <f>SUM(Y91:AL91)</f>
        <v>0</v>
      </c>
    </row>
    <row r="92" spans="1:39" s="285" customFormat="1" ht="15" hidden="1" outlineLevel="1">
      <c r="A92" s="509"/>
      <c r="B92" s="317" t="s">
        <v>215</v>
      </c>
      <c r="C92" s="293" t="s">
        <v>164</v>
      </c>
      <c r="D92" s="297"/>
      <c r="E92" s="297"/>
      <c r="F92" s="297"/>
      <c r="G92" s="297"/>
      <c r="H92" s="297"/>
      <c r="I92" s="297"/>
      <c r="J92" s="297"/>
      <c r="K92" s="297"/>
      <c r="L92" s="297"/>
      <c r="M92" s="297"/>
      <c r="N92" s="469"/>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hidden="1" outlineLevel="1">
      <c r="A93" s="509"/>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hidden="1" outlineLevel="1">
      <c r="A94" s="510"/>
      <c r="B94" s="290" t="s">
        <v>490</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hidden="1" outlineLevel="1">
      <c r="A95" s="509">
        <v>24</v>
      </c>
      <c r="B95" s="317" t="s">
        <v>14</v>
      </c>
      <c r="C95" s="293" t="s">
        <v>25</v>
      </c>
      <c r="D95" s="297"/>
      <c r="E95" s="297"/>
      <c r="F95" s="297"/>
      <c r="G95" s="297"/>
      <c r="H95" s="297"/>
      <c r="I95" s="297"/>
      <c r="J95" s="297"/>
      <c r="K95" s="297"/>
      <c r="L95" s="297"/>
      <c r="M95" s="297"/>
      <c r="N95" s="293"/>
      <c r="O95" s="297" t="s">
        <v>708</v>
      </c>
      <c r="P95" s="297" t="s">
        <v>708</v>
      </c>
      <c r="Q95" s="297" t="s">
        <v>708</v>
      </c>
      <c r="R95" s="297" t="s">
        <v>708</v>
      </c>
      <c r="S95" s="297" t="s">
        <v>708</v>
      </c>
      <c r="T95" s="297" t="s">
        <v>708</v>
      </c>
      <c r="U95" s="297" t="s">
        <v>708</v>
      </c>
      <c r="V95" s="297" t="s">
        <v>708</v>
      </c>
      <c r="W95" s="297" t="s">
        <v>708</v>
      </c>
      <c r="X95" s="297" t="s">
        <v>708</v>
      </c>
      <c r="Y95" s="412"/>
      <c r="Z95" s="412"/>
      <c r="AA95" s="412"/>
      <c r="AB95" s="412"/>
      <c r="AC95" s="412"/>
      <c r="AD95" s="412"/>
      <c r="AE95" s="412"/>
      <c r="AF95" s="412"/>
      <c r="AG95" s="412"/>
      <c r="AH95" s="412"/>
      <c r="AI95" s="412"/>
      <c r="AJ95" s="412"/>
      <c r="AK95" s="412"/>
      <c r="AL95" s="412"/>
      <c r="AM95" s="298">
        <f>SUM(Y95:AL95)</f>
        <v>0</v>
      </c>
    </row>
    <row r="96" spans="1:39" s="285" customFormat="1" ht="15" hidden="1" outlineLevel="1">
      <c r="A96" s="509"/>
      <c r="B96" s="317" t="s">
        <v>215</v>
      </c>
      <c r="C96" s="293" t="s">
        <v>164</v>
      </c>
      <c r="D96" s="297"/>
      <c r="E96" s="297"/>
      <c r="F96" s="297"/>
      <c r="G96" s="297"/>
      <c r="H96" s="297"/>
      <c r="I96" s="297"/>
      <c r="J96" s="297"/>
      <c r="K96" s="297"/>
      <c r="L96" s="297"/>
      <c r="M96" s="297"/>
      <c r="N96" s="469"/>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hidden="1" outlineLevel="1">
      <c r="A97" s="509"/>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hidden="1" outlineLevel="1">
      <c r="A98" s="509">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hidden="1" outlineLevel="1">
      <c r="A99" s="509"/>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hidden="1" outlineLevel="1">
      <c r="A100" s="509"/>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hidden="1" outlineLevel="1">
      <c r="A101" s="510"/>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hidden="1" outlineLevel="1">
      <c r="A102" s="509">
        <v>26</v>
      </c>
      <c r="B102" s="323" t="s">
        <v>16</v>
      </c>
      <c r="C102" s="293" t="s">
        <v>25</v>
      </c>
      <c r="D102" s="297">
        <v>15806.949478319999</v>
      </c>
      <c r="E102" s="297">
        <v>15806.949478319999</v>
      </c>
      <c r="F102" s="297">
        <v>15806.949478319999</v>
      </c>
      <c r="G102" s="297">
        <v>15806.949478319999</v>
      </c>
      <c r="H102" s="297">
        <v>15806.949478319999</v>
      </c>
      <c r="I102" s="297">
        <v>15806.949478319999</v>
      </c>
      <c r="J102" s="297">
        <v>15806.949478319999</v>
      </c>
      <c r="K102" s="297">
        <v>15806.949478319999</v>
      </c>
      <c r="L102" s="297">
        <v>15806.949478319999</v>
      </c>
      <c r="M102" s="297">
        <v>15806.949478319999</v>
      </c>
      <c r="N102" s="297">
        <v>12</v>
      </c>
      <c r="O102" s="297">
        <v>2.7203176000000004</v>
      </c>
      <c r="P102" s="297">
        <v>2.7203176000000004</v>
      </c>
      <c r="Q102" s="297">
        <v>2.7203176000000004</v>
      </c>
      <c r="R102" s="297">
        <v>2.7203176000000004</v>
      </c>
      <c r="S102" s="297">
        <v>2.7203176000000004</v>
      </c>
      <c r="T102" s="297">
        <v>2.7203176000000004</v>
      </c>
      <c r="U102" s="297">
        <v>2.7203176000000004</v>
      </c>
      <c r="V102" s="297">
        <v>2.7203176000000004</v>
      </c>
      <c r="W102" s="297">
        <v>2.7203176000000004</v>
      </c>
      <c r="X102" s="297">
        <v>2.7203176000000004</v>
      </c>
      <c r="Y102" s="417">
        <v>0</v>
      </c>
      <c r="Z102" s="417">
        <v>1</v>
      </c>
      <c r="AA102" s="417">
        <v>0</v>
      </c>
      <c r="AB102" s="412"/>
      <c r="AC102" s="412"/>
      <c r="AD102" s="412"/>
      <c r="AE102" s="417"/>
      <c r="AF102" s="417"/>
      <c r="AG102" s="417"/>
      <c r="AH102" s="417"/>
      <c r="AI102" s="417"/>
      <c r="AJ102" s="417"/>
      <c r="AK102" s="417"/>
      <c r="AL102" s="417"/>
      <c r="AM102" s="298">
        <f>SUM(Y102:AL102)</f>
        <v>1</v>
      </c>
    </row>
    <row r="103" spans="1:39" s="285" customFormat="1" ht="15" hidden="1" outlineLevel="1">
      <c r="A103" s="509"/>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1</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hidden="1" outlineLevel="1">
      <c r="A104" s="512"/>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hidden="1" outlineLevel="1">
      <c r="A105" s="509">
        <v>27</v>
      </c>
      <c r="B105" s="323" t="s">
        <v>17</v>
      </c>
      <c r="C105" s="293" t="s">
        <v>25</v>
      </c>
      <c r="D105" s="297">
        <v>157827.75200000001</v>
      </c>
      <c r="E105" s="297">
        <v>157827.75200000001</v>
      </c>
      <c r="F105" s="297">
        <v>157827.75200000001</v>
      </c>
      <c r="G105" s="297">
        <v>157827.75200000001</v>
      </c>
      <c r="H105" s="297">
        <v>157827.75200000001</v>
      </c>
      <c r="I105" s="297">
        <v>157827.75200000001</v>
      </c>
      <c r="J105" s="297">
        <v>157827.75200000001</v>
      </c>
      <c r="K105" s="297">
        <v>157827.75200000001</v>
      </c>
      <c r="L105" s="297">
        <v>157827.75200000001</v>
      </c>
      <c r="M105" s="297">
        <v>157827.75200000001</v>
      </c>
      <c r="N105" s="297">
        <v>12</v>
      </c>
      <c r="O105" s="297">
        <v>43.656999999999996</v>
      </c>
      <c r="P105" s="297">
        <v>43.656999999999996</v>
      </c>
      <c r="Q105" s="297">
        <v>43.656999999999996</v>
      </c>
      <c r="R105" s="297">
        <v>43.656999999999996</v>
      </c>
      <c r="S105" s="297">
        <v>43.657000000000004</v>
      </c>
      <c r="T105" s="297">
        <v>43.657000000000004</v>
      </c>
      <c r="U105" s="297">
        <v>43.657000000000004</v>
      </c>
      <c r="V105" s="297">
        <v>43.657000000000004</v>
      </c>
      <c r="W105" s="297">
        <v>43.657000000000004</v>
      </c>
      <c r="X105" s="297">
        <v>43.657000000000004</v>
      </c>
      <c r="Y105" s="417">
        <v>0</v>
      </c>
      <c r="Z105" s="417">
        <v>0</v>
      </c>
      <c r="AA105" s="417">
        <v>1</v>
      </c>
      <c r="AB105" s="412"/>
      <c r="AC105" s="412"/>
      <c r="AD105" s="412"/>
      <c r="AE105" s="417"/>
      <c r="AF105" s="417"/>
      <c r="AG105" s="417"/>
      <c r="AH105" s="417"/>
      <c r="AI105" s="417"/>
      <c r="AJ105" s="417"/>
      <c r="AK105" s="417"/>
      <c r="AL105" s="417"/>
      <c r="AM105" s="298">
        <f>SUM(Y105:AL105)</f>
        <v>1</v>
      </c>
    </row>
    <row r="106" spans="1:39" s="285" customFormat="1" ht="15" hidden="1" outlineLevel="1">
      <c r="A106" s="509"/>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hidden="1" outlineLevel="1">
      <c r="A107" s="512"/>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hidden="1" outlineLevel="1">
      <c r="A108" s="509">
        <v>28</v>
      </c>
      <c r="B108" s="323" t="s">
        <v>18</v>
      </c>
      <c r="C108" s="293" t="s">
        <v>25</v>
      </c>
      <c r="D108" s="297"/>
      <c r="E108" s="297"/>
      <c r="F108" s="297"/>
      <c r="G108" s="297"/>
      <c r="H108" s="297"/>
      <c r="I108" s="297"/>
      <c r="J108" s="297"/>
      <c r="K108" s="297"/>
      <c r="L108" s="297"/>
      <c r="M108" s="297"/>
      <c r="N108" s="297">
        <v>0</v>
      </c>
      <c r="O108" s="297" t="s">
        <v>708</v>
      </c>
      <c r="P108" s="297" t="s">
        <v>708</v>
      </c>
      <c r="Q108" s="297" t="s">
        <v>708</v>
      </c>
      <c r="R108" s="297" t="s">
        <v>708</v>
      </c>
      <c r="S108" s="297" t="s">
        <v>708</v>
      </c>
      <c r="T108" s="297" t="s">
        <v>708</v>
      </c>
      <c r="U108" s="297" t="s">
        <v>708</v>
      </c>
      <c r="V108" s="297" t="s">
        <v>708</v>
      </c>
      <c r="W108" s="297" t="s">
        <v>708</v>
      </c>
      <c r="X108" s="297" t="s">
        <v>708</v>
      </c>
      <c r="Y108" s="412"/>
      <c r="Z108" s="412"/>
      <c r="AA108" s="412"/>
      <c r="AB108" s="412"/>
      <c r="AC108" s="412"/>
      <c r="AD108" s="412"/>
      <c r="AE108" s="417"/>
      <c r="AF108" s="417"/>
      <c r="AG108" s="417"/>
      <c r="AH108" s="417"/>
      <c r="AI108" s="417"/>
      <c r="AJ108" s="417"/>
      <c r="AK108" s="417"/>
      <c r="AL108" s="417"/>
      <c r="AM108" s="298">
        <f>SUM(Y108:AL108)</f>
        <v>0</v>
      </c>
    </row>
    <row r="109" spans="1:39" s="285" customFormat="1" ht="15" hidden="1" outlineLevel="1">
      <c r="A109" s="509"/>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hidden="1" outlineLevel="1">
      <c r="A110" s="512"/>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hidden="1" outlineLevel="1">
      <c r="A111" s="509">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hidden="1" outlineLevel="1">
      <c r="A112" s="509"/>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5"/>
    </row>
    <row r="113" spans="1:39" s="285" customFormat="1" ht="15" hidden="1" outlineLevel="1">
      <c r="A113" s="509"/>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hidden="1" outlineLevel="1">
      <c r="A114" s="509">
        <v>30</v>
      </c>
      <c r="B114" s="326" t="s">
        <v>491</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hidden="1" outlineLevel="1">
      <c r="A115" s="509"/>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5"/>
    </row>
    <row r="116" spans="1:39" s="285" customFormat="1" ht="15" hidden="1" outlineLevel="1">
      <c r="A116" s="509"/>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hidden="1" outlineLevel="1">
      <c r="A117" s="509"/>
      <c r="B117" s="290" t="s">
        <v>492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hidden="1" outlineLevel="1">
      <c r="A118" s="509">
        <v>31</v>
      </c>
      <c r="B118" s="326" t="s">
        <v>493</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hidden="1" outlineLevel="1">
      <c r="A119" s="509"/>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5"/>
    </row>
    <row r="120" spans="1:39" s="285" customFormat="1" ht="15" hidden="1" outlineLevel="1">
      <c r="A120" s="509"/>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hidden="1" outlineLevel="1">
      <c r="A121" s="509">
        <v>32</v>
      </c>
      <c r="B121" s="326" t="s">
        <v>494</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hidden="1" outlineLevel="1">
      <c r="A122" s="509"/>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5"/>
    </row>
    <row r="123" spans="1:39" s="285" customFormat="1" ht="15" hidden="1" outlineLevel="1">
      <c r="A123" s="509"/>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hidden="1" outlineLevel="1">
      <c r="A124" s="509">
        <v>33</v>
      </c>
      <c r="B124" s="326" t="s">
        <v>495</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hidden="1" outlineLevel="1">
      <c r="A125" s="509"/>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5"/>
    </row>
    <row r="126" spans="1:39" s="285" customFormat="1" ht="15" hidden="1" outlineLevel="1">
      <c r="A126" s="509"/>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ollapsed="1">
      <c r="A127" s="509"/>
      <c r="B127" s="329" t="s">
        <v>238</v>
      </c>
      <c r="C127" s="330"/>
      <c r="D127" s="330">
        <f>SUM(D22:D125)</f>
        <v>733545.77481516427</v>
      </c>
      <c r="E127" s="330"/>
      <c r="F127" s="330"/>
      <c r="G127" s="330"/>
      <c r="H127" s="330"/>
      <c r="I127" s="330"/>
      <c r="J127" s="330"/>
      <c r="K127" s="330"/>
      <c r="L127" s="330"/>
      <c r="M127" s="330"/>
      <c r="N127" s="330"/>
      <c r="O127" s="330">
        <f>SUM(O22:O125)</f>
        <v>211.73898821476956</v>
      </c>
      <c r="P127" s="330"/>
      <c r="Q127" s="330"/>
      <c r="R127" s="330"/>
      <c r="S127" s="330"/>
      <c r="T127" s="330"/>
      <c r="U127" s="330"/>
      <c r="V127" s="330"/>
      <c r="W127" s="330"/>
      <c r="X127" s="330"/>
      <c r="Y127" s="331">
        <f>IF(Y21="kWh",SUMPRODUCT(D22:D125,Y22:Y125))</f>
        <v>259799.64222938719</v>
      </c>
      <c r="Z127" s="331">
        <f>IF(Z21="kWh",SUMPRODUCT(D22:D125,Z22:Z125))</f>
        <v>314467.34658577718</v>
      </c>
      <c r="AA127" s="331">
        <f>IF(AA21="kW",SUMPRODUCT(N22:N125,O22:O125,AA22:AA125),SUMPRODUCT(D22:D125,AA22:AA125))</f>
        <v>523.88400000000001</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09"/>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1"/>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08"/>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1.7100000000000001E-2</v>
      </c>
      <c r="Z130" s="343">
        <f>HLOOKUP(Z$20,'3.  Distribution Rates'!$C$122:$P$133,3,FALSE)</f>
        <v>1.11E-2</v>
      </c>
      <c r="AA130" s="343">
        <f>HLOOKUP(AA$20,'3.  Distribution Rates'!$C$122:$P$133,3,FALSE)</f>
        <v>2.504</v>
      </c>
      <c r="AB130" s="343">
        <f>HLOOKUP(AB$20,'3.  Distribution Rates'!$C$122:$P$133,3,FALSE)</f>
        <v>12.955299999999999</v>
      </c>
      <c r="AC130" s="343">
        <f>HLOOKUP(AC$20,'3.  Distribution Rates'!$C$122:$P$133,3,FALSE)</f>
        <v>1.5699999999999999E-2</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1"/>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4442.5738821225214</v>
      </c>
      <c r="Z131" s="348">
        <f t="shared" si="33"/>
        <v>3490.5875471021268</v>
      </c>
      <c r="AA131" s="349">
        <f t="shared" si="33"/>
        <v>1311.8055360000001</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9244.9669652246484</v>
      </c>
    </row>
    <row r="132" spans="1:40" s="305" customFormat="1" ht="15.75">
      <c r="A132" s="511"/>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3"/>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9244.9669652246484</v>
      </c>
    </row>
    <row r="134" spans="1:40" s="356" customFormat="1" ht="19.5" customHeight="1">
      <c r="A134" s="508"/>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09"/>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259799.64222938719</v>
      </c>
      <c r="Z135" s="293">
        <f>SUMPRODUCT(E22:E125,Z22:Z125)</f>
        <v>314467.34658577718</v>
      </c>
      <c r="AA135" s="293">
        <f>IF(AA21="kW",SUMPRODUCT(N22:N125,P22:P125,AA22:AA125),SUMPRODUCT(E22:E125,AA22:AA125))</f>
        <v>523.88400000000001</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09"/>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259799.64222938719</v>
      </c>
      <c r="Z136" s="293">
        <f>SUMPRODUCT(F22:F125,Z22:Z125)</f>
        <v>314467.34658577718</v>
      </c>
      <c r="AA136" s="293">
        <f>IF(AA21="kW",SUMPRODUCT(N22:N125,Q22:Q125,AA22:AA125),SUMPRODUCT(F22:F125,AA22:AA125))</f>
        <v>523.88400000000001</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09"/>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259047.06954763783</v>
      </c>
      <c r="Z137" s="293">
        <f>SUMPRODUCT(G22:G125,Z22:Z125)</f>
        <v>232533.99425057077</v>
      </c>
      <c r="AA137" s="293">
        <f>IF(AA21="kW",SUMPRODUCT(N22:N125,R22:R125,AA22:AA125),SUMPRODUCT(G22:G125,AA22:AA125))</f>
        <v>523.88400000000001</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09"/>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233359.02916661388</v>
      </c>
      <c r="Z138" s="293">
        <f>SUMPRODUCT(H22:H125,Z22:Z125)</f>
        <v>232533.99425057077</v>
      </c>
      <c r="AA138" s="293">
        <f>IF(AA21="kW",SUMPRODUCT(N22:N125,S22:S125,AA22:AA125),SUMPRODUCT(H22:H125,AA22:AA125))</f>
        <v>523.88400000000001</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09"/>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180633.59399241232</v>
      </c>
      <c r="Z139" s="293">
        <f>SUMPRODUCT(I22:I125,Z22:Z125)</f>
        <v>232533.99425057077</v>
      </c>
      <c r="AA139" s="293">
        <f>IF(AA21="kW",SUMPRODUCT(N22:N125,T22:T125,AA22:AA125),SUMPRODUCT(I22:I125,AA22:AA125))</f>
        <v>523.88400000000001</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09"/>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151047.33180704538</v>
      </c>
      <c r="Z140" s="293">
        <f>SUMPRODUCT(J22:J125,Z22:Z125)</f>
        <v>170234.85429694905</v>
      </c>
      <c r="AA140" s="293">
        <f>IF(AA21="kW",SUMPRODUCT(N22:N125,U22:U125,AA22:AA125),SUMPRODUCT(J22:J125,AA22:AA125))</f>
        <v>523.88400000000001</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09"/>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150632.48085589323</v>
      </c>
      <c r="Z141" s="293">
        <f>SUMPRODUCT(K22:K125,Z22:Z125)</f>
        <v>170234.85429694905</v>
      </c>
      <c r="AA141" s="293">
        <f>IF(AA21="kW",SUMPRODUCT(N22:N125,V22:V125,AA22:AA125),SUMPRODUCT(K22:K125,AA22:AA125))</f>
        <v>523.88400000000001</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09"/>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174742.50645906135</v>
      </c>
      <c r="Z142" s="293">
        <f>SUMPRODUCT(L22:L125,Z22:Z125)</f>
        <v>170234.85429694905</v>
      </c>
      <c r="AA142" s="293">
        <f>IF(AA21="kW",SUMPRODUCT(N22:N125,W22:W125,AA22:AA125),SUMPRODUCT(L22:L125,AA22:AA125))</f>
        <v>523.88400000000001</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99708.393176116675</v>
      </c>
      <c r="Z143" s="328">
        <f>SUMPRODUCT(M22:M125,Z22:Z125)</f>
        <v>170234.85429694905</v>
      </c>
      <c r="AA143" s="328">
        <f>IF(AA21="kW",SUMPRODUCT(N22:N125,X22:X125,AA22:AA125),SUMPRODUCT(M22:M125,AA22:AA125))</f>
        <v>523.88400000000001</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592</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243</v>
      </c>
      <c r="C146" s="283"/>
      <c r="D146" s="590" t="s">
        <v>528</v>
      </c>
      <c r="F146" s="590"/>
      <c r="O146" s="283"/>
      <c r="Y146" s="272"/>
      <c r="Z146" s="269"/>
      <c r="AA146" s="269"/>
      <c r="AB146" s="269"/>
      <c r="AC146" s="269"/>
      <c r="AD146" s="269"/>
      <c r="AE146" s="269"/>
      <c r="AF146" s="269"/>
      <c r="AG146" s="269"/>
      <c r="AH146" s="269"/>
      <c r="AI146" s="269"/>
      <c r="AJ146" s="269"/>
      <c r="AK146" s="269"/>
      <c r="AL146" s="269"/>
      <c r="AM146" s="284"/>
    </row>
    <row r="147" spans="1:39" ht="34.5" customHeight="1">
      <c r="B147" s="870" t="s">
        <v>212</v>
      </c>
      <c r="C147" s="872" t="s">
        <v>33</v>
      </c>
      <c r="D147" s="286" t="s">
        <v>424</v>
      </c>
      <c r="E147" s="874" t="s">
        <v>210</v>
      </c>
      <c r="F147" s="875"/>
      <c r="G147" s="875"/>
      <c r="H147" s="875"/>
      <c r="I147" s="875"/>
      <c r="J147" s="875"/>
      <c r="K147" s="875"/>
      <c r="L147" s="875"/>
      <c r="M147" s="876"/>
      <c r="N147" s="880" t="s">
        <v>214</v>
      </c>
      <c r="O147" s="286" t="s">
        <v>425</v>
      </c>
      <c r="P147" s="874" t="s">
        <v>213</v>
      </c>
      <c r="Q147" s="875"/>
      <c r="R147" s="875"/>
      <c r="S147" s="875"/>
      <c r="T147" s="875"/>
      <c r="U147" s="875"/>
      <c r="V147" s="875"/>
      <c r="W147" s="875"/>
      <c r="X147" s="876"/>
      <c r="Y147" s="877" t="s">
        <v>244</v>
      </c>
      <c r="Z147" s="878"/>
      <c r="AA147" s="878"/>
      <c r="AB147" s="878"/>
      <c r="AC147" s="878"/>
      <c r="AD147" s="878"/>
      <c r="AE147" s="878"/>
      <c r="AF147" s="878"/>
      <c r="AG147" s="878"/>
      <c r="AH147" s="878"/>
      <c r="AI147" s="878"/>
      <c r="AJ147" s="878"/>
      <c r="AK147" s="878"/>
      <c r="AL147" s="878"/>
      <c r="AM147" s="879"/>
    </row>
    <row r="148" spans="1:39" ht="60.75" customHeight="1">
      <c r="B148" s="871"/>
      <c r="C148" s="873"/>
      <c r="D148" s="287">
        <v>2012</v>
      </c>
      <c r="E148" s="287">
        <v>2013</v>
      </c>
      <c r="F148" s="287">
        <v>2014</v>
      </c>
      <c r="G148" s="287">
        <v>2015</v>
      </c>
      <c r="H148" s="287">
        <v>2016</v>
      </c>
      <c r="I148" s="287">
        <v>2017</v>
      </c>
      <c r="J148" s="287">
        <v>2018</v>
      </c>
      <c r="K148" s="287">
        <v>2019</v>
      </c>
      <c r="L148" s="287">
        <v>2020</v>
      </c>
      <c r="M148" s="287">
        <v>2021</v>
      </c>
      <c r="N148" s="881"/>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GS&gt;50 kW</v>
      </c>
      <c r="AB148" s="287" t="str">
        <f>'1.  LRAMVA Summary'!G50</f>
        <v>Streetlights</v>
      </c>
      <c r="AC148" s="287" t="str">
        <f>'1.  LRAMVA Summary'!H50</f>
        <v>Unmetered Scattered Load</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0"/>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KWh</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hidden="1" outlineLevel="1">
      <c r="A150" s="509">
        <v>1</v>
      </c>
      <c r="B150" s="296" t="s">
        <v>1</v>
      </c>
      <c r="C150" s="293" t="s">
        <v>25</v>
      </c>
      <c r="D150" s="297">
        <v>38949.134989276099</v>
      </c>
      <c r="E150" s="297">
        <v>38949.134989276099</v>
      </c>
      <c r="F150" s="297">
        <v>38949.134989276099</v>
      </c>
      <c r="G150" s="297">
        <v>38949.134989276099</v>
      </c>
      <c r="H150" s="297">
        <v>27241.702004079536</v>
      </c>
      <c r="I150" s="297">
        <v>0</v>
      </c>
      <c r="J150" s="297">
        <v>0</v>
      </c>
      <c r="K150" s="297">
        <v>0</v>
      </c>
      <c r="L150" s="297">
        <v>0</v>
      </c>
      <c r="M150" s="297">
        <v>0</v>
      </c>
      <c r="N150" s="293"/>
      <c r="O150" s="297">
        <v>5.1713546641434291</v>
      </c>
      <c r="P150" s="297">
        <v>5.1713546641434291</v>
      </c>
      <c r="Q150" s="297">
        <v>5.1713546641434291</v>
      </c>
      <c r="R150" s="297">
        <v>5.1713546641434291</v>
      </c>
      <c r="S150" s="297">
        <v>3.5817314430221332</v>
      </c>
      <c r="T150" s="297">
        <v>0</v>
      </c>
      <c r="U150" s="297">
        <v>0</v>
      </c>
      <c r="V150" s="297">
        <v>0</v>
      </c>
      <c r="W150" s="297">
        <v>0</v>
      </c>
      <c r="X150" s="297">
        <v>0</v>
      </c>
      <c r="Y150" s="417">
        <v>1</v>
      </c>
      <c r="Z150" s="417">
        <v>0</v>
      </c>
      <c r="AA150" s="417">
        <v>0</v>
      </c>
      <c r="AB150" s="412"/>
      <c r="AC150" s="412"/>
      <c r="AD150" s="412"/>
      <c r="AE150" s="412"/>
      <c r="AF150" s="412"/>
      <c r="AG150" s="412"/>
      <c r="AH150" s="412"/>
      <c r="AI150" s="412"/>
      <c r="AJ150" s="412"/>
      <c r="AK150" s="412"/>
      <c r="AL150" s="412"/>
      <c r="AM150" s="298">
        <f>SUM(Y150:AL150)</f>
        <v>1</v>
      </c>
    </row>
    <row r="151" spans="1:39" ht="15" hidden="1" outlineLevel="1">
      <c r="B151" s="296" t="s">
        <v>245</v>
      </c>
      <c r="C151" s="293" t="s">
        <v>164</v>
      </c>
      <c r="D151" s="297"/>
      <c r="E151" s="297"/>
      <c r="F151" s="297"/>
      <c r="G151" s="297"/>
      <c r="H151" s="297"/>
      <c r="I151" s="297"/>
      <c r="J151" s="297"/>
      <c r="K151" s="297"/>
      <c r="L151" s="297"/>
      <c r="M151" s="297"/>
      <c r="N151" s="469"/>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5"/>
    </row>
    <row r="152" spans="1:39" ht="15.75" hidden="1" outlineLevel="1">
      <c r="A152" s="511"/>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hidden="1" outlineLevel="1">
      <c r="A153" s="509">
        <v>2</v>
      </c>
      <c r="B153" s="296" t="s">
        <v>2</v>
      </c>
      <c r="C153" s="293" t="s">
        <v>25</v>
      </c>
      <c r="D153" s="297">
        <v>542.0042224714316</v>
      </c>
      <c r="E153" s="297">
        <v>542.0042224714316</v>
      </c>
      <c r="F153" s="297">
        <v>542.0042224714316</v>
      </c>
      <c r="G153" s="297">
        <v>536.57135902159587</v>
      </c>
      <c r="H153" s="297">
        <v>0</v>
      </c>
      <c r="I153" s="297">
        <v>0</v>
      </c>
      <c r="J153" s="297">
        <v>0</v>
      </c>
      <c r="K153" s="297">
        <v>0</v>
      </c>
      <c r="L153" s="297">
        <v>0</v>
      </c>
      <c r="M153" s="297">
        <v>0</v>
      </c>
      <c r="N153" s="293"/>
      <c r="O153" s="297">
        <v>0.30700225932008651</v>
      </c>
      <c r="P153" s="297">
        <v>0.30700225932008651</v>
      </c>
      <c r="Q153" s="297">
        <v>0.30700225932008651</v>
      </c>
      <c r="R153" s="297">
        <v>0.30092695980086182</v>
      </c>
      <c r="S153" s="297">
        <v>0</v>
      </c>
      <c r="T153" s="297">
        <v>0</v>
      </c>
      <c r="U153" s="297">
        <v>0</v>
      </c>
      <c r="V153" s="297">
        <v>0</v>
      </c>
      <c r="W153" s="297">
        <v>0</v>
      </c>
      <c r="X153" s="297">
        <v>0</v>
      </c>
      <c r="Y153" s="417">
        <v>1</v>
      </c>
      <c r="Z153" s="417">
        <v>0</v>
      </c>
      <c r="AA153" s="417">
        <v>0</v>
      </c>
      <c r="AB153" s="412"/>
      <c r="AC153" s="412"/>
      <c r="AD153" s="412"/>
      <c r="AE153" s="412"/>
      <c r="AF153" s="412"/>
      <c r="AG153" s="412"/>
      <c r="AH153" s="412"/>
      <c r="AI153" s="412"/>
      <c r="AJ153" s="412"/>
      <c r="AK153" s="412"/>
      <c r="AL153" s="412"/>
      <c r="AM153" s="298">
        <f>SUM(Y153:AL153)</f>
        <v>1</v>
      </c>
    </row>
    <row r="154" spans="1:39" ht="15" hidden="1" outlineLevel="1">
      <c r="B154" s="296" t="s">
        <v>245</v>
      </c>
      <c r="C154" s="293" t="s">
        <v>164</v>
      </c>
      <c r="D154" s="297"/>
      <c r="E154" s="297"/>
      <c r="F154" s="297"/>
      <c r="G154" s="297"/>
      <c r="H154" s="297"/>
      <c r="I154" s="297"/>
      <c r="J154" s="297"/>
      <c r="K154" s="297"/>
      <c r="L154" s="297"/>
      <c r="M154" s="297"/>
      <c r="N154" s="469"/>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5"/>
    </row>
    <row r="155" spans="1:39" ht="15.75" hidden="1" outlineLevel="1">
      <c r="A155" s="511"/>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hidden="1" outlineLevel="1">
      <c r="A156" s="509">
        <v>3</v>
      </c>
      <c r="B156" s="296" t="s">
        <v>3</v>
      </c>
      <c r="C156" s="293" t="s">
        <v>25</v>
      </c>
      <c r="D156" s="297">
        <v>48252.680964467334</v>
      </c>
      <c r="E156" s="297">
        <v>48252.680964467334</v>
      </c>
      <c r="F156" s="297">
        <v>48252.680964467334</v>
      </c>
      <c r="G156" s="297">
        <v>48252.680964467334</v>
      </c>
      <c r="H156" s="297">
        <v>48252.680964467334</v>
      </c>
      <c r="I156" s="297">
        <v>48252.680964467334</v>
      </c>
      <c r="J156" s="297">
        <v>48252.680964467334</v>
      </c>
      <c r="K156" s="297">
        <v>48252.680964467334</v>
      </c>
      <c r="L156" s="297">
        <v>48252.680964467334</v>
      </c>
      <c r="M156" s="297">
        <v>48252.680964467334</v>
      </c>
      <c r="N156" s="293"/>
      <c r="O156" s="297">
        <v>26.946122801105282</v>
      </c>
      <c r="P156" s="297">
        <v>26.946122801105282</v>
      </c>
      <c r="Q156" s="297">
        <v>26.946122801105282</v>
      </c>
      <c r="R156" s="297">
        <v>26.946122801105282</v>
      </c>
      <c r="S156" s="297">
        <v>26.946122801105282</v>
      </c>
      <c r="T156" s="297">
        <v>26.946122801105282</v>
      </c>
      <c r="U156" s="297">
        <v>26.946122801105282</v>
      </c>
      <c r="V156" s="297">
        <v>26.946122801105282</v>
      </c>
      <c r="W156" s="297">
        <v>26.946122801105282</v>
      </c>
      <c r="X156" s="297">
        <v>26.946122801105282</v>
      </c>
      <c r="Y156" s="417">
        <v>1</v>
      </c>
      <c r="Z156" s="417">
        <v>0</v>
      </c>
      <c r="AA156" s="417">
        <v>0</v>
      </c>
      <c r="AB156" s="412"/>
      <c r="AC156" s="412"/>
      <c r="AD156" s="412"/>
      <c r="AE156" s="412"/>
      <c r="AF156" s="412"/>
      <c r="AG156" s="412"/>
      <c r="AH156" s="412"/>
      <c r="AI156" s="412"/>
      <c r="AJ156" s="412"/>
      <c r="AK156" s="412"/>
      <c r="AL156" s="412"/>
      <c r="AM156" s="298">
        <f>SUM(Y156:AL156)</f>
        <v>1</v>
      </c>
    </row>
    <row r="157" spans="1:39" ht="15" hidden="1" outlineLevel="1">
      <c r="B157" s="296" t="s">
        <v>245</v>
      </c>
      <c r="C157" s="293" t="s">
        <v>164</v>
      </c>
      <c r="D157" s="297"/>
      <c r="E157" s="297"/>
      <c r="F157" s="297"/>
      <c r="G157" s="297"/>
      <c r="H157" s="297"/>
      <c r="I157" s="297"/>
      <c r="J157" s="297"/>
      <c r="K157" s="297"/>
      <c r="L157" s="297"/>
      <c r="M157" s="297"/>
      <c r="N157" s="469"/>
      <c r="O157" s="297"/>
      <c r="P157" s="297"/>
      <c r="Q157" s="297"/>
      <c r="R157" s="297"/>
      <c r="S157" s="297"/>
      <c r="T157" s="297"/>
      <c r="U157" s="297"/>
      <c r="V157" s="297"/>
      <c r="W157" s="297"/>
      <c r="X157" s="297"/>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5"/>
    </row>
    <row r="158" spans="1:39" ht="15" hidden="1"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hidden="1" outlineLevel="1">
      <c r="A159" s="509">
        <v>4</v>
      </c>
      <c r="B159" s="296" t="s">
        <v>4</v>
      </c>
      <c r="C159" s="293" t="s">
        <v>25</v>
      </c>
      <c r="D159" s="297">
        <v>3995.7204263027816</v>
      </c>
      <c r="E159" s="297">
        <v>3995.7204263027816</v>
      </c>
      <c r="F159" s="297">
        <v>3995.7204263027816</v>
      </c>
      <c r="G159" s="297">
        <v>3995.7204263027816</v>
      </c>
      <c r="H159" s="297">
        <v>3935.6907627111013</v>
      </c>
      <c r="I159" s="297">
        <v>3935.6907627111013</v>
      </c>
      <c r="J159" s="297">
        <v>1853.3034011010466</v>
      </c>
      <c r="K159" s="297">
        <v>1843.0749634492736</v>
      </c>
      <c r="L159" s="297">
        <v>1843.0749634492736</v>
      </c>
      <c r="M159" s="297">
        <v>1843.0749634492736</v>
      </c>
      <c r="N159" s="293"/>
      <c r="O159" s="297">
        <v>0.65847157903660603</v>
      </c>
      <c r="P159" s="297">
        <v>0.65847157903660603</v>
      </c>
      <c r="Q159" s="297">
        <v>0.65847157903660603</v>
      </c>
      <c r="R159" s="297">
        <v>0.65847157903660603</v>
      </c>
      <c r="S159" s="297">
        <v>0.65569202851862141</v>
      </c>
      <c r="T159" s="297">
        <v>0.65569202851862141</v>
      </c>
      <c r="U159" s="297">
        <v>0.55927135041890519</v>
      </c>
      <c r="V159" s="297">
        <v>0.55810372054998147</v>
      </c>
      <c r="W159" s="297">
        <v>0.55810372054998147</v>
      </c>
      <c r="X159" s="297">
        <v>0.55810372054998147</v>
      </c>
      <c r="Y159" s="417">
        <v>1</v>
      </c>
      <c r="Z159" s="417">
        <v>0</v>
      </c>
      <c r="AA159" s="417">
        <v>0</v>
      </c>
      <c r="AB159" s="412"/>
      <c r="AC159" s="412"/>
      <c r="AD159" s="412"/>
      <c r="AE159" s="412"/>
      <c r="AF159" s="412"/>
      <c r="AG159" s="412"/>
      <c r="AH159" s="412"/>
      <c r="AI159" s="412"/>
      <c r="AJ159" s="412"/>
      <c r="AK159" s="412"/>
      <c r="AL159" s="412"/>
      <c r="AM159" s="298">
        <f>SUM(Y159:AL159)</f>
        <v>1</v>
      </c>
    </row>
    <row r="160" spans="1:39" ht="15" hidden="1" outlineLevel="1">
      <c r="B160" s="296" t="s">
        <v>245</v>
      </c>
      <c r="C160" s="293" t="s">
        <v>164</v>
      </c>
      <c r="D160" s="297"/>
      <c r="E160" s="297"/>
      <c r="F160" s="297"/>
      <c r="G160" s="297"/>
      <c r="H160" s="297"/>
      <c r="I160" s="297"/>
      <c r="J160" s="297"/>
      <c r="K160" s="297"/>
      <c r="L160" s="297"/>
      <c r="M160" s="297"/>
      <c r="N160" s="469"/>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5"/>
    </row>
    <row r="161" spans="1:39" ht="15" hidden="1"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hidden="1" outlineLevel="1">
      <c r="A162" s="509">
        <v>5</v>
      </c>
      <c r="B162" s="296" t="s">
        <v>5</v>
      </c>
      <c r="C162" s="293" t="s">
        <v>25</v>
      </c>
      <c r="D162" s="297">
        <v>76535.503542561826</v>
      </c>
      <c r="E162" s="297">
        <v>76535.503542561826</v>
      </c>
      <c r="F162" s="297">
        <v>76535.503542561826</v>
      </c>
      <c r="G162" s="297">
        <v>76535.503542561826</v>
      </c>
      <c r="H162" s="297">
        <v>68800.548836341186</v>
      </c>
      <c r="I162" s="297">
        <v>55944.67327254705</v>
      </c>
      <c r="J162" s="297">
        <v>38160.005052757042</v>
      </c>
      <c r="K162" s="297">
        <v>38080.68247504942</v>
      </c>
      <c r="L162" s="297">
        <v>38080.68247504942</v>
      </c>
      <c r="M162" s="297">
        <v>19342.088874374971</v>
      </c>
      <c r="N162" s="293"/>
      <c r="O162" s="297">
        <v>4.2294320984335121</v>
      </c>
      <c r="P162" s="297">
        <v>4.2294320984335121</v>
      </c>
      <c r="Q162" s="297">
        <v>4.2294320984335121</v>
      </c>
      <c r="R162" s="297">
        <v>4.2294320984335121</v>
      </c>
      <c r="S162" s="297">
        <v>3.871280876622532</v>
      </c>
      <c r="T162" s="297">
        <v>3.2760159118619909</v>
      </c>
      <c r="U162" s="297">
        <v>2.4525333066829149</v>
      </c>
      <c r="V162" s="297">
        <v>2.4434782179035053</v>
      </c>
      <c r="W162" s="297">
        <v>2.4434782179035053</v>
      </c>
      <c r="X162" s="297">
        <v>1.5758260534113691</v>
      </c>
      <c r="Y162" s="417">
        <v>1</v>
      </c>
      <c r="Z162" s="417">
        <v>0</v>
      </c>
      <c r="AA162" s="417">
        <v>0</v>
      </c>
      <c r="AB162" s="412"/>
      <c r="AC162" s="412"/>
      <c r="AD162" s="412"/>
      <c r="AE162" s="412"/>
      <c r="AF162" s="412"/>
      <c r="AG162" s="412"/>
      <c r="AH162" s="412"/>
      <c r="AI162" s="412"/>
      <c r="AJ162" s="412"/>
      <c r="AK162" s="412"/>
      <c r="AL162" s="412"/>
      <c r="AM162" s="298">
        <f>SUM(Y162:AL162)</f>
        <v>1</v>
      </c>
    </row>
    <row r="163" spans="1:39" ht="15" hidden="1" outlineLevel="1">
      <c r="B163" s="296" t="s">
        <v>245</v>
      </c>
      <c r="C163" s="293" t="s">
        <v>164</v>
      </c>
      <c r="D163" s="297"/>
      <c r="E163" s="297"/>
      <c r="F163" s="297"/>
      <c r="G163" s="297"/>
      <c r="H163" s="297"/>
      <c r="I163" s="297"/>
      <c r="J163" s="297"/>
      <c r="K163" s="297"/>
      <c r="L163" s="297"/>
      <c r="M163" s="297"/>
      <c r="N163" s="469"/>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5"/>
    </row>
    <row r="164" spans="1:39" ht="15" hidden="1"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hidden="1" outlineLevel="1">
      <c r="A165" s="509">
        <v>6</v>
      </c>
      <c r="B165" s="296" t="s">
        <v>6</v>
      </c>
      <c r="C165" s="293" t="s">
        <v>25</v>
      </c>
      <c r="D165" s="297" t="s">
        <v>708</v>
      </c>
      <c r="E165" s="297" t="s">
        <v>708</v>
      </c>
      <c r="F165" s="297" t="s">
        <v>708</v>
      </c>
      <c r="G165" s="297" t="s">
        <v>708</v>
      </c>
      <c r="H165" s="297" t="s">
        <v>708</v>
      </c>
      <c r="I165" s="297" t="s">
        <v>708</v>
      </c>
      <c r="J165" s="297" t="s">
        <v>708</v>
      </c>
      <c r="K165" s="297" t="s">
        <v>708</v>
      </c>
      <c r="L165" s="297" t="s">
        <v>708</v>
      </c>
      <c r="M165" s="297" t="s">
        <v>708</v>
      </c>
      <c r="N165" s="293"/>
      <c r="O165" s="297" t="s">
        <v>708</v>
      </c>
      <c r="P165" s="297" t="s">
        <v>708</v>
      </c>
      <c r="Q165" s="297" t="s">
        <v>708</v>
      </c>
      <c r="R165" s="297" t="s">
        <v>708</v>
      </c>
      <c r="S165" s="297" t="s">
        <v>708</v>
      </c>
      <c r="T165" s="297" t="s">
        <v>708</v>
      </c>
      <c r="U165" s="297" t="s">
        <v>708</v>
      </c>
      <c r="V165" s="297" t="s">
        <v>708</v>
      </c>
      <c r="W165" s="297" t="s">
        <v>708</v>
      </c>
      <c r="X165" s="297" t="s">
        <v>708</v>
      </c>
      <c r="Y165" s="412"/>
      <c r="Z165" s="412"/>
      <c r="AA165" s="412"/>
      <c r="AB165" s="412"/>
      <c r="AC165" s="412"/>
      <c r="AD165" s="412"/>
      <c r="AE165" s="412"/>
      <c r="AF165" s="412"/>
      <c r="AG165" s="412"/>
      <c r="AH165" s="412"/>
      <c r="AI165" s="412"/>
      <c r="AJ165" s="412"/>
      <c r="AK165" s="412"/>
      <c r="AL165" s="412"/>
      <c r="AM165" s="298">
        <f>SUM(Y165:AL165)</f>
        <v>0</v>
      </c>
    </row>
    <row r="166" spans="1:39" ht="15" hidden="1" outlineLevel="1">
      <c r="B166" s="296" t="s">
        <v>245</v>
      </c>
      <c r="C166" s="293" t="s">
        <v>164</v>
      </c>
      <c r="D166" s="297"/>
      <c r="E166" s="297"/>
      <c r="F166" s="297"/>
      <c r="G166" s="297"/>
      <c r="H166" s="297"/>
      <c r="I166" s="297"/>
      <c r="J166" s="297"/>
      <c r="K166" s="297"/>
      <c r="L166" s="297"/>
      <c r="M166" s="297"/>
      <c r="N166" s="469"/>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5"/>
    </row>
    <row r="167" spans="1:39" ht="15" hidden="1"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hidden="1" outlineLevel="1">
      <c r="A168" s="509">
        <v>7</v>
      </c>
      <c r="B168" s="296" t="s">
        <v>42</v>
      </c>
      <c r="C168" s="293" t="s">
        <v>25</v>
      </c>
      <c r="D168" s="297" t="s">
        <v>708</v>
      </c>
      <c r="E168" s="297" t="s">
        <v>708</v>
      </c>
      <c r="F168" s="297" t="s">
        <v>708</v>
      </c>
      <c r="G168" s="297" t="s">
        <v>708</v>
      </c>
      <c r="H168" s="297" t="s">
        <v>708</v>
      </c>
      <c r="I168" s="297" t="s">
        <v>708</v>
      </c>
      <c r="J168" s="297" t="s">
        <v>708</v>
      </c>
      <c r="K168" s="297" t="s">
        <v>708</v>
      </c>
      <c r="L168" s="297" t="s">
        <v>708</v>
      </c>
      <c r="M168" s="297" t="s">
        <v>708</v>
      </c>
      <c r="N168" s="293"/>
      <c r="O168" s="297" t="s">
        <v>708</v>
      </c>
      <c r="P168" s="297" t="s">
        <v>708</v>
      </c>
      <c r="Q168" s="297" t="s">
        <v>708</v>
      </c>
      <c r="R168" s="297" t="s">
        <v>708</v>
      </c>
      <c r="S168" s="297" t="s">
        <v>708</v>
      </c>
      <c r="T168" s="297" t="s">
        <v>708</v>
      </c>
      <c r="U168" s="297" t="s">
        <v>708</v>
      </c>
      <c r="V168" s="297" t="s">
        <v>708</v>
      </c>
      <c r="W168" s="297" t="s">
        <v>708</v>
      </c>
      <c r="X168" s="297" t="s">
        <v>708</v>
      </c>
      <c r="Y168" s="412"/>
      <c r="Z168" s="412"/>
      <c r="AA168" s="412"/>
      <c r="AB168" s="412"/>
      <c r="AC168" s="412"/>
      <c r="AD168" s="412"/>
      <c r="AE168" s="412"/>
      <c r="AF168" s="412"/>
      <c r="AG168" s="412"/>
      <c r="AH168" s="412"/>
      <c r="AI168" s="412"/>
      <c r="AJ168" s="412"/>
      <c r="AK168" s="412"/>
      <c r="AL168" s="412"/>
      <c r="AM168" s="298">
        <f>SUM(Y168:AL168)</f>
        <v>0</v>
      </c>
    </row>
    <row r="169" spans="1:39" ht="15" hidden="1"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5"/>
    </row>
    <row r="170" spans="1:39" ht="15" hidden="1"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hidden="1" outlineLevel="1">
      <c r="A171" s="509">
        <v>8</v>
      </c>
      <c r="B171" s="296" t="s">
        <v>487</v>
      </c>
      <c r="C171" s="293" t="s">
        <v>25</v>
      </c>
      <c r="D171" s="297" t="s">
        <v>708</v>
      </c>
      <c r="E171" s="297" t="s">
        <v>708</v>
      </c>
      <c r="F171" s="297" t="s">
        <v>708</v>
      </c>
      <c r="G171" s="297" t="s">
        <v>708</v>
      </c>
      <c r="H171" s="297" t="s">
        <v>708</v>
      </c>
      <c r="I171" s="297" t="s">
        <v>708</v>
      </c>
      <c r="J171" s="297" t="s">
        <v>708</v>
      </c>
      <c r="K171" s="297" t="s">
        <v>708</v>
      </c>
      <c r="L171" s="297" t="s">
        <v>708</v>
      </c>
      <c r="M171" s="297" t="s">
        <v>708</v>
      </c>
      <c r="N171" s="293"/>
      <c r="O171" s="297" t="s">
        <v>708</v>
      </c>
      <c r="P171" s="297" t="s">
        <v>708</v>
      </c>
      <c r="Q171" s="297" t="s">
        <v>708</v>
      </c>
      <c r="R171" s="297" t="s">
        <v>708</v>
      </c>
      <c r="S171" s="297" t="s">
        <v>708</v>
      </c>
      <c r="T171" s="297" t="s">
        <v>708</v>
      </c>
      <c r="U171" s="297" t="s">
        <v>708</v>
      </c>
      <c r="V171" s="297" t="s">
        <v>708</v>
      </c>
      <c r="W171" s="297" t="s">
        <v>708</v>
      </c>
      <c r="X171" s="297" t="s">
        <v>708</v>
      </c>
      <c r="Y171" s="412"/>
      <c r="Z171" s="412"/>
      <c r="AA171" s="412"/>
      <c r="AB171" s="412"/>
      <c r="AC171" s="412"/>
      <c r="AD171" s="412"/>
      <c r="AE171" s="412"/>
      <c r="AF171" s="412"/>
      <c r="AG171" s="412"/>
      <c r="AH171" s="412"/>
      <c r="AI171" s="412"/>
      <c r="AJ171" s="412"/>
      <c r="AK171" s="412"/>
      <c r="AL171" s="412"/>
      <c r="AM171" s="298">
        <f>SUM(Y171:AL171)</f>
        <v>0</v>
      </c>
    </row>
    <row r="172" spans="1:39" s="285" customFormat="1" ht="15" hidden="1" outlineLevel="1">
      <c r="A172" s="509"/>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5"/>
    </row>
    <row r="173" spans="1:39" s="285" customFormat="1" ht="15" hidden="1" outlineLevel="1">
      <c r="A173" s="509"/>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hidden="1" outlineLevel="1">
      <c r="A174" s="509">
        <v>9</v>
      </c>
      <c r="B174" s="296" t="s">
        <v>7</v>
      </c>
      <c r="C174" s="293" t="s">
        <v>25</v>
      </c>
      <c r="D174" s="297" t="s">
        <v>708</v>
      </c>
      <c r="E174" s="297" t="s">
        <v>708</v>
      </c>
      <c r="F174" s="297" t="s">
        <v>708</v>
      </c>
      <c r="G174" s="297" t="s">
        <v>708</v>
      </c>
      <c r="H174" s="297" t="s">
        <v>708</v>
      </c>
      <c r="I174" s="297" t="s">
        <v>708</v>
      </c>
      <c r="J174" s="297" t="s">
        <v>708</v>
      </c>
      <c r="K174" s="297" t="s">
        <v>708</v>
      </c>
      <c r="L174" s="297" t="s">
        <v>708</v>
      </c>
      <c r="M174" s="297" t="s">
        <v>708</v>
      </c>
      <c r="N174" s="293"/>
      <c r="O174" s="297" t="s">
        <v>708</v>
      </c>
      <c r="P174" s="297" t="s">
        <v>708</v>
      </c>
      <c r="Q174" s="297" t="s">
        <v>708</v>
      </c>
      <c r="R174" s="297" t="s">
        <v>708</v>
      </c>
      <c r="S174" s="297" t="s">
        <v>708</v>
      </c>
      <c r="T174" s="297" t="s">
        <v>708</v>
      </c>
      <c r="U174" s="297" t="s">
        <v>708</v>
      </c>
      <c r="V174" s="297" t="s">
        <v>708</v>
      </c>
      <c r="W174" s="297" t="s">
        <v>708</v>
      </c>
      <c r="X174" s="297" t="s">
        <v>708</v>
      </c>
      <c r="Y174" s="412"/>
      <c r="Z174" s="412"/>
      <c r="AA174" s="412"/>
      <c r="AB174" s="412"/>
      <c r="AC174" s="412"/>
      <c r="AD174" s="412"/>
      <c r="AE174" s="412"/>
      <c r="AF174" s="412"/>
      <c r="AG174" s="412"/>
      <c r="AH174" s="412"/>
      <c r="AI174" s="412"/>
      <c r="AJ174" s="412"/>
      <c r="AK174" s="412"/>
      <c r="AL174" s="412"/>
      <c r="AM174" s="298">
        <f>SUM(Y174:AL174)</f>
        <v>0</v>
      </c>
    </row>
    <row r="175" spans="1:39" ht="15" hidden="1"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5"/>
    </row>
    <row r="176" spans="1:39" ht="15" hidden="1"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hidden="1" outlineLevel="1">
      <c r="A177" s="510"/>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hidden="1" outlineLevel="1">
      <c r="A178" s="509">
        <v>10</v>
      </c>
      <c r="B178" s="312" t="s">
        <v>22</v>
      </c>
      <c r="C178" s="293" t="s">
        <v>25</v>
      </c>
      <c r="D178" s="297">
        <v>1338949.9999999998</v>
      </c>
      <c r="E178" s="297">
        <v>1316740.908589297</v>
      </c>
      <c r="F178" s="297">
        <v>1315188.406756781</v>
      </c>
      <c r="G178" s="297">
        <v>1278808.0112923288</v>
      </c>
      <c r="H178" s="297">
        <v>1278808.0112923288</v>
      </c>
      <c r="I178" s="297">
        <v>1276061.020276367</v>
      </c>
      <c r="J178" s="297">
        <v>1262218.2564969042</v>
      </c>
      <c r="K178" s="297">
        <v>1262218.2564969042</v>
      </c>
      <c r="L178" s="297">
        <v>1187772.2102303214</v>
      </c>
      <c r="M178" s="297">
        <v>682976.82626781112</v>
      </c>
      <c r="N178" s="297">
        <v>12</v>
      </c>
      <c r="O178" s="297">
        <v>267.51327501047109</v>
      </c>
      <c r="P178" s="297">
        <v>258.2416110905416</v>
      </c>
      <c r="Q178" s="297">
        <v>257.59348573683076</v>
      </c>
      <c r="R178" s="297">
        <v>242.40570548131015</v>
      </c>
      <c r="S178" s="297">
        <v>242.40570548131015</v>
      </c>
      <c r="T178" s="297">
        <v>241.27083157862046</v>
      </c>
      <c r="U178" s="297">
        <v>234.93532770854429</v>
      </c>
      <c r="V178" s="297">
        <v>234.93532770854429</v>
      </c>
      <c r="W178" s="297">
        <v>206.76778675027953</v>
      </c>
      <c r="X178" s="297">
        <v>137.36350477173204</v>
      </c>
      <c r="Y178" s="417">
        <v>0</v>
      </c>
      <c r="Z178" s="417">
        <v>0.84845481540299583</v>
      </c>
      <c r="AA178" s="417">
        <v>0.15154518459700417</v>
      </c>
      <c r="AB178" s="417"/>
      <c r="AC178" s="417"/>
      <c r="AD178" s="417"/>
      <c r="AE178" s="417"/>
      <c r="AF178" s="417"/>
      <c r="AG178" s="417"/>
      <c r="AH178" s="417"/>
      <c r="AI178" s="417"/>
      <c r="AJ178" s="417"/>
      <c r="AK178" s="417"/>
      <c r="AL178" s="417"/>
      <c r="AM178" s="298">
        <f>SUM(Y178:AL178)</f>
        <v>1</v>
      </c>
    </row>
    <row r="179" spans="1:39" ht="15" hidden="1" outlineLevel="1">
      <c r="B179" s="296" t="s">
        <v>245</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0.84845481540299583</v>
      </c>
      <c r="AA179" s="413">
        <f t="shared" ref="AA179:AL179" si="46">AA178</f>
        <v>0.15154518459700417</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5"/>
    </row>
    <row r="180" spans="1:39" ht="15" hidden="1"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hidden="1" outlineLevel="1">
      <c r="A181" s="509">
        <v>11</v>
      </c>
      <c r="B181" s="316" t="s">
        <v>21</v>
      </c>
      <c r="C181" s="293" t="s">
        <v>25</v>
      </c>
      <c r="D181" s="297">
        <v>179920.70160477795</v>
      </c>
      <c r="E181" s="297">
        <v>179920.70160477798</v>
      </c>
      <c r="F181" s="297">
        <v>179920.70160477798</v>
      </c>
      <c r="G181" s="297">
        <v>116076.88019301901</v>
      </c>
      <c r="H181" s="297">
        <v>116076.88019301901</v>
      </c>
      <c r="I181" s="297">
        <v>21155.651674336819</v>
      </c>
      <c r="J181" s="297">
        <v>21155.651674336819</v>
      </c>
      <c r="K181" s="297">
        <v>21155.651674336819</v>
      </c>
      <c r="L181" s="297">
        <v>21155.651674336819</v>
      </c>
      <c r="M181" s="297">
        <v>21155.651674336819</v>
      </c>
      <c r="N181" s="297">
        <v>12</v>
      </c>
      <c r="O181" s="297">
        <v>46.955552418229615</v>
      </c>
      <c r="P181" s="297">
        <v>46.955552418229615</v>
      </c>
      <c r="Q181" s="297">
        <v>46.955552418229615</v>
      </c>
      <c r="R181" s="297">
        <v>31.663990904127672</v>
      </c>
      <c r="S181" s="297">
        <v>31.434557888425051</v>
      </c>
      <c r="T181" s="297">
        <v>6.4295317587025691</v>
      </c>
      <c r="U181" s="297">
        <v>5.1486035074728917</v>
      </c>
      <c r="V181" s="297">
        <v>5.1486035074728917</v>
      </c>
      <c r="W181" s="297">
        <v>5.1486035074728917</v>
      </c>
      <c r="X181" s="297">
        <v>5.1486035074728917</v>
      </c>
      <c r="Y181" s="417">
        <v>0</v>
      </c>
      <c r="Z181" s="417">
        <v>1</v>
      </c>
      <c r="AA181" s="417">
        <v>0</v>
      </c>
      <c r="AB181" s="417"/>
      <c r="AC181" s="417"/>
      <c r="AD181" s="417"/>
      <c r="AE181" s="417"/>
      <c r="AF181" s="417"/>
      <c r="AG181" s="417"/>
      <c r="AH181" s="417"/>
      <c r="AI181" s="417"/>
      <c r="AJ181" s="417"/>
      <c r="AK181" s="417"/>
      <c r="AL181" s="417"/>
      <c r="AM181" s="298">
        <f>SUM(Y181:AL181)</f>
        <v>1</v>
      </c>
    </row>
    <row r="182" spans="1:39" ht="15" hidden="1"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5"/>
    </row>
    <row r="183" spans="1:39" ht="15" hidden="1"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hidden="1" outlineLevel="1">
      <c r="A184" s="509">
        <v>12</v>
      </c>
      <c r="B184" s="316" t="s">
        <v>23</v>
      </c>
      <c r="C184" s="293" t="s">
        <v>25</v>
      </c>
      <c r="D184" s="297" t="s">
        <v>708</v>
      </c>
      <c r="E184" s="297" t="s">
        <v>708</v>
      </c>
      <c r="F184" s="297" t="s">
        <v>708</v>
      </c>
      <c r="G184" s="297" t="s">
        <v>708</v>
      </c>
      <c r="H184" s="297" t="s">
        <v>708</v>
      </c>
      <c r="I184" s="297" t="s">
        <v>708</v>
      </c>
      <c r="J184" s="297" t="s">
        <v>708</v>
      </c>
      <c r="K184" s="297" t="s">
        <v>708</v>
      </c>
      <c r="L184" s="297" t="s">
        <v>708</v>
      </c>
      <c r="M184" s="297" t="s">
        <v>708</v>
      </c>
      <c r="N184" s="297">
        <v>3</v>
      </c>
      <c r="O184" s="297" t="s">
        <v>708</v>
      </c>
      <c r="P184" s="297" t="s">
        <v>708</v>
      </c>
      <c r="Q184" s="297" t="s">
        <v>708</v>
      </c>
      <c r="R184" s="297" t="s">
        <v>708</v>
      </c>
      <c r="S184" s="297" t="s">
        <v>708</v>
      </c>
      <c r="T184" s="297" t="s">
        <v>708</v>
      </c>
      <c r="U184" s="297" t="s">
        <v>708</v>
      </c>
      <c r="V184" s="297" t="s">
        <v>708</v>
      </c>
      <c r="W184" s="297" t="s">
        <v>708</v>
      </c>
      <c r="X184" s="297" t="s">
        <v>708</v>
      </c>
      <c r="Y184" s="417"/>
      <c r="Z184" s="417"/>
      <c r="AA184" s="417"/>
      <c r="AB184" s="417"/>
      <c r="AC184" s="417"/>
      <c r="AD184" s="417"/>
      <c r="AE184" s="417"/>
      <c r="AF184" s="417"/>
      <c r="AG184" s="417"/>
      <c r="AH184" s="417"/>
      <c r="AI184" s="417"/>
      <c r="AJ184" s="417"/>
      <c r="AK184" s="417"/>
      <c r="AL184" s="417"/>
      <c r="AM184" s="298">
        <f>SUM(Y184:AL184)</f>
        <v>0</v>
      </c>
    </row>
    <row r="185" spans="1:39" ht="15" hidden="1"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5"/>
    </row>
    <row r="186" spans="1:39" ht="15" hidden="1"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hidden="1" outlineLevel="1">
      <c r="A187" s="509">
        <v>13</v>
      </c>
      <c r="B187" s="316" t="s">
        <v>24</v>
      </c>
      <c r="C187" s="293" t="s">
        <v>25</v>
      </c>
      <c r="D187" s="297" t="s">
        <v>708</v>
      </c>
      <c r="E187" s="297" t="s">
        <v>708</v>
      </c>
      <c r="F187" s="297" t="s">
        <v>708</v>
      </c>
      <c r="G187" s="297" t="s">
        <v>708</v>
      </c>
      <c r="H187" s="297" t="s">
        <v>708</v>
      </c>
      <c r="I187" s="297" t="s">
        <v>708</v>
      </c>
      <c r="J187" s="297" t="s">
        <v>708</v>
      </c>
      <c r="K187" s="297" t="s">
        <v>708</v>
      </c>
      <c r="L187" s="297" t="s">
        <v>708</v>
      </c>
      <c r="M187" s="297" t="s">
        <v>708</v>
      </c>
      <c r="N187" s="297">
        <v>12</v>
      </c>
      <c r="O187" s="297" t="s">
        <v>708</v>
      </c>
      <c r="P187" s="297" t="s">
        <v>708</v>
      </c>
      <c r="Q187" s="297" t="s">
        <v>708</v>
      </c>
      <c r="R187" s="297" t="s">
        <v>708</v>
      </c>
      <c r="S187" s="297" t="s">
        <v>708</v>
      </c>
      <c r="T187" s="297" t="s">
        <v>708</v>
      </c>
      <c r="U187" s="297" t="s">
        <v>708</v>
      </c>
      <c r="V187" s="297" t="s">
        <v>708</v>
      </c>
      <c r="W187" s="297" t="s">
        <v>708</v>
      </c>
      <c r="X187" s="297" t="s">
        <v>708</v>
      </c>
      <c r="Y187" s="417"/>
      <c r="Z187" s="417"/>
      <c r="AA187" s="417"/>
      <c r="AB187" s="417"/>
      <c r="AC187" s="417"/>
      <c r="AD187" s="417"/>
      <c r="AE187" s="417"/>
      <c r="AF187" s="417"/>
      <c r="AG187" s="417"/>
      <c r="AH187" s="417"/>
      <c r="AI187" s="417"/>
      <c r="AJ187" s="417"/>
      <c r="AK187" s="417"/>
      <c r="AL187" s="417"/>
      <c r="AM187" s="298">
        <f>SUM(Y187:AL187)</f>
        <v>0</v>
      </c>
    </row>
    <row r="188" spans="1:39" ht="15" hidden="1"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5"/>
    </row>
    <row r="189" spans="1:39" ht="15" hidden="1"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hidden="1" outlineLevel="1">
      <c r="A190" s="509">
        <v>14</v>
      </c>
      <c r="B190" s="316" t="s">
        <v>20</v>
      </c>
      <c r="C190" s="293" t="s">
        <v>25</v>
      </c>
      <c r="D190" s="297">
        <v>17855</v>
      </c>
      <c r="E190" s="297">
        <v>17855</v>
      </c>
      <c r="F190" s="297">
        <v>17855</v>
      </c>
      <c r="G190" s="297">
        <v>17855</v>
      </c>
      <c r="H190" s="297">
        <v>0</v>
      </c>
      <c r="I190" s="297">
        <v>0</v>
      </c>
      <c r="J190" s="297">
        <v>0</v>
      </c>
      <c r="K190" s="297">
        <v>0</v>
      </c>
      <c r="L190" s="297">
        <v>0</v>
      </c>
      <c r="M190" s="297">
        <v>0</v>
      </c>
      <c r="N190" s="297">
        <v>12</v>
      </c>
      <c r="O190" s="297">
        <v>0</v>
      </c>
      <c r="P190" s="297">
        <v>0</v>
      </c>
      <c r="Q190" s="297">
        <v>0</v>
      </c>
      <c r="R190" s="297">
        <v>0</v>
      </c>
      <c r="S190" s="297">
        <v>0</v>
      </c>
      <c r="T190" s="297">
        <v>0</v>
      </c>
      <c r="U190" s="297">
        <v>0</v>
      </c>
      <c r="V190" s="297">
        <v>0</v>
      </c>
      <c r="W190" s="297">
        <v>0</v>
      </c>
      <c r="X190" s="297">
        <v>0</v>
      </c>
      <c r="Y190" s="417">
        <v>0</v>
      </c>
      <c r="Z190" s="417">
        <v>0</v>
      </c>
      <c r="AA190" s="417">
        <v>1</v>
      </c>
      <c r="AB190" s="417"/>
      <c r="AC190" s="417"/>
      <c r="AD190" s="417"/>
      <c r="AE190" s="417"/>
      <c r="AF190" s="417"/>
      <c r="AG190" s="417"/>
      <c r="AH190" s="417"/>
      <c r="AI190" s="417"/>
      <c r="AJ190" s="417"/>
      <c r="AK190" s="417"/>
      <c r="AL190" s="417"/>
      <c r="AM190" s="298">
        <f>SUM(Y190:AL190)</f>
        <v>1</v>
      </c>
    </row>
    <row r="191" spans="1:39" ht="15" hidden="1"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1</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5"/>
    </row>
    <row r="192" spans="1:39" ht="15" hidden="1"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hidden="1" outlineLevel="1">
      <c r="A193" s="509">
        <v>15</v>
      </c>
      <c r="B193" s="316" t="s">
        <v>488</v>
      </c>
      <c r="C193" s="293" t="s">
        <v>25</v>
      </c>
      <c r="D193" s="297" t="s">
        <v>708</v>
      </c>
      <c r="E193" s="297" t="s">
        <v>708</v>
      </c>
      <c r="F193" s="297" t="s">
        <v>708</v>
      </c>
      <c r="G193" s="297" t="s">
        <v>708</v>
      </c>
      <c r="H193" s="297" t="s">
        <v>708</v>
      </c>
      <c r="I193" s="297" t="s">
        <v>708</v>
      </c>
      <c r="J193" s="297" t="s">
        <v>708</v>
      </c>
      <c r="K193" s="297" t="s">
        <v>708</v>
      </c>
      <c r="L193" s="297" t="s">
        <v>708</v>
      </c>
      <c r="M193" s="297" t="s">
        <v>708</v>
      </c>
      <c r="N193" s="293"/>
      <c r="O193" s="297" t="s">
        <v>708</v>
      </c>
      <c r="P193" s="297" t="s">
        <v>708</v>
      </c>
      <c r="Q193" s="297" t="s">
        <v>708</v>
      </c>
      <c r="R193" s="297" t="s">
        <v>708</v>
      </c>
      <c r="S193" s="297" t="s">
        <v>708</v>
      </c>
      <c r="T193" s="297" t="s">
        <v>708</v>
      </c>
      <c r="U193" s="297" t="s">
        <v>708</v>
      </c>
      <c r="V193" s="297" t="s">
        <v>708</v>
      </c>
      <c r="W193" s="297" t="s">
        <v>708</v>
      </c>
      <c r="X193" s="297" t="s">
        <v>708</v>
      </c>
      <c r="Y193" s="417"/>
      <c r="Z193" s="417"/>
      <c r="AA193" s="417"/>
      <c r="AB193" s="417"/>
      <c r="AC193" s="417"/>
      <c r="AD193" s="417"/>
      <c r="AE193" s="417"/>
      <c r="AF193" s="417"/>
      <c r="AG193" s="417"/>
      <c r="AH193" s="417"/>
      <c r="AI193" s="417"/>
      <c r="AJ193" s="417"/>
      <c r="AK193" s="417"/>
      <c r="AL193" s="417"/>
      <c r="AM193" s="298">
        <f>SUM(Y193:AL193)</f>
        <v>0</v>
      </c>
    </row>
    <row r="194" spans="1:39" s="285" customFormat="1" ht="15" hidden="1" outlineLevel="1">
      <c r="A194" s="509"/>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5"/>
    </row>
    <row r="195" spans="1:39" s="285" customFormat="1" ht="15" hidden="1" outlineLevel="1">
      <c r="A195" s="509"/>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hidden="1" outlineLevel="1">
      <c r="A196" s="509">
        <v>16</v>
      </c>
      <c r="B196" s="316" t="s">
        <v>489</v>
      </c>
      <c r="C196" s="293" t="s">
        <v>25</v>
      </c>
      <c r="D196" s="297" t="s">
        <v>708</v>
      </c>
      <c r="E196" s="297" t="s">
        <v>708</v>
      </c>
      <c r="F196" s="297" t="s">
        <v>708</v>
      </c>
      <c r="G196" s="297" t="s">
        <v>708</v>
      </c>
      <c r="H196" s="297" t="s">
        <v>708</v>
      </c>
      <c r="I196" s="297" t="s">
        <v>708</v>
      </c>
      <c r="J196" s="297" t="s">
        <v>708</v>
      </c>
      <c r="K196" s="297" t="s">
        <v>708</v>
      </c>
      <c r="L196" s="297" t="s">
        <v>708</v>
      </c>
      <c r="M196" s="297" t="s">
        <v>708</v>
      </c>
      <c r="N196" s="293"/>
      <c r="O196" s="297" t="s">
        <v>708</v>
      </c>
      <c r="P196" s="297" t="s">
        <v>708</v>
      </c>
      <c r="Q196" s="297" t="s">
        <v>708</v>
      </c>
      <c r="R196" s="297" t="s">
        <v>708</v>
      </c>
      <c r="S196" s="297" t="s">
        <v>708</v>
      </c>
      <c r="T196" s="297" t="s">
        <v>708</v>
      </c>
      <c r="U196" s="297" t="s">
        <v>708</v>
      </c>
      <c r="V196" s="297" t="s">
        <v>708</v>
      </c>
      <c r="W196" s="297" t="s">
        <v>708</v>
      </c>
      <c r="X196" s="297" t="s">
        <v>708</v>
      </c>
      <c r="Y196" s="417"/>
      <c r="Z196" s="417"/>
      <c r="AA196" s="417"/>
      <c r="AB196" s="417"/>
      <c r="AC196" s="417"/>
      <c r="AD196" s="417"/>
      <c r="AE196" s="417"/>
      <c r="AF196" s="417"/>
      <c r="AG196" s="417"/>
      <c r="AH196" s="417"/>
      <c r="AI196" s="417"/>
      <c r="AJ196" s="417"/>
      <c r="AK196" s="417"/>
      <c r="AL196" s="417"/>
      <c r="AM196" s="298">
        <f>SUM(Y196:AL196)</f>
        <v>0</v>
      </c>
    </row>
    <row r="197" spans="1:39" s="285" customFormat="1" ht="15" hidden="1" outlineLevel="1">
      <c r="A197" s="509"/>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5"/>
    </row>
    <row r="198" spans="1:39" s="285" customFormat="1" ht="15" hidden="1" outlineLevel="1">
      <c r="A198" s="509"/>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hidden="1" outlineLevel="1">
      <c r="A199" s="509">
        <v>17</v>
      </c>
      <c r="B199" s="316" t="s">
        <v>9</v>
      </c>
      <c r="C199" s="293" t="s">
        <v>25</v>
      </c>
      <c r="D199" s="297">
        <v>541.79780000000005</v>
      </c>
      <c r="E199" s="297">
        <v>0</v>
      </c>
      <c r="F199" s="297">
        <v>0</v>
      </c>
      <c r="G199" s="297">
        <v>0</v>
      </c>
      <c r="H199" s="297">
        <v>0</v>
      </c>
      <c r="I199" s="297">
        <v>0</v>
      </c>
      <c r="J199" s="297">
        <v>0</v>
      </c>
      <c r="K199" s="297">
        <v>0</v>
      </c>
      <c r="L199" s="297">
        <v>0</v>
      </c>
      <c r="M199" s="297">
        <v>0</v>
      </c>
      <c r="N199" s="293"/>
      <c r="O199" s="297">
        <v>37.274569499999998</v>
      </c>
      <c r="P199" s="297">
        <v>0</v>
      </c>
      <c r="Q199" s="297">
        <v>0</v>
      </c>
      <c r="R199" s="297">
        <v>0</v>
      </c>
      <c r="S199" s="297">
        <v>0</v>
      </c>
      <c r="T199" s="297">
        <v>0</v>
      </c>
      <c r="U199" s="297">
        <v>0</v>
      </c>
      <c r="V199" s="297">
        <v>0</v>
      </c>
      <c r="W199" s="297">
        <v>0</v>
      </c>
      <c r="X199" s="297">
        <v>0</v>
      </c>
      <c r="Y199" s="417">
        <v>0</v>
      </c>
      <c r="Z199" s="417">
        <v>0</v>
      </c>
      <c r="AA199" s="417">
        <v>1</v>
      </c>
      <c r="AB199" s="417"/>
      <c r="AC199" s="417"/>
      <c r="AD199" s="417"/>
      <c r="AE199" s="417"/>
      <c r="AF199" s="417"/>
      <c r="AG199" s="417"/>
      <c r="AH199" s="417"/>
      <c r="AI199" s="417"/>
      <c r="AJ199" s="417"/>
      <c r="AK199" s="417"/>
      <c r="AL199" s="417"/>
      <c r="AM199" s="298">
        <f>SUM(Y199:AL199)</f>
        <v>1</v>
      </c>
    </row>
    <row r="200" spans="1:39" ht="15" hidden="1"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1</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5"/>
    </row>
    <row r="201" spans="1:39" ht="15" hidden="1"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hidden="1" outlineLevel="1">
      <c r="A202" s="510"/>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hidden="1" outlineLevel="1">
      <c r="A203" s="509">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hidden="1"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5"/>
    </row>
    <row r="205" spans="1:39" ht="15" hidden="1" outlineLevel="1">
      <c r="A205" s="512"/>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hidden="1" outlineLevel="1">
      <c r="A206" s="509">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hidden="1"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5"/>
    </row>
    <row r="208" spans="1:39" ht="15" hidden="1"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hidden="1" outlineLevel="1">
      <c r="A209" s="509">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hidden="1"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5"/>
    </row>
    <row r="211" spans="1:39" ht="15" hidden="1"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hidden="1" outlineLevel="1">
      <c r="A212" s="509">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hidden="1"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5"/>
    </row>
    <row r="214" spans="1:39" ht="15" hidden="1"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hidden="1" outlineLevel="1">
      <c r="A215" s="509">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hidden="1"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5"/>
    </row>
    <row r="217" spans="1:39" ht="15" hidden="1"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hidden="1" outlineLevel="1">
      <c r="A218" s="510"/>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hidden="1" outlineLevel="1">
      <c r="A219" s="509">
        <v>23</v>
      </c>
      <c r="B219" s="317" t="s">
        <v>14</v>
      </c>
      <c r="C219" s="293" t="s">
        <v>25</v>
      </c>
      <c r="D219" s="297">
        <v>14523.323989868164</v>
      </c>
      <c r="E219" s="297">
        <v>14523.324035644531</v>
      </c>
      <c r="F219" s="297">
        <v>14523.324035644531</v>
      </c>
      <c r="G219" s="297">
        <v>13687.323989868166</v>
      </c>
      <c r="H219" s="297">
        <v>13372.323989868162</v>
      </c>
      <c r="I219" s="297">
        <v>13372.323989868162</v>
      </c>
      <c r="J219" s="297">
        <v>12900.15998840332</v>
      </c>
      <c r="K219" s="297">
        <v>12159.940002441406</v>
      </c>
      <c r="L219" s="297">
        <v>3699.9400024414063</v>
      </c>
      <c r="M219" s="297">
        <v>3699.9400024414063</v>
      </c>
      <c r="N219" s="293"/>
      <c r="O219" s="297">
        <v>1.1396128369960934</v>
      </c>
      <c r="P219" s="297">
        <v>1.0961857405491173</v>
      </c>
      <c r="Q219" s="297">
        <v>1.0961857405491173</v>
      </c>
      <c r="R219" s="297">
        <v>1.0961857405491173</v>
      </c>
      <c r="S219" s="297">
        <v>1.0961857405491173</v>
      </c>
      <c r="T219" s="297">
        <v>1.0961857405491173</v>
      </c>
      <c r="U219" s="297">
        <v>1.0716585735790434</v>
      </c>
      <c r="V219" s="297">
        <v>1.0716585735790434</v>
      </c>
      <c r="W219" s="297">
        <v>0.63219298096373677</v>
      </c>
      <c r="X219" s="297">
        <v>0.63219298096373677</v>
      </c>
      <c r="Y219" s="417">
        <v>1</v>
      </c>
      <c r="Z219" s="417">
        <v>0</v>
      </c>
      <c r="AA219" s="417">
        <v>0</v>
      </c>
      <c r="AB219" s="412"/>
      <c r="AC219" s="412"/>
      <c r="AD219" s="412"/>
      <c r="AE219" s="412"/>
      <c r="AF219" s="412"/>
      <c r="AG219" s="412"/>
      <c r="AH219" s="412"/>
      <c r="AI219" s="412"/>
      <c r="AJ219" s="412"/>
      <c r="AK219" s="412"/>
      <c r="AL219" s="412"/>
      <c r="AM219" s="298">
        <f>SUM(Y219:AL219)</f>
        <v>1</v>
      </c>
    </row>
    <row r="220" spans="1:39" ht="15" hidden="1" outlineLevel="1">
      <c r="B220" s="296" t="s">
        <v>245</v>
      </c>
      <c r="C220" s="293" t="s">
        <v>164</v>
      </c>
      <c r="D220" s="297"/>
      <c r="E220" s="297"/>
      <c r="F220" s="297"/>
      <c r="G220" s="297"/>
      <c r="H220" s="297"/>
      <c r="I220" s="297"/>
      <c r="J220" s="297"/>
      <c r="K220" s="297"/>
      <c r="L220" s="297"/>
      <c r="M220" s="297"/>
      <c r="N220" s="469"/>
      <c r="O220" s="297"/>
      <c r="P220" s="297"/>
      <c r="Q220" s="297"/>
      <c r="R220" s="297"/>
      <c r="S220" s="297"/>
      <c r="T220" s="297"/>
      <c r="U220" s="297"/>
      <c r="V220" s="297"/>
      <c r="W220" s="297"/>
      <c r="X220" s="297"/>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5"/>
    </row>
    <row r="221" spans="1:39" ht="15" hidden="1"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hidden="1" outlineLevel="1">
      <c r="A222" s="510"/>
      <c r="B222" s="290" t="s">
        <v>490</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hidden="1" outlineLevel="1">
      <c r="A223" s="509">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hidden="1" outlineLevel="1">
      <c r="A224" s="509"/>
      <c r="B224" s="317" t="s">
        <v>245</v>
      </c>
      <c r="C224" s="293" t="s">
        <v>164</v>
      </c>
      <c r="D224" s="297"/>
      <c r="E224" s="297"/>
      <c r="F224" s="297"/>
      <c r="G224" s="297"/>
      <c r="H224" s="297"/>
      <c r="I224" s="297"/>
      <c r="J224" s="297"/>
      <c r="K224" s="297"/>
      <c r="L224" s="297"/>
      <c r="M224" s="297"/>
      <c r="N224" s="469"/>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5"/>
    </row>
    <row r="225" spans="1:39" s="285" customFormat="1" ht="15" hidden="1" outlineLevel="1">
      <c r="A225" s="509"/>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hidden="1" outlineLevel="1">
      <c r="A226" s="509">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hidden="1" outlineLevel="1">
      <c r="A227" s="509"/>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5"/>
    </row>
    <row r="228" spans="1:39" s="285" customFormat="1" ht="15" hidden="1" outlineLevel="1">
      <c r="A228" s="509"/>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hidden="1" outlineLevel="1">
      <c r="A229" s="510"/>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hidden="1" outlineLevel="1">
      <c r="A230" s="509">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0"/>
      <c r="AB230" s="417"/>
      <c r="AC230" s="417"/>
      <c r="AD230" s="417"/>
      <c r="AE230" s="417"/>
      <c r="AF230" s="417"/>
      <c r="AG230" s="417"/>
      <c r="AH230" s="417"/>
      <c r="AI230" s="417"/>
      <c r="AJ230" s="417"/>
      <c r="AK230" s="417"/>
      <c r="AL230" s="417"/>
      <c r="AM230" s="298">
        <f>SUM(Y230:AL230)</f>
        <v>0</v>
      </c>
    </row>
    <row r="231" spans="1:39" ht="15" hidden="1"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5"/>
    </row>
    <row r="232" spans="1:39" ht="15" hidden="1" outlineLevel="1">
      <c r="A232" s="512"/>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hidden="1" outlineLevel="1">
      <c r="A233" s="509">
        <v>27</v>
      </c>
      <c r="B233" s="323" t="s">
        <v>17</v>
      </c>
      <c r="C233" s="293" t="s">
        <v>25</v>
      </c>
      <c r="D233" s="297">
        <v>312.86289399373942</v>
      </c>
      <c r="E233" s="297">
        <v>312.86289399373942</v>
      </c>
      <c r="F233" s="297">
        <v>312.86289399373942</v>
      </c>
      <c r="G233" s="297">
        <v>312.86289399373942</v>
      </c>
      <c r="H233" s="297">
        <v>312.86289399373942</v>
      </c>
      <c r="I233" s="297">
        <v>312.86289399373942</v>
      </c>
      <c r="J233" s="297">
        <v>312.86289399373942</v>
      </c>
      <c r="K233" s="297">
        <v>312.86289399373942</v>
      </c>
      <c r="L233" s="297">
        <v>312.86289399373942</v>
      </c>
      <c r="M233" s="297">
        <v>312.86289399373942</v>
      </c>
      <c r="N233" s="297">
        <v>12</v>
      </c>
      <c r="O233" s="297">
        <v>0.32292648347659642</v>
      </c>
      <c r="P233" s="297">
        <v>0.32292648347659642</v>
      </c>
      <c r="Q233" s="297">
        <v>0.32292648347659642</v>
      </c>
      <c r="R233" s="297">
        <v>0.32292648347659642</v>
      </c>
      <c r="S233" s="297">
        <v>0.32292648347659642</v>
      </c>
      <c r="T233" s="297">
        <v>0.32292648347659642</v>
      </c>
      <c r="U233" s="297">
        <v>0.32292648347659642</v>
      </c>
      <c r="V233" s="297">
        <v>0.32292648347659642</v>
      </c>
      <c r="W233" s="297">
        <v>0.32292648347659642</v>
      </c>
      <c r="X233" s="297">
        <v>0.32292648347659642</v>
      </c>
      <c r="Y233" s="417">
        <v>0</v>
      </c>
      <c r="Z233" s="417">
        <v>0</v>
      </c>
      <c r="AA233" s="417">
        <v>1</v>
      </c>
      <c r="AB233" s="417"/>
      <c r="AC233" s="417"/>
      <c r="AD233" s="417"/>
      <c r="AE233" s="417"/>
      <c r="AF233" s="417"/>
      <c r="AG233" s="417"/>
      <c r="AH233" s="417"/>
      <c r="AI233" s="417"/>
      <c r="AJ233" s="417"/>
      <c r="AK233" s="417"/>
      <c r="AL233" s="417"/>
      <c r="AM233" s="298">
        <f>SUM(Y233:AL233)</f>
        <v>1</v>
      </c>
    </row>
    <row r="234" spans="1:39" ht="15" hidden="1"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1</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5"/>
    </row>
    <row r="235" spans="1:39" ht="15.75" hidden="1" outlineLevel="1">
      <c r="A235" s="512"/>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hidden="1" outlineLevel="1">
      <c r="A236" s="509">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hidden="1"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5"/>
    </row>
    <row r="238" spans="1:39" ht="15" hidden="1" outlineLevel="1">
      <c r="A238" s="512"/>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hidden="1" outlineLevel="1">
      <c r="A239" s="509">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hidden="1"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5"/>
    </row>
    <row r="241" spans="1:39" ht="15" hidden="1"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hidden="1" outlineLevel="1">
      <c r="A242" s="509">
        <v>30</v>
      </c>
      <c r="B242" s="326" t="s">
        <v>491</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hidden="1" outlineLevel="1">
      <c r="A243" s="509"/>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5"/>
    </row>
    <row r="244" spans="1:39" s="285" customFormat="1" ht="15" hidden="1" outlineLevel="1">
      <c r="A244" s="509"/>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hidden="1" outlineLevel="1">
      <c r="A245" s="509"/>
      <c r="B245" s="290" t="s">
        <v>492</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hidden="1" outlineLevel="1">
      <c r="A246" s="509">
        <v>31</v>
      </c>
      <c r="B246" s="326" t="s">
        <v>493</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hidden="1" outlineLevel="1">
      <c r="A247" s="509"/>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5"/>
    </row>
    <row r="248" spans="1:39" s="285" customFormat="1" ht="15" hidden="1" outlineLevel="1">
      <c r="A248" s="509"/>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hidden="1" outlineLevel="1">
      <c r="A249" s="509">
        <v>32</v>
      </c>
      <c r="B249" s="326" t="s">
        <v>494</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hidden="1" outlineLevel="1">
      <c r="A250" s="509"/>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5"/>
    </row>
    <row r="251" spans="1:39" s="285" customFormat="1" ht="15" hidden="1" outlineLevel="1">
      <c r="A251" s="509"/>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hidden="1" outlineLevel="1">
      <c r="A252" s="509">
        <v>33</v>
      </c>
      <c r="B252" s="326" t="s">
        <v>495</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hidden="1" outlineLevel="1">
      <c r="A253" s="509"/>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5"/>
    </row>
    <row r="254" spans="1:39" ht="15" hidden="1"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ollapsed="1">
      <c r="B255" s="329" t="s">
        <v>246</v>
      </c>
      <c r="C255" s="331"/>
      <c r="D255" s="331">
        <f>SUM(D150:D253)</f>
        <v>1720378.7304337192</v>
      </c>
      <c r="E255" s="331"/>
      <c r="F255" s="331"/>
      <c r="G255" s="331"/>
      <c r="H255" s="331"/>
      <c r="I255" s="331"/>
      <c r="J255" s="331"/>
      <c r="K255" s="331"/>
      <c r="L255" s="331"/>
      <c r="M255" s="331"/>
      <c r="N255" s="331"/>
      <c r="O255" s="331">
        <f>SUM(O150:O253)</f>
        <v>390.51831965121227</v>
      </c>
      <c r="P255" s="331"/>
      <c r="Q255" s="331"/>
      <c r="R255" s="331"/>
      <c r="S255" s="331"/>
      <c r="T255" s="331"/>
      <c r="U255" s="331"/>
      <c r="V255" s="331"/>
      <c r="W255" s="331"/>
      <c r="X255" s="331"/>
      <c r="Y255" s="331">
        <f>IF(Y149="kWh",SUMPRODUCT(D150:D253,Y150:Y253))</f>
        <v>182798.36813494764</v>
      </c>
      <c r="Z255" s="331">
        <f>IF(Z149="kWh",SUMPRODUCT(D150:D253,Z150:Z253))</f>
        <v>1315959.2766886191</v>
      </c>
      <c r="AA255" s="331">
        <f>IF(AA149="kW",SUMPRODUCT(N150:N253,O150:O253,AA150:AA253),SUMPRODUCT(D150:D253,AA150:AA253))</f>
        <v>490.35930152505102</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1.6799999999999999E-2</v>
      </c>
      <c r="Z258" s="343">
        <f>HLOOKUP(Z$20,'3.  Distribution Rates'!$C$122:$P$133,4,FALSE)</f>
        <v>1.12E-2</v>
      </c>
      <c r="AA258" s="343">
        <f>HLOOKUP(AA$20,'3.  Distribution Rates'!$C$122:$P$133,4,FALSE)</f>
        <v>2.6152000000000002</v>
      </c>
      <c r="AB258" s="343">
        <f>HLOOKUP(AB$20,'3.  Distribution Rates'!$C$122:$P$133,4,FALSE)</f>
        <v>13.776899999999999</v>
      </c>
      <c r="AC258" s="343">
        <f>HLOOKUP(AC$20,'3.  Distribution Rates'!$C$122:$P$133,4,FALSE)</f>
        <v>1.7000000000000001E-2</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4364.6339894537041</v>
      </c>
      <c r="Z259" s="380">
        <f t="shared" si="70"/>
        <v>3522.0342817607043</v>
      </c>
      <c r="AA259" s="380">
        <f t="shared" si="70"/>
        <v>1370.0614368000001</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9">
        <f>SUM(Y259:AL259)</f>
        <v>9256.729708014409</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3071.0125846671203</v>
      </c>
      <c r="Z260" s="380">
        <f t="shared" si="71"/>
        <v>14738.743898912533</v>
      </c>
      <c r="AA260" s="381">
        <f t="shared" si="71"/>
        <v>1282.3876453483135</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9">
        <f>SUM(Y260:AL260)</f>
        <v>19092.144128927968</v>
      </c>
    </row>
    <row r="261" spans="1:41" s="382" customFormat="1" ht="15.75">
      <c r="A261" s="511"/>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7435.6465741208249</v>
      </c>
      <c r="Z261" s="348">
        <f t="shared" ref="Z261:AE261" si="73">SUM(Z259:Z260)</f>
        <v>18260.778180673238</v>
      </c>
      <c r="AA261" s="348">
        <f t="shared" si="73"/>
        <v>2652.4490821483137</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28348.873836942377</v>
      </c>
    </row>
    <row r="262" spans="1:41" s="382" customFormat="1" ht="15.75">
      <c r="A262" s="511"/>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1"/>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28348.873836942377</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182798.36818072401</v>
      </c>
      <c r="Z265" s="293">
        <f>SUMPRODUCT(E150:E253,Z150:Z253)</f>
        <v>1297115.8661354829</v>
      </c>
      <c r="AA265" s="293">
        <f>IF(AA149="kW",SUMPRODUCT(N150:N253,P150:P253,AA150:AA253),SUMPRODUCT(E150:E253,AA150:AA253))</f>
        <v>473.49838928184579</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182798.36818072401</v>
      </c>
      <c r="Z266" s="293">
        <f>SUMPRODUCT(F150:F253,Z150:Z253)</f>
        <v>1295798.6384797627</v>
      </c>
      <c r="AA266" s="293">
        <f>IF(AA149="kW",SUMPRODUCT(N150:N253,Q150:Q253,AA150:AA253),SUMPRODUCT(F150:F253,AA150:AA253))</f>
        <v>472.31974596540448</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181956.93527149782</v>
      </c>
      <c r="Z267" s="293">
        <f>SUMPRODUCT(G150:G253,Z150:Z253)</f>
        <v>1201087.695349924</v>
      </c>
      <c r="AA267" s="293">
        <f>IF(AA149="kW",SUMPRODUCT(N150:N253,R150:R253,AA150:AA253),SUMPRODUCT(G150:G253,AA150:AA253))</f>
        <v>444.70012641610521</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161602.94655746734</v>
      </c>
      <c r="Z268" s="293">
        <f>SUMPRODUCT(H150:H253,Z150:Z253)</f>
        <v>1201087.695349924</v>
      </c>
      <c r="AA268" s="293">
        <f>IF(AA149="kW",SUMPRODUCT(N150:N253,S150:S253,AA150:AA253),SUMPRODUCT(H150:H253,AA150:AA253))</f>
        <v>444.70012641610521</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121505.36898959364</v>
      </c>
      <c r="Z269" s="293">
        <f>SUMPRODUCT(I150:I253,Z150:Z253)</f>
        <v>1103835.7690758803</v>
      </c>
      <c r="AA269" s="293">
        <f>IF(AA149="kW",SUMPRODUCT(N150:N253,T150:T253,AA150:AA253),SUMPRODUCT(I150:I253,AA150:AA253))</f>
        <v>442.63631031517605</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101166.14940672874</v>
      </c>
      <c r="Z270" s="293">
        <f>SUMPRODUCT(J150:J253,Z150:Z253)</f>
        <v>1092090.8094887089</v>
      </c>
      <c r="AA270" s="293">
        <f>IF(AA149="kW",SUMPRODUCT(N150:N253,U150:U253,AA150:AA253),SUMPRODUCT(J150:J253,AA150:AA253))</f>
        <v>431.11492907310736</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100336.37840540743</v>
      </c>
      <c r="Z271" s="293">
        <f>SUMPRODUCT(K150:K253,Z150:Z253)</f>
        <v>1092090.8094887089</v>
      </c>
      <c r="AA271" s="293">
        <f>IF(AA149="kW",SUMPRODUCT(N150:N253,V150:V253,AA150:AA253),SUMPRODUCT(K150:K253,AA150:AA253))</f>
        <v>431.11492907310736</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91876.378405407435</v>
      </c>
      <c r="Z272" s="328">
        <f>SUMPRODUCT(L150:L253,Z150:Z253)</f>
        <v>1028926.7030461126</v>
      </c>
      <c r="AA272" s="328">
        <f>IF(AA149="kW",SUMPRODUCT(N150:N253,W150:W253,AA150:AA253),SUMPRODUCT(L150:L253,AA150:AA253))</f>
        <v>379.89106674314036</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592</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249</v>
      </c>
      <c r="C275" s="283"/>
      <c r="D275" s="592" t="s">
        <v>528</v>
      </c>
      <c r="E275" s="590"/>
      <c r="O275" s="283"/>
      <c r="Y275" s="272"/>
      <c r="Z275" s="269"/>
      <c r="AA275" s="269"/>
      <c r="AB275" s="269"/>
      <c r="AC275" s="269"/>
      <c r="AD275" s="269"/>
      <c r="AE275" s="269"/>
      <c r="AF275" s="269"/>
      <c r="AG275" s="269"/>
      <c r="AH275" s="269"/>
      <c r="AI275" s="269"/>
      <c r="AJ275" s="269"/>
      <c r="AK275" s="269"/>
      <c r="AL275" s="269"/>
      <c r="AM275" s="284"/>
    </row>
    <row r="276" spans="1:39" ht="33" customHeight="1">
      <c r="B276" s="870" t="s">
        <v>212</v>
      </c>
      <c r="C276" s="872" t="s">
        <v>33</v>
      </c>
      <c r="D276" s="286" t="s">
        <v>424</v>
      </c>
      <c r="E276" s="874" t="s">
        <v>210</v>
      </c>
      <c r="F276" s="875"/>
      <c r="G276" s="875"/>
      <c r="H276" s="875"/>
      <c r="I276" s="875"/>
      <c r="J276" s="875"/>
      <c r="K276" s="875"/>
      <c r="L276" s="875"/>
      <c r="M276" s="876"/>
      <c r="N276" s="880" t="s">
        <v>214</v>
      </c>
      <c r="O276" s="286" t="s">
        <v>425</v>
      </c>
      <c r="P276" s="874" t="s">
        <v>213</v>
      </c>
      <c r="Q276" s="875"/>
      <c r="R276" s="875"/>
      <c r="S276" s="875"/>
      <c r="T276" s="875"/>
      <c r="U276" s="875"/>
      <c r="V276" s="875"/>
      <c r="W276" s="875"/>
      <c r="X276" s="876"/>
      <c r="Y276" s="877" t="s">
        <v>244</v>
      </c>
      <c r="Z276" s="878"/>
      <c r="AA276" s="878"/>
      <c r="AB276" s="878"/>
      <c r="AC276" s="878"/>
      <c r="AD276" s="878"/>
      <c r="AE276" s="878"/>
      <c r="AF276" s="878"/>
      <c r="AG276" s="878"/>
      <c r="AH276" s="878"/>
      <c r="AI276" s="878"/>
      <c r="AJ276" s="878"/>
      <c r="AK276" s="878"/>
      <c r="AL276" s="878"/>
      <c r="AM276" s="879"/>
    </row>
    <row r="277" spans="1:39" ht="60.75" customHeight="1">
      <c r="B277" s="871"/>
      <c r="C277" s="873"/>
      <c r="D277" s="287">
        <v>2013</v>
      </c>
      <c r="E277" s="287">
        <v>2014</v>
      </c>
      <c r="F277" s="287">
        <v>2015</v>
      </c>
      <c r="G277" s="287">
        <v>2016</v>
      </c>
      <c r="H277" s="287">
        <v>2017</v>
      </c>
      <c r="I277" s="287">
        <v>2018</v>
      </c>
      <c r="J277" s="287">
        <v>2019</v>
      </c>
      <c r="K277" s="287">
        <v>2020</v>
      </c>
      <c r="L277" s="287">
        <v>2021</v>
      </c>
      <c r="M277" s="287">
        <v>2022</v>
      </c>
      <c r="N277" s="881"/>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GS&gt;50 kW</v>
      </c>
      <c r="AB277" s="287" t="str">
        <f>'1.  LRAMVA Summary'!G50</f>
        <v>Streetlights</v>
      </c>
      <c r="AC277" s="287" t="str">
        <f>'1.  LRAMVA Summary'!H50</f>
        <v>Unmetered Scattered Load</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0"/>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KWh</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hidden="1" outlineLevel="1">
      <c r="A279" s="509">
        <v>1</v>
      </c>
      <c r="B279" s="296" t="s">
        <v>1</v>
      </c>
      <c r="C279" s="293" t="s">
        <v>25</v>
      </c>
      <c r="D279" s="297">
        <v>19121.613504303874</v>
      </c>
      <c r="E279" s="297">
        <v>19121.613504303874</v>
      </c>
      <c r="F279" s="297">
        <v>19121.613504303874</v>
      </c>
      <c r="G279" s="297">
        <v>19019.068985970542</v>
      </c>
      <c r="H279" s="297">
        <v>10735.90253343334</v>
      </c>
      <c r="I279" s="297">
        <v>0</v>
      </c>
      <c r="J279" s="297">
        <v>0</v>
      </c>
      <c r="K279" s="297">
        <v>0</v>
      </c>
      <c r="L279" s="297">
        <v>0</v>
      </c>
      <c r="M279" s="297">
        <v>0</v>
      </c>
      <c r="N279" s="293"/>
      <c r="O279" s="297">
        <v>2.9523212232111886</v>
      </c>
      <c r="P279" s="297">
        <v>2.9523212232111886</v>
      </c>
      <c r="Q279" s="297">
        <v>2.9523212232111886</v>
      </c>
      <c r="R279" s="297">
        <v>2.847537193591164</v>
      </c>
      <c r="S279" s="297">
        <v>1.5778427170262748</v>
      </c>
      <c r="T279" s="297">
        <v>0</v>
      </c>
      <c r="U279" s="297">
        <v>0</v>
      </c>
      <c r="V279" s="297">
        <v>0</v>
      </c>
      <c r="W279" s="297">
        <v>0</v>
      </c>
      <c r="X279" s="297">
        <v>0</v>
      </c>
      <c r="Y279" s="417">
        <v>1</v>
      </c>
      <c r="Z279" s="417">
        <v>0</v>
      </c>
      <c r="AA279" s="417">
        <v>0</v>
      </c>
      <c r="AB279" s="412"/>
      <c r="AC279" s="412"/>
      <c r="AD279" s="412"/>
      <c r="AE279" s="412"/>
      <c r="AF279" s="412"/>
      <c r="AG279" s="412"/>
      <c r="AH279" s="412"/>
      <c r="AI279" s="412"/>
      <c r="AJ279" s="412"/>
      <c r="AK279" s="412"/>
      <c r="AL279" s="412"/>
      <c r="AM279" s="298">
        <f>SUM(Y279:AL279)</f>
        <v>1</v>
      </c>
    </row>
    <row r="280" spans="1:39" ht="15" hidden="1" outlineLevel="1">
      <c r="B280" s="296" t="s">
        <v>250</v>
      </c>
      <c r="C280" s="293" t="s">
        <v>164</v>
      </c>
      <c r="D280" s="297"/>
      <c r="E280" s="297"/>
      <c r="F280" s="297"/>
      <c r="G280" s="297"/>
      <c r="H280" s="297"/>
      <c r="I280" s="297"/>
      <c r="J280" s="297"/>
      <c r="K280" s="297"/>
      <c r="L280" s="297"/>
      <c r="M280" s="297"/>
      <c r="N280" s="469"/>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hidden="1" outlineLevel="1">
      <c r="A281" s="511"/>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hidden="1" outlineLevel="1">
      <c r="A282" s="509">
        <v>2</v>
      </c>
      <c r="B282" s="296" t="s">
        <v>2</v>
      </c>
      <c r="C282" s="293" t="s">
        <v>25</v>
      </c>
      <c r="D282" s="297">
        <v>7758.2374371089982</v>
      </c>
      <c r="E282" s="297">
        <v>7758.2374371089982</v>
      </c>
      <c r="F282" s="297">
        <v>7758.2374371089982</v>
      </c>
      <c r="G282" s="297">
        <v>7758.2374371089982</v>
      </c>
      <c r="H282" s="297">
        <v>0</v>
      </c>
      <c r="I282" s="297">
        <v>0</v>
      </c>
      <c r="J282" s="297">
        <v>0</v>
      </c>
      <c r="K282" s="297">
        <v>0</v>
      </c>
      <c r="L282" s="297">
        <v>0</v>
      </c>
      <c r="M282" s="297">
        <v>0</v>
      </c>
      <c r="N282" s="293"/>
      <c r="O282" s="297">
        <v>4.3510760798331551</v>
      </c>
      <c r="P282" s="297">
        <v>4.3510760798331551</v>
      </c>
      <c r="Q282" s="297">
        <v>4.3510760798331551</v>
      </c>
      <c r="R282" s="297">
        <v>4.3510760798331551</v>
      </c>
      <c r="S282" s="297">
        <v>0</v>
      </c>
      <c r="T282" s="297">
        <v>0</v>
      </c>
      <c r="U282" s="297">
        <v>0</v>
      </c>
      <c r="V282" s="297">
        <v>0</v>
      </c>
      <c r="W282" s="297">
        <v>0</v>
      </c>
      <c r="X282" s="297">
        <v>0</v>
      </c>
      <c r="Y282" s="417">
        <v>1</v>
      </c>
      <c r="Z282" s="417">
        <v>0</v>
      </c>
      <c r="AA282" s="417">
        <v>0</v>
      </c>
      <c r="AB282" s="412"/>
      <c r="AC282" s="412"/>
      <c r="AD282" s="412"/>
      <c r="AE282" s="412"/>
      <c r="AF282" s="412"/>
      <c r="AG282" s="412"/>
      <c r="AH282" s="412"/>
      <c r="AI282" s="412"/>
      <c r="AJ282" s="412"/>
      <c r="AK282" s="412"/>
      <c r="AL282" s="412"/>
      <c r="AM282" s="298">
        <f>SUM(Y282:AL282)</f>
        <v>1</v>
      </c>
    </row>
    <row r="283" spans="1:39" ht="15" hidden="1" outlineLevel="1">
      <c r="B283" s="296" t="s">
        <v>250</v>
      </c>
      <c r="C283" s="293" t="s">
        <v>164</v>
      </c>
      <c r="D283" s="297"/>
      <c r="E283" s="297"/>
      <c r="F283" s="297"/>
      <c r="G283" s="297"/>
      <c r="H283" s="297"/>
      <c r="I283" s="297"/>
      <c r="J283" s="297"/>
      <c r="K283" s="297"/>
      <c r="L283" s="297"/>
      <c r="M283" s="297"/>
      <c r="N283" s="469"/>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hidden="1" outlineLevel="1">
      <c r="A284" s="511"/>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hidden="1" outlineLevel="1">
      <c r="A285" s="509">
        <v>3</v>
      </c>
      <c r="B285" s="296" t="s">
        <v>3</v>
      </c>
      <c r="C285" s="293" t="s">
        <v>25</v>
      </c>
      <c r="D285" s="297">
        <v>63246.155788642405</v>
      </c>
      <c r="E285" s="297">
        <v>63246.155788642405</v>
      </c>
      <c r="F285" s="297">
        <v>63246.155788642405</v>
      </c>
      <c r="G285" s="297">
        <v>63246.155788642405</v>
      </c>
      <c r="H285" s="297">
        <v>63246.155788642405</v>
      </c>
      <c r="I285" s="297">
        <v>63246.155788642405</v>
      </c>
      <c r="J285" s="297">
        <v>63246.155788642405</v>
      </c>
      <c r="K285" s="297">
        <v>63246.155788642405</v>
      </c>
      <c r="L285" s="297">
        <v>63246.155788642405</v>
      </c>
      <c r="M285" s="297">
        <v>63246.155788642405</v>
      </c>
      <c r="N285" s="293"/>
      <c r="O285" s="297">
        <v>34.690399470213158</v>
      </c>
      <c r="P285" s="297">
        <v>34.690399470213158</v>
      </c>
      <c r="Q285" s="297">
        <v>34.690399470213158</v>
      </c>
      <c r="R285" s="297">
        <v>34.690399470213158</v>
      </c>
      <c r="S285" s="297">
        <v>34.690399470213158</v>
      </c>
      <c r="T285" s="297">
        <v>34.690399470213158</v>
      </c>
      <c r="U285" s="297">
        <v>34.690399470213158</v>
      </c>
      <c r="V285" s="297">
        <v>34.690399470213158</v>
      </c>
      <c r="W285" s="297">
        <v>34.690399470213158</v>
      </c>
      <c r="X285" s="297">
        <v>34.690399470213158</v>
      </c>
      <c r="Y285" s="417">
        <v>1</v>
      </c>
      <c r="Z285" s="417">
        <v>0</v>
      </c>
      <c r="AA285" s="417">
        <v>0</v>
      </c>
      <c r="AB285" s="412"/>
      <c r="AC285" s="412"/>
      <c r="AD285" s="412"/>
      <c r="AE285" s="412"/>
      <c r="AF285" s="412"/>
      <c r="AG285" s="412"/>
      <c r="AH285" s="412"/>
      <c r="AI285" s="412"/>
      <c r="AJ285" s="412"/>
      <c r="AK285" s="412"/>
      <c r="AL285" s="412"/>
      <c r="AM285" s="298">
        <f>SUM(Y285:AL285)</f>
        <v>1</v>
      </c>
    </row>
    <row r="286" spans="1:39" ht="15" hidden="1" outlineLevel="1">
      <c r="B286" s="296" t="s">
        <v>250</v>
      </c>
      <c r="C286" s="293" t="s">
        <v>164</v>
      </c>
      <c r="D286" s="297"/>
      <c r="E286" s="297"/>
      <c r="F286" s="297"/>
      <c r="G286" s="297"/>
      <c r="H286" s="297"/>
      <c r="I286" s="297"/>
      <c r="J286" s="297"/>
      <c r="K286" s="297"/>
      <c r="L286" s="297"/>
      <c r="M286" s="297"/>
      <c r="N286" s="469"/>
      <c r="O286" s="297"/>
      <c r="P286" s="297"/>
      <c r="Q286" s="297"/>
      <c r="R286" s="297"/>
      <c r="S286" s="297"/>
      <c r="T286" s="297"/>
      <c r="U286" s="297"/>
      <c r="V286" s="297"/>
      <c r="W286" s="297"/>
      <c r="X286" s="297"/>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hidden="1"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hidden="1" outlineLevel="1">
      <c r="A288" s="509">
        <v>4</v>
      </c>
      <c r="B288" s="296" t="s">
        <v>4</v>
      </c>
      <c r="C288" s="293" t="s">
        <v>25</v>
      </c>
      <c r="D288" s="297">
        <v>22093</v>
      </c>
      <c r="E288" s="297">
        <v>22093</v>
      </c>
      <c r="F288" s="297">
        <v>20610.459973497607</v>
      </c>
      <c r="G288" s="297">
        <v>19894.005094043372</v>
      </c>
      <c r="H288" s="297">
        <v>19894.005094043372</v>
      </c>
      <c r="I288" s="297">
        <v>19894.005094043372</v>
      </c>
      <c r="J288" s="297">
        <v>19894.005094043372</v>
      </c>
      <c r="K288" s="297">
        <v>19894.005094043372</v>
      </c>
      <c r="L288" s="297">
        <v>19040.172781679059</v>
      </c>
      <c r="M288" s="297">
        <v>19040.172781679059</v>
      </c>
      <c r="N288" s="293"/>
      <c r="O288" s="297">
        <v>1</v>
      </c>
      <c r="P288" s="297">
        <v>0.93289548605882433</v>
      </c>
      <c r="Q288" s="297">
        <v>0.90046644158979638</v>
      </c>
      <c r="R288" s="297">
        <v>0.90046644158979638</v>
      </c>
      <c r="S288" s="297">
        <v>0.90046644158979638</v>
      </c>
      <c r="T288" s="297">
        <v>0.90046644158979638</v>
      </c>
      <c r="U288" s="297">
        <v>0.90046644158979638</v>
      </c>
      <c r="V288" s="297">
        <v>0.86181925413837235</v>
      </c>
      <c r="W288" s="297">
        <v>0.86181925413837235</v>
      </c>
      <c r="X288" s="297">
        <v>0.71400096049362416</v>
      </c>
      <c r="Y288" s="417">
        <v>1</v>
      </c>
      <c r="Z288" s="417">
        <v>0</v>
      </c>
      <c r="AA288" s="417">
        <v>0</v>
      </c>
      <c r="AB288" s="412"/>
      <c r="AC288" s="412"/>
      <c r="AD288" s="412"/>
      <c r="AE288" s="412"/>
      <c r="AF288" s="412"/>
      <c r="AG288" s="412"/>
      <c r="AH288" s="412"/>
      <c r="AI288" s="412"/>
      <c r="AJ288" s="412"/>
      <c r="AK288" s="412"/>
      <c r="AL288" s="412"/>
      <c r="AM288" s="298">
        <f>SUM(Y288:AL288)</f>
        <v>1</v>
      </c>
    </row>
    <row r="289" spans="1:39" ht="15" hidden="1" outlineLevel="1">
      <c r="B289" s="296" t="s">
        <v>250</v>
      </c>
      <c r="C289" s="293" t="s">
        <v>164</v>
      </c>
      <c r="D289" s="297"/>
      <c r="E289" s="297"/>
      <c r="F289" s="297"/>
      <c r="G289" s="297"/>
      <c r="H289" s="297"/>
      <c r="I289" s="297"/>
      <c r="J289" s="297"/>
      <c r="K289" s="297"/>
      <c r="L289" s="297"/>
      <c r="M289" s="297"/>
      <c r="N289" s="469"/>
      <c r="O289" s="297"/>
      <c r="P289" s="297"/>
      <c r="Q289" s="297"/>
      <c r="R289" s="297"/>
      <c r="S289" s="297"/>
      <c r="T289" s="297"/>
      <c r="U289" s="297"/>
      <c r="V289" s="297"/>
      <c r="W289" s="297"/>
      <c r="X289" s="297"/>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hidden="1"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hidden="1" outlineLevel="1">
      <c r="A291" s="509">
        <v>5</v>
      </c>
      <c r="B291" s="296" t="s">
        <v>5</v>
      </c>
      <c r="C291" s="293" t="s">
        <v>25</v>
      </c>
      <c r="D291" s="297">
        <v>49096</v>
      </c>
      <c r="E291" s="297">
        <v>49096</v>
      </c>
      <c r="F291" s="297">
        <v>42590.261380968041</v>
      </c>
      <c r="G291" s="297">
        <v>39199.830635316241</v>
      </c>
      <c r="H291" s="297">
        <v>39199.830635316241</v>
      </c>
      <c r="I291" s="297">
        <v>39199.830635316241</v>
      </c>
      <c r="J291" s="297">
        <v>39199.830635316241</v>
      </c>
      <c r="K291" s="297">
        <v>39199.830635316241</v>
      </c>
      <c r="L291" s="297">
        <v>39182.849863746684</v>
      </c>
      <c r="M291" s="297">
        <v>39182.849863746684</v>
      </c>
      <c r="N291" s="293"/>
      <c r="O291" s="297">
        <v>3</v>
      </c>
      <c r="P291" s="297">
        <v>2.6024683099010941</v>
      </c>
      <c r="Q291" s="297">
        <v>2.3952968043414682</v>
      </c>
      <c r="R291" s="297">
        <v>2.3952968043414682</v>
      </c>
      <c r="S291" s="297">
        <v>2.3952968043414682</v>
      </c>
      <c r="T291" s="297">
        <v>2.3952968043414682</v>
      </c>
      <c r="U291" s="297">
        <v>2.3952968043414682</v>
      </c>
      <c r="V291" s="297">
        <v>2.3942591981269361</v>
      </c>
      <c r="W291" s="297">
        <v>2.3942591981269361</v>
      </c>
      <c r="X291" s="297">
        <v>2.2267940713945822</v>
      </c>
      <c r="Y291" s="417">
        <v>1</v>
      </c>
      <c r="Z291" s="417">
        <v>0</v>
      </c>
      <c r="AA291" s="417">
        <v>0</v>
      </c>
      <c r="AB291" s="412"/>
      <c r="AC291" s="412"/>
      <c r="AD291" s="412"/>
      <c r="AE291" s="412"/>
      <c r="AF291" s="412"/>
      <c r="AG291" s="412"/>
      <c r="AH291" s="412"/>
      <c r="AI291" s="412"/>
      <c r="AJ291" s="412"/>
      <c r="AK291" s="412"/>
      <c r="AL291" s="412"/>
      <c r="AM291" s="298">
        <f>SUM(Y291:AL291)</f>
        <v>1</v>
      </c>
    </row>
    <row r="292" spans="1:39" ht="15" hidden="1" outlineLevel="1">
      <c r="B292" s="296" t="s">
        <v>250</v>
      </c>
      <c r="C292" s="293" t="s">
        <v>164</v>
      </c>
      <c r="D292" s="297"/>
      <c r="E292" s="297"/>
      <c r="F292" s="297"/>
      <c r="G292" s="297"/>
      <c r="H292" s="297"/>
      <c r="I292" s="297"/>
      <c r="J292" s="297"/>
      <c r="K292" s="297"/>
      <c r="L292" s="297"/>
      <c r="M292" s="297"/>
      <c r="N292" s="469"/>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hidden="1"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hidden="1" outlineLevel="1">
      <c r="A294" s="509">
        <v>6</v>
      </c>
      <c r="B294" s="296" t="s">
        <v>6</v>
      </c>
      <c r="C294" s="293" t="s">
        <v>25</v>
      </c>
      <c r="D294" s="297" t="s">
        <v>708</v>
      </c>
      <c r="E294" s="297" t="s">
        <v>708</v>
      </c>
      <c r="F294" s="297" t="s">
        <v>708</v>
      </c>
      <c r="G294" s="297" t="s">
        <v>708</v>
      </c>
      <c r="H294" s="297" t="s">
        <v>708</v>
      </c>
      <c r="I294" s="297" t="s">
        <v>708</v>
      </c>
      <c r="J294" s="297" t="s">
        <v>708</v>
      </c>
      <c r="K294" s="297" t="s">
        <v>708</v>
      </c>
      <c r="L294" s="297" t="s">
        <v>708</v>
      </c>
      <c r="M294" s="297" t="s">
        <v>708</v>
      </c>
      <c r="N294" s="293"/>
      <c r="O294" s="297" t="s">
        <v>708</v>
      </c>
      <c r="P294" s="297" t="s">
        <v>708</v>
      </c>
      <c r="Q294" s="297" t="s">
        <v>708</v>
      </c>
      <c r="R294" s="297" t="s">
        <v>708</v>
      </c>
      <c r="S294" s="297" t="s">
        <v>708</v>
      </c>
      <c r="T294" s="297" t="s">
        <v>708</v>
      </c>
      <c r="U294" s="297" t="s">
        <v>708</v>
      </c>
      <c r="V294" s="297" t="s">
        <v>708</v>
      </c>
      <c r="W294" s="297" t="s">
        <v>708</v>
      </c>
      <c r="X294" s="297" t="s">
        <v>708</v>
      </c>
      <c r="Y294" s="412"/>
      <c r="Z294" s="412"/>
      <c r="AA294" s="412"/>
      <c r="AB294" s="412"/>
      <c r="AC294" s="412"/>
      <c r="AD294" s="412"/>
      <c r="AE294" s="412"/>
      <c r="AF294" s="412"/>
      <c r="AG294" s="412"/>
      <c r="AH294" s="412"/>
      <c r="AI294" s="412"/>
      <c r="AJ294" s="412"/>
      <c r="AK294" s="412"/>
      <c r="AL294" s="412"/>
      <c r="AM294" s="298">
        <f>SUM(Y294:AL294)</f>
        <v>0</v>
      </c>
    </row>
    <row r="295" spans="1:39" ht="15" hidden="1" outlineLevel="1">
      <c r="B295" s="296" t="s">
        <v>250</v>
      </c>
      <c r="C295" s="293" t="s">
        <v>164</v>
      </c>
      <c r="D295" s="297"/>
      <c r="E295" s="297"/>
      <c r="F295" s="297"/>
      <c r="G295" s="297"/>
      <c r="H295" s="297"/>
      <c r="I295" s="297"/>
      <c r="J295" s="297"/>
      <c r="K295" s="297"/>
      <c r="L295" s="297"/>
      <c r="M295" s="297"/>
      <c r="N295" s="469"/>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hidden="1"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hidden="1" outlineLevel="1">
      <c r="A297" s="509">
        <v>7</v>
      </c>
      <c r="B297" s="296" t="s">
        <v>42</v>
      </c>
      <c r="C297" s="293" t="s">
        <v>25</v>
      </c>
      <c r="D297" s="297">
        <v>0</v>
      </c>
      <c r="E297" s="297">
        <v>0</v>
      </c>
      <c r="F297" s="297">
        <v>0</v>
      </c>
      <c r="G297" s="297">
        <v>0</v>
      </c>
      <c r="H297" s="297">
        <v>0</v>
      </c>
      <c r="I297" s="297">
        <v>0</v>
      </c>
      <c r="J297" s="297">
        <v>0</v>
      </c>
      <c r="K297" s="297">
        <v>0</v>
      </c>
      <c r="L297" s="297">
        <v>0</v>
      </c>
      <c r="M297" s="297">
        <v>0</v>
      </c>
      <c r="N297" s="293"/>
      <c r="O297" s="297">
        <v>142.23673700000001</v>
      </c>
      <c r="P297" s="297">
        <v>0</v>
      </c>
      <c r="Q297" s="297">
        <v>0</v>
      </c>
      <c r="R297" s="297">
        <v>0</v>
      </c>
      <c r="S297" s="297">
        <v>0</v>
      </c>
      <c r="T297" s="297">
        <v>0</v>
      </c>
      <c r="U297" s="297">
        <v>0</v>
      </c>
      <c r="V297" s="297">
        <v>0</v>
      </c>
      <c r="W297" s="297">
        <v>0</v>
      </c>
      <c r="X297" s="297">
        <v>0</v>
      </c>
      <c r="Y297" s="417">
        <v>1</v>
      </c>
      <c r="Z297" s="417">
        <v>0</v>
      </c>
      <c r="AA297" s="417">
        <v>0</v>
      </c>
      <c r="AB297" s="412"/>
      <c r="AC297" s="412"/>
      <c r="AD297" s="412"/>
      <c r="AE297" s="412"/>
      <c r="AF297" s="412"/>
      <c r="AG297" s="412"/>
      <c r="AH297" s="412"/>
      <c r="AI297" s="412"/>
      <c r="AJ297" s="412"/>
      <c r="AK297" s="412"/>
      <c r="AL297" s="412"/>
      <c r="AM297" s="298">
        <f>SUM(Y297:AL297)</f>
        <v>1</v>
      </c>
    </row>
    <row r="298" spans="1:39" ht="15" hidden="1"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hidden="1"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hidden="1" outlineLevel="1">
      <c r="A300" s="509">
        <v>8</v>
      </c>
      <c r="B300" s="296" t="s">
        <v>487</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7">
        <v>1</v>
      </c>
      <c r="Z300" s="417">
        <v>0</v>
      </c>
      <c r="AA300" s="417">
        <v>0</v>
      </c>
      <c r="AB300" s="412"/>
      <c r="AC300" s="412"/>
      <c r="AD300" s="412"/>
      <c r="AE300" s="412"/>
      <c r="AF300" s="412"/>
      <c r="AG300" s="412"/>
      <c r="AH300" s="412"/>
      <c r="AI300" s="412"/>
      <c r="AJ300" s="412"/>
      <c r="AK300" s="412"/>
      <c r="AL300" s="412"/>
      <c r="AM300" s="298">
        <f>SUM(Y300:AL300)</f>
        <v>1</v>
      </c>
    </row>
    <row r="301" spans="1:39" s="285" customFormat="1" ht="15" hidden="1" outlineLevel="1">
      <c r="A301" s="509"/>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1</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hidden="1" outlineLevel="1">
      <c r="A302" s="509"/>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hidden="1" outlineLevel="1">
      <c r="A303" s="509">
        <v>9</v>
      </c>
      <c r="B303" s="296" t="s">
        <v>7</v>
      </c>
      <c r="C303" s="293" t="s">
        <v>25</v>
      </c>
      <c r="D303" s="297" t="s">
        <v>708</v>
      </c>
      <c r="E303" s="297" t="s">
        <v>708</v>
      </c>
      <c r="F303" s="297" t="s">
        <v>708</v>
      </c>
      <c r="G303" s="297" t="s">
        <v>708</v>
      </c>
      <c r="H303" s="297" t="s">
        <v>708</v>
      </c>
      <c r="I303" s="297" t="s">
        <v>708</v>
      </c>
      <c r="J303" s="297" t="s">
        <v>708</v>
      </c>
      <c r="K303" s="297" t="s">
        <v>708</v>
      </c>
      <c r="L303" s="297" t="s">
        <v>708</v>
      </c>
      <c r="M303" s="297" t="s">
        <v>708</v>
      </c>
      <c r="N303" s="293"/>
      <c r="O303" s="297" t="s">
        <v>708</v>
      </c>
      <c r="P303" s="297" t="s">
        <v>708</v>
      </c>
      <c r="Q303" s="297" t="s">
        <v>708</v>
      </c>
      <c r="R303" s="297" t="s">
        <v>708</v>
      </c>
      <c r="S303" s="297" t="s">
        <v>708</v>
      </c>
      <c r="T303" s="297" t="s">
        <v>708</v>
      </c>
      <c r="U303" s="297" t="s">
        <v>708</v>
      </c>
      <c r="V303" s="297" t="s">
        <v>708</v>
      </c>
      <c r="W303" s="297" t="s">
        <v>708</v>
      </c>
      <c r="X303" s="297" t="s">
        <v>708</v>
      </c>
      <c r="Y303" s="412"/>
      <c r="Z303" s="412"/>
      <c r="AA303" s="412"/>
      <c r="AB303" s="412"/>
      <c r="AC303" s="412"/>
      <c r="AD303" s="412"/>
      <c r="AE303" s="412"/>
      <c r="AF303" s="412"/>
      <c r="AG303" s="412"/>
      <c r="AH303" s="412"/>
      <c r="AI303" s="412"/>
      <c r="AJ303" s="412"/>
      <c r="AK303" s="412"/>
      <c r="AL303" s="412"/>
      <c r="AM303" s="298">
        <f>SUM(Y303:AL303)</f>
        <v>0</v>
      </c>
    </row>
    <row r="304" spans="1:39" ht="15" hidden="1"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hidden="1"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hidden="1" outlineLevel="1">
      <c r="A306" s="510"/>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hidden="1" outlineLevel="1">
      <c r="A307" s="509">
        <v>10</v>
      </c>
      <c r="B307" s="312" t="s">
        <v>22</v>
      </c>
      <c r="C307" s="293" t="s">
        <v>25</v>
      </c>
      <c r="D307" s="297">
        <v>1047116.7699332014</v>
      </c>
      <c r="E307" s="297">
        <v>1030338.4733909436</v>
      </c>
      <c r="F307" s="297">
        <v>1027108.7872834338</v>
      </c>
      <c r="G307" s="297">
        <v>1027108.7872834338</v>
      </c>
      <c r="H307" s="297">
        <v>1006547.3741691143</v>
      </c>
      <c r="I307" s="297">
        <v>996103.70773962769</v>
      </c>
      <c r="J307" s="297">
        <v>996103.70773962769</v>
      </c>
      <c r="K307" s="297">
        <v>992633.79295179772</v>
      </c>
      <c r="L307" s="297">
        <v>990094.13585562457</v>
      </c>
      <c r="M307" s="297">
        <v>913962.35800350993</v>
      </c>
      <c r="N307" s="297">
        <v>12</v>
      </c>
      <c r="O307" s="297">
        <v>178.8613441561867</v>
      </c>
      <c r="P307" s="297">
        <v>178.8613441561867</v>
      </c>
      <c r="Q307" s="297">
        <v>177.82750514765115</v>
      </c>
      <c r="R307" s="297">
        <v>177.82750514765115</v>
      </c>
      <c r="S307" s="297">
        <v>171.51420577817339</v>
      </c>
      <c r="T307" s="297">
        <v>164.37154174240914</v>
      </c>
      <c r="U307" s="297">
        <v>164.37154174240914</v>
      </c>
      <c r="V307" s="297">
        <v>164.37154174240914</v>
      </c>
      <c r="W307" s="297">
        <v>164.17318850368622</v>
      </c>
      <c r="X307" s="297">
        <v>148.55369093701236</v>
      </c>
      <c r="Y307" s="417">
        <v>0</v>
      </c>
      <c r="Z307" s="417">
        <v>0.86740445592196513</v>
      </c>
      <c r="AA307" s="417">
        <v>0.13259554407803487</v>
      </c>
      <c r="AB307" s="503"/>
      <c r="AC307" s="417"/>
      <c r="AD307" s="417"/>
      <c r="AE307" s="417"/>
      <c r="AF307" s="417"/>
      <c r="AG307" s="417"/>
      <c r="AH307" s="417"/>
      <c r="AI307" s="417"/>
      <c r="AJ307" s="417"/>
      <c r="AK307" s="417"/>
      <c r="AL307" s="417"/>
      <c r="AM307" s="298">
        <f>SUM(Y307:AL307)</f>
        <v>1</v>
      </c>
    </row>
    <row r="308" spans="1:39" ht="15" hidden="1" outlineLevel="1">
      <c r="B308" s="296" t="s">
        <v>250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0.86740445592196513</v>
      </c>
      <c r="AA308" s="413">
        <f t="shared" ref="AA308:AL308" si="86">AA307</f>
        <v>0.13259554407803487</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hidden="1"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hidden="1" outlineLevel="1">
      <c r="A310" s="509">
        <v>11</v>
      </c>
      <c r="B310" s="316" t="s">
        <v>21</v>
      </c>
      <c r="C310" s="293" t="s">
        <v>25</v>
      </c>
      <c r="D310" s="297">
        <v>399272.25947202032</v>
      </c>
      <c r="E310" s="297">
        <v>399272.25947202032</v>
      </c>
      <c r="F310" s="297">
        <v>397003.58726406744</v>
      </c>
      <c r="G310" s="297">
        <v>298359.06338051608</v>
      </c>
      <c r="H310" s="297">
        <v>219011.73278247623</v>
      </c>
      <c r="I310" s="297">
        <v>219011.73278247623</v>
      </c>
      <c r="J310" s="297">
        <v>219011.73278247623</v>
      </c>
      <c r="K310" s="297">
        <v>219011.73278247623</v>
      </c>
      <c r="L310" s="297">
        <v>219011.73278247623</v>
      </c>
      <c r="M310" s="297">
        <v>219011.73278247623</v>
      </c>
      <c r="N310" s="297">
        <v>12</v>
      </c>
      <c r="O310" s="297">
        <v>107.72378851764819</v>
      </c>
      <c r="P310" s="297">
        <v>107.72378851764819</v>
      </c>
      <c r="Q310" s="297">
        <v>107.08467863821971</v>
      </c>
      <c r="R310" s="297">
        <v>81.466509935737179</v>
      </c>
      <c r="S310" s="297">
        <v>56.799909660251458</v>
      </c>
      <c r="T310" s="297">
        <v>56.799909660251458</v>
      </c>
      <c r="U310" s="297">
        <v>56.799909660251458</v>
      </c>
      <c r="V310" s="297">
        <v>56.799909660251458</v>
      </c>
      <c r="W310" s="297">
        <v>56.799909660251458</v>
      </c>
      <c r="X310" s="297">
        <v>56.799909660251458</v>
      </c>
      <c r="Y310" s="417">
        <v>0</v>
      </c>
      <c r="Z310" s="417">
        <v>1</v>
      </c>
      <c r="AA310" s="417">
        <v>0</v>
      </c>
      <c r="AB310" s="417"/>
      <c r="AC310" s="417"/>
      <c r="AD310" s="417"/>
      <c r="AE310" s="417"/>
      <c r="AF310" s="417"/>
      <c r="AG310" s="417"/>
      <c r="AH310" s="417"/>
      <c r="AI310" s="417"/>
      <c r="AJ310" s="417"/>
      <c r="AK310" s="417"/>
      <c r="AL310" s="417"/>
      <c r="AM310" s="298">
        <f>SUM(Y310:AL310)</f>
        <v>1</v>
      </c>
    </row>
    <row r="311" spans="1:39" ht="15" hidden="1"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hidden="1"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hidden="1" outlineLevel="1">
      <c r="A313" s="509">
        <v>12</v>
      </c>
      <c r="B313" s="316" t="s">
        <v>23</v>
      </c>
      <c r="C313" s="293" t="s">
        <v>25</v>
      </c>
      <c r="D313" s="297" t="s">
        <v>708</v>
      </c>
      <c r="E313" s="297" t="s">
        <v>708</v>
      </c>
      <c r="F313" s="297" t="s">
        <v>708</v>
      </c>
      <c r="G313" s="297" t="s">
        <v>708</v>
      </c>
      <c r="H313" s="297" t="s">
        <v>708</v>
      </c>
      <c r="I313" s="297" t="s">
        <v>708</v>
      </c>
      <c r="J313" s="297" t="s">
        <v>708</v>
      </c>
      <c r="K313" s="297" t="s">
        <v>708</v>
      </c>
      <c r="L313" s="297" t="s">
        <v>708</v>
      </c>
      <c r="M313" s="297" t="s">
        <v>708</v>
      </c>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hidden="1"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hidden="1"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hidden="1" outlineLevel="1">
      <c r="A316" s="509">
        <v>13</v>
      </c>
      <c r="B316" s="316" t="s">
        <v>24</v>
      </c>
      <c r="C316" s="293" t="s">
        <v>25</v>
      </c>
      <c r="D316" s="297" t="s">
        <v>708</v>
      </c>
      <c r="E316" s="297" t="s">
        <v>708</v>
      </c>
      <c r="F316" s="297" t="s">
        <v>708</v>
      </c>
      <c r="G316" s="297" t="s">
        <v>708</v>
      </c>
      <c r="H316" s="297" t="s">
        <v>708</v>
      </c>
      <c r="I316" s="297" t="s">
        <v>708</v>
      </c>
      <c r="J316" s="297" t="s">
        <v>708</v>
      </c>
      <c r="K316" s="297" t="s">
        <v>708</v>
      </c>
      <c r="L316" s="297" t="s">
        <v>708</v>
      </c>
      <c r="M316" s="297" t="s">
        <v>708</v>
      </c>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hidden="1" outlineLevel="1">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hidden="1"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hidden="1" outlineLevel="1">
      <c r="A319" s="509">
        <v>14</v>
      </c>
      <c r="B319" s="316" t="s">
        <v>20</v>
      </c>
      <c r="C319" s="293" t="s">
        <v>25</v>
      </c>
      <c r="D319" s="297" t="s">
        <v>708</v>
      </c>
      <c r="E319" s="297" t="s">
        <v>708</v>
      </c>
      <c r="F319" s="297" t="s">
        <v>708</v>
      </c>
      <c r="G319" s="297" t="s">
        <v>708</v>
      </c>
      <c r="H319" s="297" t="s">
        <v>708</v>
      </c>
      <c r="I319" s="297" t="s">
        <v>708</v>
      </c>
      <c r="J319" s="297" t="s">
        <v>708</v>
      </c>
      <c r="K319" s="297" t="s">
        <v>708</v>
      </c>
      <c r="L319" s="297" t="s">
        <v>708</v>
      </c>
      <c r="M319" s="297" t="s">
        <v>708</v>
      </c>
      <c r="N319" s="297">
        <v>12</v>
      </c>
      <c r="O319" s="297"/>
      <c r="P319" s="297"/>
      <c r="Q319" s="297"/>
      <c r="R319" s="297"/>
      <c r="S319" s="297"/>
      <c r="T319" s="297"/>
      <c r="U319" s="297"/>
      <c r="V319" s="297"/>
      <c r="W319" s="297"/>
      <c r="X319" s="297"/>
      <c r="Y319" s="417"/>
      <c r="Z319" s="417"/>
      <c r="AA319" s="503"/>
      <c r="AB319" s="417"/>
      <c r="AC319" s="417"/>
      <c r="AD319" s="417"/>
      <c r="AE319" s="417"/>
      <c r="AF319" s="417"/>
      <c r="AG319" s="417"/>
      <c r="AH319" s="417"/>
      <c r="AI319" s="417"/>
      <c r="AJ319" s="417"/>
      <c r="AK319" s="417"/>
      <c r="AL319" s="417"/>
      <c r="AM319" s="298">
        <f>SUM(Y319:AL319)</f>
        <v>0</v>
      </c>
    </row>
    <row r="320" spans="1:39" ht="15" hidden="1" outlineLevel="1">
      <c r="B320" s="296" t="s">
        <v>250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hidden="1"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hidden="1" outlineLevel="1">
      <c r="A322" s="509">
        <v>15</v>
      </c>
      <c r="B322" s="316" t="s">
        <v>488</v>
      </c>
      <c r="C322" s="293" t="s">
        <v>25</v>
      </c>
      <c r="D322" s="297" t="s">
        <v>708</v>
      </c>
      <c r="E322" s="297" t="s">
        <v>708</v>
      </c>
      <c r="F322" s="297" t="s">
        <v>708</v>
      </c>
      <c r="G322" s="297" t="s">
        <v>708</v>
      </c>
      <c r="H322" s="297" t="s">
        <v>708</v>
      </c>
      <c r="I322" s="297" t="s">
        <v>708</v>
      </c>
      <c r="J322" s="297" t="s">
        <v>708</v>
      </c>
      <c r="K322" s="297" t="s">
        <v>708</v>
      </c>
      <c r="L322" s="297" t="s">
        <v>708</v>
      </c>
      <c r="M322" s="297" t="s">
        <v>708</v>
      </c>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hidden="1" outlineLevel="1">
      <c r="A323" s="509"/>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hidden="1" outlineLevel="1">
      <c r="A324" s="509"/>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hidden="1" outlineLevel="1">
      <c r="A325" s="509">
        <v>16</v>
      </c>
      <c r="B325" s="316" t="s">
        <v>489</v>
      </c>
      <c r="C325" s="293" t="s">
        <v>25</v>
      </c>
      <c r="D325" s="297" t="s">
        <v>708</v>
      </c>
      <c r="E325" s="297" t="s">
        <v>708</v>
      </c>
      <c r="F325" s="297" t="s">
        <v>708</v>
      </c>
      <c r="G325" s="297" t="s">
        <v>708</v>
      </c>
      <c r="H325" s="297" t="s">
        <v>708</v>
      </c>
      <c r="I325" s="297" t="s">
        <v>708</v>
      </c>
      <c r="J325" s="297" t="s">
        <v>708</v>
      </c>
      <c r="K325" s="297" t="s">
        <v>708</v>
      </c>
      <c r="L325" s="297" t="s">
        <v>708</v>
      </c>
      <c r="M325" s="297" t="s">
        <v>708</v>
      </c>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hidden="1" outlineLevel="1">
      <c r="A326" s="509"/>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hidden="1" outlineLevel="1">
      <c r="A327" s="509"/>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hidden="1" outlineLevel="1">
      <c r="A328" s="509">
        <v>17</v>
      </c>
      <c r="B328" s="316" t="s">
        <v>9</v>
      </c>
      <c r="C328" s="293" t="s">
        <v>25</v>
      </c>
      <c r="D328" s="297">
        <v>505</v>
      </c>
      <c r="E328" s="297">
        <v>0</v>
      </c>
      <c r="F328" s="297">
        <v>0</v>
      </c>
      <c r="G328" s="297">
        <v>0</v>
      </c>
      <c r="H328" s="297">
        <v>0</v>
      </c>
      <c r="I328" s="297">
        <v>0</v>
      </c>
      <c r="J328" s="297">
        <v>0</v>
      </c>
      <c r="K328" s="297">
        <v>0</v>
      </c>
      <c r="L328" s="297">
        <v>0</v>
      </c>
      <c r="M328" s="297">
        <v>0</v>
      </c>
      <c r="N328" s="293"/>
      <c r="O328" s="297">
        <v>38</v>
      </c>
      <c r="P328" s="297">
        <v>0</v>
      </c>
      <c r="Q328" s="297">
        <v>0</v>
      </c>
      <c r="R328" s="297">
        <v>0</v>
      </c>
      <c r="S328" s="297">
        <v>0</v>
      </c>
      <c r="T328" s="297">
        <v>0</v>
      </c>
      <c r="U328" s="297">
        <v>0</v>
      </c>
      <c r="V328" s="297">
        <v>0</v>
      </c>
      <c r="W328" s="297">
        <v>0</v>
      </c>
      <c r="X328" s="297">
        <v>0</v>
      </c>
      <c r="Y328" s="417">
        <v>0</v>
      </c>
      <c r="Z328" s="417">
        <v>0</v>
      </c>
      <c r="AA328" s="417">
        <v>1</v>
      </c>
      <c r="AB328" s="417"/>
      <c r="AC328" s="417"/>
      <c r="AD328" s="417"/>
      <c r="AE328" s="417"/>
      <c r="AF328" s="417"/>
      <c r="AG328" s="417"/>
      <c r="AH328" s="417"/>
      <c r="AI328" s="417"/>
      <c r="AJ328" s="417"/>
      <c r="AK328" s="417"/>
      <c r="AL328" s="417"/>
      <c r="AM328" s="298">
        <f>SUM(Y328:AL328)</f>
        <v>1</v>
      </c>
    </row>
    <row r="329" spans="1:39" ht="15" hidden="1"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1</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hidden="1"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hidden="1" outlineLevel="1">
      <c r="A331" s="510"/>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hidden="1" outlineLevel="1">
      <c r="A332" s="509">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hidden="1" outlineLevel="1">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hidden="1" outlineLevel="1">
      <c r="A334" s="512"/>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hidden="1" outlineLevel="1">
      <c r="A335" s="509">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hidden="1"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hidden="1"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hidden="1" outlineLevel="1">
      <c r="A338" s="509">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0"/>
      <c r="AD338" s="417"/>
      <c r="AE338" s="417"/>
      <c r="AF338" s="417"/>
      <c r="AG338" s="417"/>
      <c r="AH338" s="417"/>
      <c r="AI338" s="417"/>
      <c r="AJ338" s="417"/>
      <c r="AK338" s="417"/>
      <c r="AL338" s="417"/>
      <c r="AM338" s="298">
        <f>SUM(Y338:AL338)</f>
        <v>0</v>
      </c>
    </row>
    <row r="339" spans="1:39" ht="15" hidden="1" outlineLevel="1">
      <c r="B339" s="296" t="s">
        <v>250</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hidden="1"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hidden="1" outlineLevel="1">
      <c r="A341" s="509">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hidden="1"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hidden="1"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hidden="1" outlineLevel="1">
      <c r="A344" s="509">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hidden="1"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hidden="1"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hidden="1" outlineLevel="1">
      <c r="A347" s="510"/>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hidden="1" outlineLevel="1">
      <c r="A348" s="509">
        <v>23</v>
      </c>
      <c r="B348" s="317" t="s">
        <v>14</v>
      </c>
      <c r="C348" s="293" t="s">
        <v>25</v>
      </c>
      <c r="D348" s="297">
        <v>24452.999999999993</v>
      </c>
      <c r="E348" s="297">
        <v>24269.952178955071</v>
      </c>
      <c r="F348" s="297">
        <v>24253.311492919915</v>
      </c>
      <c r="G348" s="297">
        <v>21513.347449457426</v>
      </c>
      <c r="H348" s="297">
        <v>19774.383681253639</v>
      </c>
      <c r="I348" s="297">
        <v>18470.96450665985</v>
      </c>
      <c r="J348" s="297">
        <v>17268.340376410826</v>
      </c>
      <c r="K348" s="297">
        <v>16388.49851850067</v>
      </c>
      <c r="L348" s="297">
        <v>5072.1454849243164</v>
      </c>
      <c r="M348" s="297">
        <v>5072.1454849243164</v>
      </c>
      <c r="N348" s="293"/>
      <c r="O348" s="297">
        <v>2.5121929044835269</v>
      </c>
      <c r="P348" s="297">
        <v>2.5026842509396374</v>
      </c>
      <c r="Q348" s="297">
        <v>2.5018198271282017</v>
      </c>
      <c r="R348" s="297">
        <v>2.2270978040266898</v>
      </c>
      <c r="S348" s="297">
        <v>2.0798311721596714</v>
      </c>
      <c r="T348" s="297">
        <v>1.9459278567859808</v>
      </c>
      <c r="U348" s="297">
        <v>1.8834560022855082</v>
      </c>
      <c r="V348" s="297">
        <v>1.8834560022855082</v>
      </c>
      <c r="W348" s="297">
        <v>0.82835080288350582</v>
      </c>
      <c r="X348" s="297">
        <v>0.82835080288350582</v>
      </c>
      <c r="Y348" s="417">
        <v>1</v>
      </c>
      <c r="Z348" s="417">
        <v>0</v>
      </c>
      <c r="AA348" s="417">
        <v>0</v>
      </c>
      <c r="AB348" s="412"/>
      <c r="AC348" s="412"/>
      <c r="AD348" s="412"/>
      <c r="AE348" s="412"/>
      <c r="AF348" s="412"/>
      <c r="AG348" s="412"/>
      <c r="AH348" s="412"/>
      <c r="AI348" s="412"/>
      <c r="AJ348" s="412"/>
      <c r="AK348" s="412"/>
      <c r="AL348" s="412"/>
      <c r="AM348" s="298">
        <f>SUM(Y348:AL348)</f>
        <v>1</v>
      </c>
    </row>
    <row r="349" spans="1:39" ht="15" hidden="1" outlineLevel="1">
      <c r="B349" s="296" t="s">
        <v>250</v>
      </c>
      <c r="C349" s="293" t="s">
        <v>164</v>
      </c>
      <c r="D349" s="297"/>
      <c r="E349" s="297"/>
      <c r="F349" s="297"/>
      <c r="G349" s="297"/>
      <c r="H349" s="297"/>
      <c r="I349" s="297"/>
      <c r="J349" s="297"/>
      <c r="K349" s="297"/>
      <c r="L349" s="297"/>
      <c r="M349" s="297"/>
      <c r="N349" s="469"/>
      <c r="O349" s="297"/>
      <c r="P349" s="297"/>
      <c r="Q349" s="297"/>
      <c r="R349" s="297"/>
      <c r="S349" s="297"/>
      <c r="T349" s="297"/>
      <c r="U349" s="297"/>
      <c r="V349" s="297"/>
      <c r="W349" s="297"/>
      <c r="X349" s="297"/>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hidden="1"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hidden="1" outlineLevel="1">
      <c r="A351" s="510"/>
      <c r="B351" s="290" t="s">
        <v>490</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hidden="1" outlineLevel="1">
      <c r="A352" s="509">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hidden="1" outlineLevel="1">
      <c r="A353" s="509"/>
      <c r="B353" s="317" t="s">
        <v>250</v>
      </c>
      <c r="C353" s="293" t="s">
        <v>164</v>
      </c>
      <c r="D353" s="297"/>
      <c r="E353" s="297"/>
      <c r="F353" s="297"/>
      <c r="G353" s="297"/>
      <c r="H353" s="297"/>
      <c r="I353" s="297"/>
      <c r="J353" s="297"/>
      <c r="K353" s="297"/>
      <c r="L353" s="297"/>
      <c r="M353" s="297"/>
      <c r="N353" s="469"/>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hidden="1" outlineLevel="1">
      <c r="A354" s="509"/>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hidden="1" outlineLevel="1">
      <c r="A355" s="509">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hidden="1" outlineLevel="1">
      <c r="A356" s="509"/>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hidden="1" outlineLevel="1">
      <c r="A357" s="509"/>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hidden="1" outlineLevel="1">
      <c r="A358" s="510"/>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hidden="1" outlineLevel="1">
      <c r="A359" s="509">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hidden="1"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hidden="1" outlineLevel="1">
      <c r="A361" s="512"/>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hidden="1" outlineLevel="1">
      <c r="A362" s="509">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hidden="1"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hidden="1" outlineLevel="1">
      <c r="A364" s="512"/>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hidden="1" outlineLevel="1">
      <c r="A365" s="509">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hidden="1"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hidden="1" outlineLevel="1">
      <c r="A367" s="512"/>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hidden="1" outlineLevel="1">
      <c r="A368" s="509">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hidden="1"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hidden="1"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hidden="1" outlineLevel="1">
      <c r="A371" s="509">
        <v>30</v>
      </c>
      <c r="B371" s="326" t="s">
        <v>491</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hidden="1" outlineLevel="1">
      <c r="A372" s="509"/>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hidden="1" outlineLevel="1">
      <c r="A373" s="509"/>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hidden="1" outlineLevel="1">
      <c r="A374" s="509"/>
      <c r="B374" s="290" t="s">
        <v>492</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hidden="1" outlineLevel="1">
      <c r="A375" s="509">
        <v>31</v>
      </c>
      <c r="B375" s="326" t="s">
        <v>493</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hidden="1" outlineLevel="1">
      <c r="A376" s="509"/>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hidden="1" outlineLevel="1">
      <c r="A377" s="509"/>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hidden="1" outlineLevel="1">
      <c r="A378" s="509">
        <v>32</v>
      </c>
      <c r="B378" s="326" t="s">
        <v>494</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hidden="1" outlineLevel="1">
      <c r="A379" s="509"/>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hidden="1" outlineLevel="1">
      <c r="A380" s="509"/>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hidden="1" outlineLevel="1">
      <c r="A381" s="509">
        <v>33</v>
      </c>
      <c r="B381" s="326"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hidden="1" outlineLevel="1">
      <c r="A382" s="509"/>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hidden="1"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ollapsed="1">
      <c r="B384" s="329" t="s">
        <v>251</v>
      </c>
      <c r="C384" s="331"/>
      <c r="D384" s="331">
        <f>SUM(D279:D382)</f>
        <v>1632662.0361352768</v>
      </c>
      <c r="E384" s="331"/>
      <c r="F384" s="331"/>
      <c r="G384" s="331"/>
      <c r="H384" s="331"/>
      <c r="I384" s="331"/>
      <c r="J384" s="331"/>
      <c r="K384" s="331"/>
      <c r="L384" s="331"/>
      <c r="M384" s="331"/>
      <c r="N384" s="331"/>
      <c r="O384" s="331">
        <f>SUM(O279:O382)</f>
        <v>515.32785935157585</v>
      </c>
      <c r="P384" s="331"/>
      <c r="Q384" s="331"/>
      <c r="R384" s="331"/>
      <c r="S384" s="331"/>
      <c r="T384" s="331"/>
      <c r="U384" s="331"/>
      <c r="V384" s="331"/>
      <c r="W384" s="331"/>
      <c r="X384" s="331"/>
      <c r="Y384" s="331">
        <f>IF(Y278="kWh",SUMPRODUCT(D279:D382,Y279:Y382))</f>
        <v>185768.00673005526</v>
      </c>
      <c r="Z384" s="331">
        <f>IF(Z278="kWh",SUMPRODUCT(D279:D382,Z279:Z382))</f>
        <v>1307546.0115826945</v>
      </c>
      <c r="AA384" s="331">
        <f>IF(AA278="kW",SUMPRODUCT(N279:N382,O279:O382,AA279:AA382),SUMPRODUCT(D279:D382,AA279:AA382))</f>
        <v>284.59460691501857</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1345003</v>
      </c>
      <c r="Z385" s="330">
        <f>HLOOKUP(Z277,'2. LRAMVA Threshold'!$B$42:$Q$53,5,FALSE)</f>
        <v>543085</v>
      </c>
      <c r="AA385" s="330">
        <f>HLOOKUP(AA277,'2. LRAMVA Threshold'!$B$42:$Q$53,5,FALSE)</f>
        <v>10671</v>
      </c>
      <c r="AB385" s="330">
        <f>HLOOKUP(AB277,'2. LRAMVA Threshold'!$B$42:$Q$53,5,FALSE)</f>
        <v>196</v>
      </c>
      <c r="AC385" s="330">
        <f>HLOOKUP(AC277,'2. LRAMVA Threshold'!$B$42:$Q$53,5,FALSE)</f>
        <v>4684</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1.7500000000000002E-2</v>
      </c>
      <c r="Z387" s="343">
        <f>HLOOKUP(Z$20,'3.  Distribution Rates'!$C$122:$P$133,5,FALSE)</f>
        <v>1.18E-2</v>
      </c>
      <c r="AA387" s="343">
        <f>HLOOKUP(AA$20,'3.  Distribution Rates'!$C$122:$P$133,5,FALSE)</f>
        <v>2.7355</v>
      </c>
      <c r="AB387" s="343">
        <f>HLOOKUP(AB$20,'3.  Distribution Rates'!$C$122:$P$133,5,FALSE)</f>
        <v>13.9131</v>
      </c>
      <c r="AC387" s="343">
        <f>HLOOKUP(AC$20,'3.  Distribution Rates'!$C$122:$P$133,5,FALSE)</f>
        <v>1.4200000000000001E-2</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4546.4937390142759</v>
      </c>
      <c r="Z388" s="380">
        <f t="shared" si="110"/>
        <v>3710.7146897121706</v>
      </c>
      <c r="AA388" s="380">
        <f t="shared" si="110"/>
        <v>1433.0846820000002</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29">
        <f>SUM(Y388:AL388)</f>
        <v>9690.2931107264467</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3198.9714431626703</v>
      </c>
      <c r="Z389" s="380">
        <f t="shared" si="111"/>
        <v>15305.967220398697</v>
      </c>
      <c r="AA389" s="380">
        <f t="shared" si="111"/>
        <v>1295.2548438804893</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29">
        <f>SUM(Y389:AL389)</f>
        <v>19800.193507441854</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3250.9401177759673</v>
      </c>
      <c r="Z390" s="380">
        <f t="shared" ref="Z390:AE390" si="112">Z384*Z387</f>
        <v>15429.042936675794</v>
      </c>
      <c r="AA390" s="380">
        <f t="shared" si="112"/>
        <v>778.50854721603332</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29">
        <f>SUM(Y390:AL390)</f>
        <v>19458.491601667793</v>
      </c>
    </row>
    <row r="391" spans="1:41" s="382" customFormat="1" ht="15.75">
      <c r="A391" s="511"/>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10996.405299952912</v>
      </c>
      <c r="Z391" s="348">
        <f>SUM(Z388:Z390)</f>
        <v>34445.724846786659</v>
      </c>
      <c r="AA391" s="348">
        <f t="shared" ref="AA391:AE391" si="114">SUM(AA388:AA390)</f>
        <v>3506.848073096523</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48948.978219836092</v>
      </c>
    </row>
    <row r="392" spans="1:41" s="382" customFormat="1" ht="15.75">
      <c r="A392" s="511"/>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23537.552500000002</v>
      </c>
      <c r="Z392" s="349">
        <f t="shared" si="116"/>
        <v>6408.4030000000002</v>
      </c>
      <c r="AA392" s="349">
        <f t="shared" si="116"/>
        <v>29190.520499999999</v>
      </c>
      <c r="AB392" s="349">
        <f t="shared" si="116"/>
        <v>2726.9675999999999</v>
      </c>
      <c r="AC392" s="349">
        <f t="shared" si="116"/>
        <v>66.512799999999999</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61929.956399999995</v>
      </c>
    </row>
    <row r="393" spans="1:41" ht="15.75" customHeight="1">
      <c r="A393" s="511"/>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-12980.978180163904</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185584.95890901034</v>
      </c>
      <c r="Z395" s="293">
        <f>SUMPRODUCT(E279:E382,Z279:Z382)</f>
        <v>1292992.44239916</v>
      </c>
      <c r="AA395" s="293">
        <f>IF(AA278="kW",SUMPRODUCT(N279:N382,P279:P382,AA279:AA382),SUMPRODUCT(E279:E382,AA279:AA382))</f>
        <v>284.59460691501857</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177580.03957744085</v>
      </c>
      <c r="Z396" s="293">
        <f>SUMPRODUCT(F279:F382,Z279:Z382)</f>
        <v>1287922.3260703238</v>
      </c>
      <c r="AA396" s="293">
        <f>IF(AA278="kW",SUMPRODUCT(N279:N382,Q279:Q382,AA279:AA382),SUMPRODUCT(F279:F382,AA279:AA382))</f>
        <v>282.94961756510816</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170630.64539053896</v>
      </c>
      <c r="Z397" s="293">
        <f>SUMPRODUCT(G279:G382,Z279:Z382)</f>
        <v>1189277.8021867725</v>
      </c>
      <c r="AA397" s="293">
        <f>IF(AA278="kW",SUMPRODUCT(N279:N382,R279:R382,AA279:AA382),SUMPRODUCT(G279:G382,AA279:AA382))</f>
        <v>282.94961756510816</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152850.27773268899</v>
      </c>
      <c r="Z398" s="293">
        <f>SUMPRODUCT(H279:H382,Z279:Z382)</f>
        <v>1092095.4102333195</v>
      </c>
      <c r="AA398" s="293">
        <f>IF(AA278="kW",SUMPRODUCT(N279:N382,S279:S382,AA279:AA382),SUMPRODUCT(H279:H382,AA279:AA382))</f>
        <v>272.90423318722719</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140810.95602466186</v>
      </c>
      <c r="Z399" s="293">
        <f>SUMPRODUCT(I279:I382,Z279:Z382)</f>
        <v>1083036.5274362201</v>
      </c>
      <c r="AA399" s="293">
        <f>IF(AA278="kW",SUMPRODUCT(N279:N382,T279:T382,AA279:AA382),SUMPRODUCT(I279:I382,AA279:AA382))</f>
        <v>261.53920809936193</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139608.33189441284</v>
      </c>
      <c r="Z400" s="293">
        <f>SUMPRODUCT(J279:J382,Z279:Z382)</f>
        <v>1083036.5274362201</v>
      </c>
      <c r="AA400" s="293">
        <f>IF(AA278="kW",SUMPRODUCT(N279:N382,U279:U382,AA279:AA382),SUMPRODUCT(J279:J382,AA279:AA382))</f>
        <v>261.53920809936193</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138728.49003650268</v>
      </c>
      <c r="Z401" s="328">
        <f>SUMPRODUCT(K279:K382,Z279:Z382)</f>
        <v>1080026.7078875869</v>
      </c>
      <c r="AA401" s="328">
        <f>IF(AA278="kW",SUMPRODUCT(N279:N382,V279:V382,AA279:AA382),SUMPRODUCT(K279:K382,AA279:AA382))</f>
        <v>261.53920809936193</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592</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259</v>
      </c>
      <c r="C404" s="283"/>
      <c r="D404" s="590" t="s">
        <v>523</v>
      </c>
      <c r="F404" s="590"/>
      <c r="O404" s="283"/>
      <c r="Y404" s="272"/>
      <c r="Z404" s="269"/>
      <c r="AA404" s="269"/>
      <c r="AB404" s="269"/>
      <c r="AC404" s="269"/>
      <c r="AD404" s="269"/>
      <c r="AE404" s="269"/>
      <c r="AF404" s="269"/>
      <c r="AG404" s="269"/>
      <c r="AH404" s="269"/>
      <c r="AI404" s="269"/>
      <c r="AJ404" s="269"/>
      <c r="AK404" s="269"/>
      <c r="AL404" s="269"/>
      <c r="AM404" s="284"/>
    </row>
    <row r="405" spans="1:40" ht="36" customHeight="1">
      <c r="B405" s="870" t="s">
        <v>212</v>
      </c>
      <c r="C405" s="872" t="s">
        <v>33</v>
      </c>
      <c r="D405" s="286" t="s">
        <v>424</v>
      </c>
      <c r="E405" s="874" t="s">
        <v>210</v>
      </c>
      <c r="F405" s="875"/>
      <c r="G405" s="875"/>
      <c r="H405" s="875"/>
      <c r="I405" s="875"/>
      <c r="J405" s="875"/>
      <c r="K405" s="875"/>
      <c r="L405" s="875"/>
      <c r="M405" s="876"/>
      <c r="N405" s="880" t="s">
        <v>214</v>
      </c>
      <c r="O405" s="286" t="s">
        <v>425</v>
      </c>
      <c r="P405" s="874" t="s">
        <v>213</v>
      </c>
      <c r="Q405" s="875"/>
      <c r="R405" s="875"/>
      <c r="S405" s="875"/>
      <c r="T405" s="875"/>
      <c r="U405" s="875"/>
      <c r="V405" s="875"/>
      <c r="W405" s="875"/>
      <c r="X405" s="876"/>
      <c r="Y405" s="877" t="s">
        <v>244</v>
      </c>
      <c r="Z405" s="878"/>
      <c r="AA405" s="878"/>
      <c r="AB405" s="878"/>
      <c r="AC405" s="878"/>
      <c r="AD405" s="878"/>
      <c r="AE405" s="878"/>
      <c r="AF405" s="878"/>
      <c r="AG405" s="878"/>
      <c r="AH405" s="878"/>
      <c r="AI405" s="878"/>
      <c r="AJ405" s="878"/>
      <c r="AK405" s="878"/>
      <c r="AL405" s="878"/>
      <c r="AM405" s="879"/>
    </row>
    <row r="406" spans="1:40" ht="45.75" customHeight="1">
      <c r="B406" s="871"/>
      <c r="C406" s="873"/>
      <c r="D406" s="287">
        <v>2014</v>
      </c>
      <c r="E406" s="287">
        <v>2015</v>
      </c>
      <c r="F406" s="287">
        <v>2016</v>
      </c>
      <c r="G406" s="287">
        <v>2017</v>
      </c>
      <c r="H406" s="287">
        <v>2018</v>
      </c>
      <c r="I406" s="287">
        <v>2019</v>
      </c>
      <c r="J406" s="287">
        <v>2020</v>
      </c>
      <c r="K406" s="287">
        <v>2021</v>
      </c>
      <c r="L406" s="287">
        <v>2022</v>
      </c>
      <c r="M406" s="287">
        <v>2023</v>
      </c>
      <c r="N406" s="881"/>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GS&gt;50 kW</v>
      </c>
      <c r="AB406" s="287" t="str">
        <f>'1.  LRAMVA Summary'!G50</f>
        <v>Streetlights</v>
      </c>
      <c r="AC406" s="287" t="str">
        <f>'1.  LRAMVA Summary'!H50</f>
        <v>Unmetered Scattered Load</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0"/>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KWh</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hidden="1" outlineLevel="1">
      <c r="A408" s="509">
        <v>1</v>
      </c>
      <c r="B408" s="296" t="s">
        <v>1</v>
      </c>
      <c r="C408" s="293" t="s">
        <v>25</v>
      </c>
      <c r="D408" s="297">
        <v>27957.705229729738</v>
      </c>
      <c r="E408" s="297">
        <v>27957.705229729738</v>
      </c>
      <c r="F408" s="297">
        <v>27957.705229729738</v>
      </c>
      <c r="G408" s="297">
        <v>27853.297183122068</v>
      </c>
      <c r="H408" s="297">
        <v>18777.442687282917</v>
      </c>
      <c r="I408" s="297">
        <v>0</v>
      </c>
      <c r="J408" s="297">
        <v>0</v>
      </c>
      <c r="K408" s="297">
        <v>0</v>
      </c>
      <c r="L408" s="297">
        <v>0</v>
      </c>
      <c r="M408" s="297">
        <v>0</v>
      </c>
      <c r="N408" s="293"/>
      <c r="O408" s="297">
        <v>4.1298378761077768</v>
      </c>
      <c r="P408" s="297">
        <v>4.1298378761077768</v>
      </c>
      <c r="Q408" s="297">
        <v>4.1298378761077768</v>
      </c>
      <c r="R408" s="297">
        <v>4.0130835786335872</v>
      </c>
      <c r="S408" s="297">
        <v>2.7596109521709673</v>
      </c>
      <c r="T408" s="297">
        <v>0</v>
      </c>
      <c r="U408" s="297">
        <v>0</v>
      </c>
      <c r="V408" s="297">
        <v>0</v>
      </c>
      <c r="W408" s="297">
        <v>0</v>
      </c>
      <c r="X408" s="297">
        <v>0</v>
      </c>
      <c r="Y408" s="417">
        <v>1</v>
      </c>
      <c r="Z408" s="417">
        <v>0</v>
      </c>
      <c r="AA408" s="417">
        <v>0</v>
      </c>
      <c r="AB408" s="412"/>
      <c r="AC408" s="412"/>
      <c r="AD408" s="412"/>
      <c r="AE408" s="412"/>
      <c r="AF408" s="412"/>
      <c r="AG408" s="412"/>
      <c r="AH408" s="412"/>
      <c r="AI408" s="412"/>
      <c r="AJ408" s="412"/>
      <c r="AK408" s="412"/>
      <c r="AL408" s="412"/>
      <c r="AM408" s="298">
        <f>SUM(Y408:AL408)</f>
        <v>1</v>
      </c>
    </row>
    <row r="409" spans="1:40" ht="15" hidden="1" outlineLevel="1">
      <c r="B409" s="296" t="s">
        <v>260</v>
      </c>
      <c r="C409" s="293" t="s">
        <v>164</v>
      </c>
      <c r="D409" s="297"/>
      <c r="E409" s="297"/>
      <c r="F409" s="297"/>
      <c r="G409" s="297"/>
      <c r="H409" s="297"/>
      <c r="I409" s="297"/>
      <c r="J409" s="297"/>
      <c r="K409" s="297"/>
      <c r="L409" s="297"/>
      <c r="M409" s="297"/>
      <c r="N409" s="469"/>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hidden="1" outlineLevel="1">
      <c r="A410" s="511"/>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hidden="1" outlineLevel="1">
      <c r="A411" s="509">
        <v>2</v>
      </c>
      <c r="B411" s="296" t="s">
        <v>2</v>
      </c>
      <c r="C411" s="293" t="s">
        <v>25</v>
      </c>
      <c r="D411" s="297">
        <v>6649.9178032362843</v>
      </c>
      <c r="E411" s="297">
        <v>6649.9178032362843</v>
      </c>
      <c r="F411" s="297">
        <v>6649.9178032362843</v>
      </c>
      <c r="G411" s="297">
        <v>6649.9178032362843</v>
      </c>
      <c r="H411" s="297">
        <v>0</v>
      </c>
      <c r="I411" s="297">
        <v>0</v>
      </c>
      <c r="J411" s="297">
        <v>0</v>
      </c>
      <c r="K411" s="297">
        <v>0</v>
      </c>
      <c r="L411" s="297">
        <v>0</v>
      </c>
      <c r="M411" s="297">
        <v>0</v>
      </c>
      <c r="N411" s="293"/>
      <c r="O411" s="297">
        <v>3.7294937827141337</v>
      </c>
      <c r="P411" s="297">
        <v>3.7294937827141337</v>
      </c>
      <c r="Q411" s="297">
        <v>3.7294937827141337</v>
      </c>
      <c r="R411" s="297">
        <v>3.7294937827141337</v>
      </c>
      <c r="S411" s="297">
        <v>0</v>
      </c>
      <c r="T411" s="297">
        <v>0</v>
      </c>
      <c r="U411" s="297">
        <v>0</v>
      </c>
      <c r="V411" s="297">
        <v>0</v>
      </c>
      <c r="W411" s="297">
        <v>0</v>
      </c>
      <c r="X411" s="297">
        <v>0</v>
      </c>
      <c r="Y411" s="417">
        <v>1</v>
      </c>
      <c r="Z411" s="417">
        <v>0</v>
      </c>
      <c r="AA411" s="417">
        <v>0</v>
      </c>
      <c r="AB411" s="412"/>
      <c r="AC411" s="412"/>
      <c r="AD411" s="412"/>
      <c r="AE411" s="412"/>
      <c r="AF411" s="412"/>
      <c r="AG411" s="412"/>
      <c r="AH411" s="412"/>
      <c r="AI411" s="412"/>
      <c r="AJ411" s="412"/>
      <c r="AK411" s="412"/>
      <c r="AL411" s="412"/>
      <c r="AM411" s="298">
        <f>SUM(Y411:AL411)</f>
        <v>1</v>
      </c>
    </row>
    <row r="412" spans="1:40" ht="15" hidden="1" outlineLevel="1">
      <c r="B412" s="296" t="s">
        <v>260</v>
      </c>
      <c r="C412" s="293" t="s">
        <v>164</v>
      </c>
      <c r="D412" s="297"/>
      <c r="E412" s="297"/>
      <c r="F412" s="297"/>
      <c r="G412" s="297"/>
      <c r="H412" s="297"/>
      <c r="I412" s="297"/>
      <c r="J412" s="297"/>
      <c r="K412" s="297"/>
      <c r="L412" s="297"/>
      <c r="M412" s="297"/>
      <c r="N412" s="469"/>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hidden="1" outlineLevel="1">
      <c r="A413" s="511"/>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hidden="1" outlineLevel="1">
      <c r="A414" s="509">
        <v>3</v>
      </c>
      <c r="B414" s="296" t="s">
        <v>3</v>
      </c>
      <c r="C414" s="293" t="s">
        <v>25</v>
      </c>
      <c r="D414" s="297">
        <v>83687.272644498473</v>
      </c>
      <c r="E414" s="297">
        <v>83687.272644498473</v>
      </c>
      <c r="F414" s="297">
        <v>83687.272644498473</v>
      </c>
      <c r="G414" s="297">
        <v>83687.272644498473</v>
      </c>
      <c r="H414" s="297">
        <v>83687.272644498473</v>
      </c>
      <c r="I414" s="297">
        <v>83687.272644498473</v>
      </c>
      <c r="J414" s="297">
        <v>83687.272644498473</v>
      </c>
      <c r="K414" s="297">
        <v>83687.272644498473</v>
      </c>
      <c r="L414" s="297">
        <v>83687.272644498473</v>
      </c>
      <c r="M414" s="297">
        <v>83687.272644498473</v>
      </c>
      <c r="N414" s="293"/>
      <c r="O414" s="297">
        <v>44.894053371686638</v>
      </c>
      <c r="P414" s="297">
        <v>44.894053371686638</v>
      </c>
      <c r="Q414" s="297">
        <v>44.894053371686638</v>
      </c>
      <c r="R414" s="297">
        <v>44.894053371686638</v>
      </c>
      <c r="S414" s="297">
        <v>44.894053371686638</v>
      </c>
      <c r="T414" s="297">
        <v>44.894053371686638</v>
      </c>
      <c r="U414" s="297">
        <v>44.894053371686638</v>
      </c>
      <c r="V414" s="297">
        <v>44.894053371686638</v>
      </c>
      <c r="W414" s="297">
        <v>44.894053371686638</v>
      </c>
      <c r="X414" s="297">
        <v>44.894053371686638</v>
      </c>
      <c r="Y414" s="417">
        <v>1</v>
      </c>
      <c r="Z414" s="417">
        <v>0</v>
      </c>
      <c r="AA414" s="417">
        <v>0</v>
      </c>
      <c r="AB414" s="412"/>
      <c r="AC414" s="412"/>
      <c r="AD414" s="412"/>
      <c r="AE414" s="412"/>
      <c r="AF414" s="412"/>
      <c r="AG414" s="412"/>
      <c r="AH414" s="412"/>
      <c r="AI414" s="412"/>
      <c r="AJ414" s="412"/>
      <c r="AK414" s="412"/>
      <c r="AL414" s="412"/>
      <c r="AM414" s="298">
        <f>SUM(Y414:AL414)</f>
        <v>1</v>
      </c>
    </row>
    <row r="415" spans="1:40" ht="15" hidden="1" outlineLevel="1">
      <c r="B415" s="296" t="s">
        <v>260</v>
      </c>
      <c r="C415" s="293" t="s">
        <v>164</v>
      </c>
      <c r="D415" s="297"/>
      <c r="E415" s="297"/>
      <c r="F415" s="297"/>
      <c r="G415" s="297"/>
      <c r="H415" s="297"/>
      <c r="I415" s="297"/>
      <c r="J415" s="297"/>
      <c r="K415" s="297"/>
      <c r="L415" s="297"/>
      <c r="M415" s="297"/>
      <c r="N415" s="469"/>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hidden="1"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hidden="1" outlineLevel="1">
      <c r="A417" s="509">
        <v>4</v>
      </c>
      <c r="B417" s="296" t="s">
        <v>4</v>
      </c>
      <c r="C417" s="293" t="s">
        <v>25</v>
      </c>
      <c r="D417" s="297">
        <v>89961.535225374697</v>
      </c>
      <c r="E417" s="297">
        <v>83924.710130673979</v>
      </c>
      <c r="F417" s="297">
        <v>81007.343504348275</v>
      </c>
      <c r="G417" s="297">
        <v>81007.343504348275</v>
      </c>
      <c r="H417" s="297">
        <v>81007.343504348275</v>
      </c>
      <c r="I417" s="297">
        <v>81007.343504348275</v>
      </c>
      <c r="J417" s="297">
        <v>81007.343504348275</v>
      </c>
      <c r="K417" s="297">
        <v>77530.583189075332</v>
      </c>
      <c r="L417" s="297">
        <v>77530.583189075332</v>
      </c>
      <c r="M417" s="297">
        <v>64232.622558398536</v>
      </c>
      <c r="N417" s="293"/>
      <c r="O417" s="297">
        <v>6.6167255093147945</v>
      </c>
      <c r="P417" s="297">
        <v>6.2377499350464882</v>
      </c>
      <c r="Q417" s="297">
        <v>6.0546055379140444</v>
      </c>
      <c r="R417" s="297">
        <v>6.0546055379140444</v>
      </c>
      <c r="S417" s="297">
        <v>6.0546055379140444</v>
      </c>
      <c r="T417" s="297">
        <v>6.0546055379140444</v>
      </c>
      <c r="U417" s="297">
        <v>6.0546055379140444</v>
      </c>
      <c r="V417" s="297">
        <v>5.8291274139485685</v>
      </c>
      <c r="W417" s="297">
        <v>5.8291274139485685</v>
      </c>
      <c r="X417" s="297">
        <v>4.9937842348215291</v>
      </c>
      <c r="Y417" s="417">
        <v>1</v>
      </c>
      <c r="Z417" s="417">
        <v>0</v>
      </c>
      <c r="AA417" s="417">
        <v>0</v>
      </c>
      <c r="AB417" s="412"/>
      <c r="AC417" s="412"/>
      <c r="AD417" s="412"/>
      <c r="AE417" s="412"/>
      <c r="AF417" s="412"/>
      <c r="AG417" s="412"/>
      <c r="AH417" s="412"/>
      <c r="AI417" s="412"/>
      <c r="AJ417" s="412"/>
      <c r="AK417" s="412"/>
      <c r="AL417" s="412"/>
      <c r="AM417" s="298">
        <f>SUM(Y417:AL417)</f>
        <v>1</v>
      </c>
    </row>
    <row r="418" spans="1:39" ht="15" hidden="1" outlineLevel="1">
      <c r="B418" s="296" t="s">
        <v>260</v>
      </c>
      <c r="C418" s="293" t="s">
        <v>164</v>
      </c>
      <c r="D418" s="297"/>
      <c r="E418" s="297"/>
      <c r="F418" s="297"/>
      <c r="G418" s="297"/>
      <c r="H418" s="297"/>
      <c r="I418" s="297"/>
      <c r="J418" s="297"/>
      <c r="K418" s="297"/>
      <c r="L418" s="297"/>
      <c r="M418" s="297"/>
      <c r="N418" s="469"/>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hidden="1"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hidden="1" outlineLevel="1">
      <c r="A420" s="509">
        <v>5</v>
      </c>
      <c r="B420" s="296" t="s">
        <v>5</v>
      </c>
      <c r="C420" s="293" t="s">
        <v>25</v>
      </c>
      <c r="D420" s="297">
        <v>351226.18611423316</v>
      </c>
      <c r="E420" s="297">
        <v>304685.00632323849</v>
      </c>
      <c r="F420" s="297">
        <v>280430.3204001548</v>
      </c>
      <c r="G420" s="297">
        <v>280430.3204001548</v>
      </c>
      <c r="H420" s="297">
        <v>280430.3204001548</v>
      </c>
      <c r="I420" s="297">
        <v>280430.3204001548</v>
      </c>
      <c r="J420" s="297">
        <v>280430.3204001548</v>
      </c>
      <c r="K420" s="297">
        <v>280308.84224234865</v>
      </c>
      <c r="L420" s="297">
        <v>280308.84224234865</v>
      </c>
      <c r="M420" s="297">
        <v>260702.79631923485</v>
      </c>
      <c r="N420" s="293"/>
      <c r="O420" s="297">
        <v>22.986101298954747</v>
      </c>
      <c r="P420" s="297">
        <v>20.064371737185652</v>
      </c>
      <c r="Q420" s="297">
        <v>18.541728065685724</v>
      </c>
      <c r="R420" s="297">
        <v>18.541728065685724</v>
      </c>
      <c r="S420" s="297">
        <v>18.541728065685724</v>
      </c>
      <c r="T420" s="297">
        <v>18.541728065685724</v>
      </c>
      <c r="U420" s="297">
        <v>18.541728065685724</v>
      </c>
      <c r="V420" s="297">
        <v>18.527860696073152</v>
      </c>
      <c r="W420" s="297">
        <v>18.527860696073152</v>
      </c>
      <c r="X420" s="297">
        <v>17.297046088016131</v>
      </c>
      <c r="Y420" s="417">
        <v>1</v>
      </c>
      <c r="Z420" s="417">
        <v>0</v>
      </c>
      <c r="AA420" s="417">
        <v>0</v>
      </c>
      <c r="AB420" s="412"/>
      <c r="AC420" s="412"/>
      <c r="AD420" s="412"/>
      <c r="AE420" s="412"/>
      <c r="AF420" s="412"/>
      <c r="AG420" s="412"/>
      <c r="AH420" s="412"/>
      <c r="AI420" s="412"/>
      <c r="AJ420" s="412"/>
      <c r="AK420" s="412"/>
      <c r="AL420" s="412"/>
      <c r="AM420" s="298">
        <f>SUM(Y420:AL420)</f>
        <v>1</v>
      </c>
    </row>
    <row r="421" spans="1:39" ht="15" hidden="1" outlineLevel="1">
      <c r="B421" s="296" t="s">
        <v>260</v>
      </c>
      <c r="C421" s="293" t="s">
        <v>164</v>
      </c>
      <c r="D421" s="297"/>
      <c r="E421" s="297"/>
      <c r="F421" s="297"/>
      <c r="G421" s="297"/>
      <c r="H421" s="297"/>
      <c r="I421" s="297"/>
      <c r="J421" s="297"/>
      <c r="K421" s="297"/>
      <c r="L421" s="297"/>
      <c r="M421" s="297"/>
      <c r="N421" s="469"/>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hidden="1"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hidden="1" outlineLevel="1">
      <c r="A423" s="509">
        <v>6</v>
      </c>
      <c r="B423" s="296" t="s">
        <v>6</v>
      </c>
      <c r="C423" s="293" t="s">
        <v>25</v>
      </c>
      <c r="D423" s="297" t="s">
        <v>708</v>
      </c>
      <c r="E423" s="297" t="s">
        <v>708</v>
      </c>
      <c r="F423" s="297" t="s">
        <v>708</v>
      </c>
      <c r="G423" s="297" t="s">
        <v>708</v>
      </c>
      <c r="H423" s="297" t="s">
        <v>708</v>
      </c>
      <c r="I423" s="297" t="s">
        <v>708</v>
      </c>
      <c r="J423" s="297" t="s">
        <v>708</v>
      </c>
      <c r="K423" s="297" t="s">
        <v>708</v>
      </c>
      <c r="L423" s="297" t="s">
        <v>708</v>
      </c>
      <c r="M423" s="297" t="s">
        <v>708</v>
      </c>
      <c r="N423" s="293"/>
      <c r="O423" s="297" t="s">
        <v>708</v>
      </c>
      <c r="P423" s="297" t="s">
        <v>708</v>
      </c>
      <c r="Q423" s="297" t="s">
        <v>708</v>
      </c>
      <c r="R423" s="297" t="s">
        <v>708</v>
      </c>
      <c r="S423" s="297" t="s">
        <v>708</v>
      </c>
      <c r="T423" s="297" t="s">
        <v>708</v>
      </c>
      <c r="U423" s="297" t="s">
        <v>708</v>
      </c>
      <c r="V423" s="297" t="s">
        <v>708</v>
      </c>
      <c r="W423" s="297" t="s">
        <v>708</v>
      </c>
      <c r="X423" s="297" t="s">
        <v>708</v>
      </c>
      <c r="Y423" s="412"/>
      <c r="Z423" s="412"/>
      <c r="AA423" s="412"/>
      <c r="AB423" s="412"/>
      <c r="AC423" s="412"/>
      <c r="AD423" s="412"/>
      <c r="AE423" s="412"/>
      <c r="AF423" s="412"/>
      <c r="AG423" s="412"/>
      <c r="AH423" s="412"/>
      <c r="AI423" s="412"/>
      <c r="AJ423" s="412"/>
      <c r="AK423" s="412"/>
      <c r="AL423" s="412"/>
      <c r="AM423" s="298">
        <f>SUM(Y423:AL423)</f>
        <v>0</v>
      </c>
    </row>
    <row r="424" spans="1:39" ht="15" hidden="1" outlineLevel="1">
      <c r="B424" s="296" t="s">
        <v>260</v>
      </c>
      <c r="C424" s="293" t="s">
        <v>164</v>
      </c>
      <c r="D424" s="297"/>
      <c r="E424" s="297"/>
      <c r="F424" s="297"/>
      <c r="G424" s="297"/>
      <c r="H424" s="297"/>
      <c r="I424" s="297"/>
      <c r="J424" s="297"/>
      <c r="K424" s="297"/>
      <c r="L424" s="297"/>
      <c r="M424" s="297"/>
      <c r="N424" s="469"/>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hidden="1"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hidden="1" outlineLevel="1">
      <c r="A426" s="509">
        <v>7</v>
      </c>
      <c r="B426" s="296" t="s">
        <v>42</v>
      </c>
      <c r="C426" s="293" t="s">
        <v>25</v>
      </c>
      <c r="D426" s="297">
        <v>0</v>
      </c>
      <c r="E426" s="297">
        <v>0</v>
      </c>
      <c r="F426" s="297">
        <v>0</v>
      </c>
      <c r="G426" s="297">
        <v>0</v>
      </c>
      <c r="H426" s="297">
        <v>0</v>
      </c>
      <c r="I426" s="297">
        <v>0</v>
      </c>
      <c r="J426" s="297">
        <v>0</v>
      </c>
      <c r="K426" s="297">
        <v>0</v>
      </c>
      <c r="L426" s="297">
        <v>0</v>
      </c>
      <c r="M426" s="297">
        <v>0</v>
      </c>
      <c r="N426" s="293"/>
      <c r="O426" s="297">
        <v>279</v>
      </c>
      <c r="P426" s="297">
        <v>0</v>
      </c>
      <c r="Q426" s="297">
        <v>0</v>
      </c>
      <c r="R426" s="297">
        <v>0</v>
      </c>
      <c r="S426" s="297">
        <v>0</v>
      </c>
      <c r="T426" s="297">
        <v>0</v>
      </c>
      <c r="U426" s="297">
        <v>0</v>
      </c>
      <c r="V426" s="297">
        <v>0</v>
      </c>
      <c r="W426" s="297">
        <v>0</v>
      </c>
      <c r="X426" s="297">
        <v>0</v>
      </c>
      <c r="Y426" s="412">
        <v>1</v>
      </c>
      <c r="Z426" s="412">
        <v>0</v>
      </c>
      <c r="AA426" s="412">
        <v>0</v>
      </c>
      <c r="AB426" s="412"/>
      <c r="AC426" s="412"/>
      <c r="AD426" s="412"/>
      <c r="AE426" s="412"/>
      <c r="AF426" s="412"/>
      <c r="AG426" s="412"/>
      <c r="AH426" s="412"/>
      <c r="AI426" s="412"/>
      <c r="AJ426" s="412"/>
      <c r="AK426" s="412"/>
      <c r="AL426" s="412"/>
      <c r="AM426" s="298">
        <f>SUM(Y426:AL426)</f>
        <v>1</v>
      </c>
    </row>
    <row r="427" spans="1:39" ht="15" hidden="1"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hidden="1"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hidden="1" outlineLevel="1">
      <c r="A429" s="509">
        <v>8</v>
      </c>
      <c r="B429" s="296" t="s">
        <v>487</v>
      </c>
      <c r="C429" s="293" t="s">
        <v>25</v>
      </c>
      <c r="D429" s="297" t="s">
        <v>708</v>
      </c>
      <c r="E429" s="297" t="s">
        <v>708</v>
      </c>
      <c r="F429" s="297" t="s">
        <v>708</v>
      </c>
      <c r="G429" s="297" t="s">
        <v>708</v>
      </c>
      <c r="H429" s="297" t="s">
        <v>708</v>
      </c>
      <c r="I429" s="297" t="s">
        <v>708</v>
      </c>
      <c r="J429" s="297" t="s">
        <v>708</v>
      </c>
      <c r="K429" s="297" t="s">
        <v>708</v>
      </c>
      <c r="L429" s="297" t="s">
        <v>708</v>
      </c>
      <c r="M429" s="297" t="s">
        <v>708</v>
      </c>
      <c r="N429" s="293"/>
      <c r="O429" s="297" t="s">
        <v>708</v>
      </c>
      <c r="P429" s="297" t="s">
        <v>708</v>
      </c>
      <c r="Q429" s="297" t="s">
        <v>708</v>
      </c>
      <c r="R429" s="297" t="s">
        <v>708</v>
      </c>
      <c r="S429" s="297" t="s">
        <v>708</v>
      </c>
      <c r="T429" s="297" t="s">
        <v>708</v>
      </c>
      <c r="U429" s="297" t="s">
        <v>708</v>
      </c>
      <c r="V429" s="297" t="s">
        <v>708</v>
      </c>
      <c r="W429" s="297" t="s">
        <v>708</v>
      </c>
      <c r="X429" s="297" t="s">
        <v>708</v>
      </c>
      <c r="Y429" s="412"/>
      <c r="Z429" s="412"/>
      <c r="AA429" s="412"/>
      <c r="AB429" s="412"/>
      <c r="AC429" s="412"/>
      <c r="AD429" s="412"/>
      <c r="AE429" s="412"/>
      <c r="AF429" s="412"/>
      <c r="AG429" s="412"/>
      <c r="AH429" s="412"/>
      <c r="AI429" s="412"/>
      <c r="AJ429" s="412"/>
      <c r="AK429" s="412"/>
      <c r="AL429" s="412"/>
      <c r="AM429" s="298">
        <f>SUM(Y429:AL429)</f>
        <v>0</v>
      </c>
    </row>
    <row r="430" spans="1:39" s="285" customFormat="1" ht="15" hidden="1" outlineLevel="1">
      <c r="A430" s="509"/>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hidden="1" outlineLevel="1">
      <c r="A431" s="509"/>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hidden="1" outlineLevel="1">
      <c r="A432" s="509">
        <v>9</v>
      </c>
      <c r="B432" s="296" t="s">
        <v>7</v>
      </c>
      <c r="C432" s="293" t="s">
        <v>25</v>
      </c>
      <c r="D432" s="297" t="s">
        <v>708</v>
      </c>
      <c r="E432" s="297" t="s">
        <v>708</v>
      </c>
      <c r="F432" s="297" t="s">
        <v>708</v>
      </c>
      <c r="G432" s="297" t="s">
        <v>708</v>
      </c>
      <c r="H432" s="297" t="s">
        <v>708</v>
      </c>
      <c r="I432" s="297" t="s">
        <v>708</v>
      </c>
      <c r="J432" s="297" t="s">
        <v>708</v>
      </c>
      <c r="K432" s="297" t="s">
        <v>708</v>
      </c>
      <c r="L432" s="297" t="s">
        <v>708</v>
      </c>
      <c r="M432" s="297" t="s">
        <v>708</v>
      </c>
      <c r="N432" s="293"/>
      <c r="O432" s="297" t="s">
        <v>708</v>
      </c>
      <c r="P432" s="297" t="s">
        <v>708</v>
      </c>
      <c r="Q432" s="297" t="s">
        <v>708</v>
      </c>
      <c r="R432" s="297" t="s">
        <v>708</v>
      </c>
      <c r="S432" s="297" t="s">
        <v>708</v>
      </c>
      <c r="T432" s="297" t="s">
        <v>708</v>
      </c>
      <c r="U432" s="297" t="s">
        <v>708</v>
      </c>
      <c r="V432" s="297" t="s">
        <v>708</v>
      </c>
      <c r="W432" s="297" t="s">
        <v>708</v>
      </c>
      <c r="X432" s="297" t="s">
        <v>708</v>
      </c>
      <c r="Y432" s="412"/>
      <c r="Z432" s="412"/>
      <c r="AA432" s="412"/>
      <c r="AB432" s="412"/>
      <c r="AC432" s="412"/>
      <c r="AD432" s="412"/>
      <c r="AE432" s="412"/>
      <c r="AF432" s="412"/>
      <c r="AG432" s="412"/>
      <c r="AH432" s="412"/>
      <c r="AI432" s="412"/>
      <c r="AJ432" s="412"/>
      <c r="AK432" s="412"/>
      <c r="AL432" s="412"/>
      <c r="AM432" s="298">
        <f>SUM(Y432:AL432)</f>
        <v>0</v>
      </c>
    </row>
    <row r="433" spans="1:39" ht="15" hidden="1"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hidden="1"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hidden="1" outlineLevel="1">
      <c r="A435" s="510"/>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hidden="1" outlineLevel="1">
      <c r="A436" s="509">
        <v>10</v>
      </c>
      <c r="B436" s="312" t="s">
        <v>22</v>
      </c>
      <c r="C436" s="293" t="s">
        <v>25</v>
      </c>
      <c r="D436" s="297">
        <v>552594.79435522202</v>
      </c>
      <c r="E436" s="297">
        <v>551678.52056968457</v>
      </c>
      <c r="F436" s="297">
        <v>551678.52056968457</v>
      </c>
      <c r="G436" s="297">
        <v>541165.49700816954</v>
      </c>
      <c r="H436" s="297">
        <v>541165.49700816954</v>
      </c>
      <c r="I436" s="297">
        <v>541165.49700816954</v>
      </c>
      <c r="J436" s="297">
        <v>529470.61972881772</v>
      </c>
      <c r="K436" s="297">
        <v>529470.61972881772</v>
      </c>
      <c r="L436" s="297">
        <v>526821.64176762477</v>
      </c>
      <c r="M436" s="297">
        <v>476661.55142668163</v>
      </c>
      <c r="N436" s="297">
        <v>12</v>
      </c>
      <c r="O436" s="297">
        <v>83.101029357371075</v>
      </c>
      <c r="P436" s="297">
        <v>82.83799597055625</v>
      </c>
      <c r="Q436" s="297">
        <v>82.83799597055625</v>
      </c>
      <c r="R436" s="297">
        <v>79.820037542958829</v>
      </c>
      <c r="S436" s="297">
        <v>79.820037542958829</v>
      </c>
      <c r="T436" s="297">
        <v>79.820037542958829</v>
      </c>
      <c r="U436" s="297">
        <v>78.208603564165131</v>
      </c>
      <c r="V436" s="297">
        <v>78.208603564165131</v>
      </c>
      <c r="W436" s="297">
        <v>77.414195063849178</v>
      </c>
      <c r="X436" s="297">
        <v>70.587378159759226</v>
      </c>
      <c r="Y436" s="417">
        <v>0</v>
      </c>
      <c r="Z436" s="417">
        <v>0.76245730345213891</v>
      </c>
      <c r="AA436" s="417">
        <v>0.23754269654786117</v>
      </c>
      <c r="AB436" s="470"/>
      <c r="AC436" s="417"/>
      <c r="AD436" s="417"/>
      <c r="AE436" s="417"/>
      <c r="AF436" s="417"/>
      <c r="AG436" s="417"/>
      <c r="AH436" s="417"/>
      <c r="AI436" s="417"/>
      <c r="AJ436" s="417"/>
      <c r="AK436" s="417"/>
      <c r="AL436" s="417"/>
      <c r="AM436" s="298">
        <f>SUM(Y436:AL436)</f>
        <v>1</v>
      </c>
    </row>
    <row r="437" spans="1:39" ht="15" hidden="1"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0.76245730345213891</v>
      </c>
      <c r="AA437" s="413">
        <f t="shared" ref="AA437:AL437" si="127">AA436</f>
        <v>0.23754269654786117</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hidden="1"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hidden="1" outlineLevel="1">
      <c r="A439" s="509">
        <v>11</v>
      </c>
      <c r="B439" s="316" t="s">
        <v>21</v>
      </c>
      <c r="C439" s="293" t="s">
        <v>25</v>
      </c>
      <c r="D439" s="297">
        <v>992786.09652314859</v>
      </c>
      <c r="E439" s="297">
        <v>989532.81157215475</v>
      </c>
      <c r="F439" s="297">
        <v>664982.44568356324</v>
      </c>
      <c r="G439" s="297">
        <v>605510.42184878653</v>
      </c>
      <c r="H439" s="297">
        <v>605510.42184878653</v>
      </c>
      <c r="I439" s="297">
        <v>605510.42184878653</v>
      </c>
      <c r="J439" s="297">
        <v>605510.42184878653</v>
      </c>
      <c r="K439" s="297">
        <v>605510.42184878653</v>
      </c>
      <c r="L439" s="297">
        <v>605510.42184878653</v>
      </c>
      <c r="M439" s="297">
        <v>605510.42184878653</v>
      </c>
      <c r="N439" s="297">
        <v>12</v>
      </c>
      <c r="O439" s="297">
        <v>277.1682909162646</v>
      </c>
      <c r="P439" s="297">
        <v>276.23313329525052</v>
      </c>
      <c r="Q439" s="297">
        <v>183.89620350297886</v>
      </c>
      <c r="R439" s="297">
        <v>166.5157575141879</v>
      </c>
      <c r="S439" s="297">
        <v>166.5157575141879</v>
      </c>
      <c r="T439" s="297">
        <v>166.5157575141879</v>
      </c>
      <c r="U439" s="297">
        <v>166.5157575141879</v>
      </c>
      <c r="V439" s="297">
        <v>166.5157575141879</v>
      </c>
      <c r="W439" s="297">
        <v>166.5157575141879</v>
      </c>
      <c r="X439" s="297">
        <v>166.5157575141879</v>
      </c>
      <c r="Y439" s="417">
        <v>0</v>
      </c>
      <c r="Z439" s="417">
        <v>1</v>
      </c>
      <c r="AA439" s="417">
        <v>0</v>
      </c>
      <c r="AB439" s="417"/>
      <c r="AC439" s="417"/>
      <c r="AD439" s="417"/>
      <c r="AE439" s="417"/>
      <c r="AF439" s="417"/>
      <c r="AG439" s="417"/>
      <c r="AH439" s="417"/>
      <c r="AI439" s="417"/>
      <c r="AJ439" s="417"/>
      <c r="AK439" s="417"/>
      <c r="AL439" s="417"/>
      <c r="AM439" s="298">
        <f>SUM(Y439:AL439)</f>
        <v>1</v>
      </c>
    </row>
    <row r="440" spans="1:39" ht="15" hidden="1"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hidden="1"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hidden="1" outlineLevel="1">
      <c r="A442" s="509">
        <v>12</v>
      </c>
      <c r="B442" s="316" t="s">
        <v>23</v>
      </c>
      <c r="C442" s="293" t="s">
        <v>25</v>
      </c>
      <c r="D442" s="297" t="s">
        <v>708</v>
      </c>
      <c r="E442" s="297" t="s">
        <v>708</v>
      </c>
      <c r="F442" s="297" t="s">
        <v>708</v>
      </c>
      <c r="G442" s="297" t="s">
        <v>708</v>
      </c>
      <c r="H442" s="297" t="s">
        <v>708</v>
      </c>
      <c r="I442" s="297" t="s">
        <v>708</v>
      </c>
      <c r="J442" s="297" t="s">
        <v>708</v>
      </c>
      <c r="K442" s="297" t="s">
        <v>708</v>
      </c>
      <c r="L442" s="297" t="s">
        <v>708</v>
      </c>
      <c r="M442" s="297" t="s">
        <v>708</v>
      </c>
      <c r="N442" s="297">
        <v>3</v>
      </c>
      <c r="O442" s="297"/>
      <c r="P442" s="297"/>
      <c r="Q442" s="297"/>
      <c r="R442" s="297"/>
      <c r="S442" s="297"/>
      <c r="T442" s="297"/>
      <c r="U442" s="297"/>
      <c r="V442" s="297"/>
      <c r="W442" s="297"/>
      <c r="X442" s="297"/>
      <c r="Y442" s="417"/>
      <c r="Z442" s="417"/>
      <c r="AA442" s="470"/>
      <c r="AB442" s="417"/>
      <c r="AC442" s="417"/>
      <c r="AD442" s="417"/>
      <c r="AE442" s="417"/>
      <c r="AF442" s="417"/>
      <c r="AG442" s="417"/>
      <c r="AH442" s="417"/>
      <c r="AI442" s="417"/>
      <c r="AJ442" s="417"/>
      <c r="AK442" s="417"/>
      <c r="AL442" s="417"/>
      <c r="AM442" s="298">
        <f>SUM(Y442:AL442)</f>
        <v>0</v>
      </c>
    </row>
    <row r="443" spans="1:39" ht="15" hidden="1"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hidden="1"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hidden="1" outlineLevel="1">
      <c r="A445" s="509">
        <v>13</v>
      </c>
      <c r="B445" s="316" t="s">
        <v>24</v>
      </c>
      <c r="C445" s="293" t="s">
        <v>25</v>
      </c>
      <c r="D445" s="297" t="s">
        <v>708</v>
      </c>
      <c r="E445" s="297" t="s">
        <v>708</v>
      </c>
      <c r="F445" s="297" t="s">
        <v>708</v>
      </c>
      <c r="G445" s="297" t="s">
        <v>708</v>
      </c>
      <c r="H445" s="297" t="s">
        <v>708</v>
      </c>
      <c r="I445" s="297" t="s">
        <v>708</v>
      </c>
      <c r="J445" s="297" t="s">
        <v>708</v>
      </c>
      <c r="K445" s="297" t="s">
        <v>708</v>
      </c>
      <c r="L445" s="297" t="s">
        <v>708</v>
      </c>
      <c r="M445" s="297" t="s">
        <v>708</v>
      </c>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hidden="1"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hidden="1"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hidden="1" outlineLevel="1">
      <c r="A448" s="509">
        <v>14</v>
      </c>
      <c r="B448" s="316" t="s">
        <v>20</v>
      </c>
      <c r="C448" s="293" t="s">
        <v>25</v>
      </c>
      <c r="D448" s="297">
        <v>195820.71016667038</v>
      </c>
      <c r="E448" s="297">
        <v>195820.71016667038</v>
      </c>
      <c r="F448" s="297">
        <v>195820.71016667038</v>
      </c>
      <c r="G448" s="297">
        <v>195820.71016667038</v>
      </c>
      <c r="H448" s="297">
        <v>0</v>
      </c>
      <c r="I448" s="297">
        <v>0</v>
      </c>
      <c r="J448" s="297">
        <v>0</v>
      </c>
      <c r="K448" s="297">
        <v>0</v>
      </c>
      <c r="L448" s="297">
        <v>0</v>
      </c>
      <c r="M448" s="297">
        <v>0</v>
      </c>
      <c r="N448" s="297">
        <v>12</v>
      </c>
      <c r="O448" s="297">
        <v>40.100791547459252</v>
      </c>
      <c r="P448" s="297">
        <v>40.100791547459252</v>
      </c>
      <c r="Q448" s="297">
        <v>40.100791547459252</v>
      </c>
      <c r="R448" s="297">
        <v>40.100791547459252</v>
      </c>
      <c r="S448" s="297">
        <v>0</v>
      </c>
      <c r="T448" s="297">
        <v>0</v>
      </c>
      <c r="U448" s="297">
        <v>0</v>
      </c>
      <c r="V448" s="297">
        <v>0</v>
      </c>
      <c r="W448" s="297">
        <v>0</v>
      </c>
      <c r="X448" s="297">
        <v>0</v>
      </c>
      <c r="Y448" s="417">
        <v>0</v>
      </c>
      <c r="Z448" s="417">
        <v>0</v>
      </c>
      <c r="AA448" s="417">
        <v>1</v>
      </c>
      <c r="AB448" s="417"/>
      <c r="AC448" s="417"/>
      <c r="AD448" s="417"/>
      <c r="AE448" s="417"/>
      <c r="AF448" s="417"/>
      <c r="AG448" s="417"/>
      <c r="AH448" s="417"/>
      <c r="AI448" s="417"/>
      <c r="AJ448" s="417"/>
      <c r="AK448" s="417"/>
      <c r="AL448" s="417"/>
      <c r="AM448" s="298">
        <f>SUM(Y448:AL448)</f>
        <v>1</v>
      </c>
    </row>
    <row r="449" spans="1:39" ht="15" hidden="1"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1</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hidden="1"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hidden="1" outlineLevel="1">
      <c r="A451" s="509">
        <v>15</v>
      </c>
      <c r="B451" s="316" t="s">
        <v>488</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hidden="1" outlineLevel="1">
      <c r="A452" s="509"/>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hidden="1" outlineLevel="1">
      <c r="A453" s="509"/>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hidden="1" outlineLevel="1">
      <c r="A454" s="509">
        <v>16</v>
      </c>
      <c r="B454" s="316" t="s">
        <v>489</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hidden="1" outlineLevel="1">
      <c r="A455" s="509"/>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hidden="1" outlineLevel="1">
      <c r="A456" s="509"/>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hidden="1" outlineLevel="1">
      <c r="A457" s="509">
        <v>17</v>
      </c>
      <c r="B457" s="316" t="s">
        <v>9</v>
      </c>
      <c r="C457" s="293" t="s">
        <v>25</v>
      </c>
      <c r="D457" s="297"/>
      <c r="E457" s="297"/>
      <c r="F457" s="297"/>
      <c r="G457" s="297"/>
      <c r="H457" s="297"/>
      <c r="I457" s="297"/>
      <c r="J457" s="297"/>
      <c r="K457" s="297"/>
      <c r="L457" s="297"/>
      <c r="M457" s="297"/>
      <c r="N457" s="293"/>
      <c r="O457" s="297">
        <v>35</v>
      </c>
      <c r="P457" s="297">
        <v>0</v>
      </c>
      <c r="Q457" s="297">
        <v>0</v>
      </c>
      <c r="R457" s="297">
        <v>0</v>
      </c>
      <c r="S457" s="297">
        <v>0</v>
      </c>
      <c r="T457" s="297">
        <v>0</v>
      </c>
      <c r="U457" s="297">
        <v>0</v>
      </c>
      <c r="V457" s="297">
        <v>0</v>
      </c>
      <c r="W457" s="297">
        <v>0</v>
      </c>
      <c r="X457" s="297">
        <v>0</v>
      </c>
      <c r="Y457" s="417">
        <v>0</v>
      </c>
      <c r="Z457" s="417">
        <v>0</v>
      </c>
      <c r="AA457" s="417">
        <v>1</v>
      </c>
      <c r="AB457" s="417"/>
      <c r="AC457" s="417"/>
      <c r="AD457" s="417"/>
      <c r="AE457" s="417"/>
      <c r="AF457" s="417"/>
      <c r="AG457" s="417"/>
      <c r="AH457" s="417"/>
      <c r="AI457" s="417"/>
      <c r="AJ457" s="417"/>
      <c r="AK457" s="417"/>
      <c r="AL457" s="417"/>
      <c r="AM457" s="298">
        <f>SUM(Y457:AL457)</f>
        <v>1</v>
      </c>
    </row>
    <row r="458" spans="1:39" ht="15" hidden="1"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1</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hidden="1"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hidden="1" outlineLevel="1">
      <c r="A460" s="510"/>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hidden="1" outlineLevel="1">
      <c r="A461" s="509">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hidden="1" outlineLevel="1">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hidden="1" outlineLevel="1">
      <c r="A463" s="512"/>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hidden="1" outlineLevel="1">
      <c r="A464" s="509">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hidden="1"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hidden="1"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hidden="1" outlineLevel="1">
      <c r="A467" s="509">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hidden="1"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hidden="1"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hidden="1" outlineLevel="1">
      <c r="A470" s="509">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hidden="1"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hidden="1"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hidden="1" outlineLevel="1">
      <c r="A473" s="509">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hidden="1"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hidden="1"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hidden="1" outlineLevel="1">
      <c r="A476" s="510"/>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hidden="1" outlineLevel="1">
      <c r="A477" s="509">
        <v>23</v>
      </c>
      <c r="B477" s="317" t="s">
        <v>14</v>
      </c>
      <c r="C477" s="293" t="s">
        <v>25</v>
      </c>
      <c r="D477" s="297">
        <v>71821.526363372803</v>
      </c>
      <c r="E477" s="297">
        <v>71732.842437744141</v>
      </c>
      <c r="F477" s="297">
        <v>67319.133218765259</v>
      </c>
      <c r="G477" s="297">
        <v>65467.014835357666</v>
      </c>
      <c r="H477" s="297">
        <v>63318.990867614746</v>
      </c>
      <c r="I477" s="297">
        <v>63318.990867614746</v>
      </c>
      <c r="J477" s="297">
        <v>61398.427192687988</v>
      </c>
      <c r="K477" s="297">
        <v>60095.036655426025</v>
      </c>
      <c r="L477" s="297">
        <v>42588.378021240234</v>
      </c>
      <c r="M477" s="297">
        <v>42271.378021240234</v>
      </c>
      <c r="N477" s="293"/>
      <c r="O477" s="297">
        <v>14.833026640349999</v>
      </c>
      <c r="P477" s="297">
        <v>14.828472601715475</v>
      </c>
      <c r="Q477" s="297">
        <v>14.598775725578889</v>
      </c>
      <c r="R477" s="297">
        <v>14.502143433317542</v>
      </c>
      <c r="S477" s="297">
        <v>14.405511146178469</v>
      </c>
      <c r="T477" s="297">
        <v>14.405511146178469</v>
      </c>
      <c r="U477" s="297">
        <v>14.305396658135578</v>
      </c>
      <c r="V477" s="297">
        <v>14.305396658135578</v>
      </c>
      <c r="W477" s="297">
        <v>13.39425254939124</v>
      </c>
      <c r="X477" s="297">
        <v>13.054852541070431</v>
      </c>
      <c r="Y477" s="417">
        <v>1</v>
      </c>
      <c r="Z477" s="417">
        <v>0</v>
      </c>
      <c r="AA477" s="417">
        <v>0</v>
      </c>
      <c r="AB477" s="412"/>
      <c r="AC477" s="412"/>
      <c r="AD477" s="412"/>
      <c r="AE477" s="412"/>
      <c r="AF477" s="412"/>
      <c r="AG477" s="412"/>
      <c r="AH477" s="412"/>
      <c r="AI477" s="412"/>
      <c r="AJ477" s="412"/>
      <c r="AK477" s="412"/>
      <c r="AL477" s="412"/>
      <c r="AM477" s="298">
        <f>SUM(Y477:AL477)</f>
        <v>1</v>
      </c>
    </row>
    <row r="478" spans="1:39" ht="15" hidden="1" outlineLevel="1">
      <c r="B478" s="296" t="s">
        <v>260</v>
      </c>
      <c r="C478" s="293" t="s">
        <v>164</v>
      </c>
      <c r="D478" s="297"/>
      <c r="E478" s="297"/>
      <c r="F478" s="297"/>
      <c r="G478" s="297"/>
      <c r="H478" s="297"/>
      <c r="I478" s="297"/>
      <c r="J478" s="297"/>
      <c r="K478" s="297"/>
      <c r="L478" s="297"/>
      <c r="M478" s="297"/>
      <c r="N478" s="469"/>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hidden="1"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hidden="1" outlineLevel="1">
      <c r="A480" s="510"/>
      <c r="B480" s="290" t="s">
        <v>490</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hidden="1" outlineLevel="1">
      <c r="A481" s="509">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hidden="1" outlineLevel="1">
      <c r="A482" s="509"/>
      <c r="B482" s="317" t="s">
        <v>260</v>
      </c>
      <c r="C482" s="293" t="s">
        <v>164</v>
      </c>
      <c r="D482" s="297"/>
      <c r="E482" s="297"/>
      <c r="F482" s="297"/>
      <c r="G482" s="297"/>
      <c r="H482" s="297"/>
      <c r="I482" s="297"/>
      <c r="J482" s="297"/>
      <c r="K482" s="297"/>
      <c r="L482" s="297"/>
      <c r="M482" s="297"/>
      <c r="N482" s="469"/>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hidden="1" outlineLevel="1">
      <c r="A483" s="509"/>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hidden="1" outlineLevel="1">
      <c r="A484" s="509">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hidden="1" outlineLevel="1">
      <c r="A485" s="509"/>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hidden="1" outlineLevel="1">
      <c r="A486" s="509"/>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hidden="1" outlineLevel="1">
      <c r="A487" s="510"/>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hidden="1" outlineLevel="1">
      <c r="A488" s="509">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hidden="1"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hidden="1" outlineLevel="1">
      <c r="A490" s="512"/>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hidden="1" outlineLevel="1">
      <c r="A491" s="509">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hidden="1"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hidden="1" outlineLevel="1">
      <c r="A493" s="512"/>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hidden="1" outlineLevel="1">
      <c r="A494" s="509">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hidden="1"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hidden="1" outlineLevel="1">
      <c r="A496" s="512"/>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hidden="1" outlineLevel="1">
      <c r="A497" s="509">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hidden="1"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hidden="1"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hidden="1" outlineLevel="1">
      <c r="A500" s="509">
        <v>30</v>
      </c>
      <c r="B500" s="316" t="s">
        <v>491</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hidden="1" outlineLevel="1">
      <c r="A501" s="509"/>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hidden="1" outlineLevel="1">
      <c r="A502" s="509"/>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hidden="1" outlineLevel="1">
      <c r="A503" s="509"/>
      <c r="B503" s="290" t="s">
        <v>492</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hidden="1" outlineLevel="1">
      <c r="A504" s="509">
        <v>31</v>
      </c>
      <c r="B504" s="326" t="s">
        <v>493</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hidden="1" outlineLevel="1">
      <c r="A505" s="509"/>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hidden="1" outlineLevel="1">
      <c r="A506" s="509"/>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hidden="1" outlineLevel="1">
      <c r="A507" s="509">
        <v>32</v>
      </c>
      <c r="B507" s="326" t="s">
        <v>494</v>
      </c>
      <c r="C507" s="293" t="s">
        <v>25</v>
      </c>
      <c r="D507" s="297"/>
      <c r="E507" s="297"/>
      <c r="F507" s="297"/>
      <c r="G507" s="297"/>
      <c r="H507" s="297"/>
      <c r="I507" s="297"/>
      <c r="J507" s="297"/>
      <c r="K507" s="297"/>
      <c r="L507" s="297"/>
      <c r="M507" s="297"/>
      <c r="N507" s="297">
        <v>0</v>
      </c>
      <c r="O507" s="297"/>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hidden="1" outlineLevel="1">
      <c r="A508" s="509"/>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hidden="1" outlineLevel="1">
      <c r="A509" s="509"/>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hidden="1" outlineLevel="1">
      <c r="A510" s="509">
        <v>33</v>
      </c>
      <c r="B510" s="326" t="s">
        <v>495</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hidden="1" outlineLevel="1">
      <c r="A511" s="509"/>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ollapsed="1">
      <c r="B513" s="329" t="s">
        <v>261</v>
      </c>
      <c r="C513" s="331"/>
      <c r="D513" s="331">
        <f>SUM(D408:D511)</f>
        <v>2372505.7444254863</v>
      </c>
      <c r="E513" s="331"/>
      <c r="F513" s="331"/>
      <c r="G513" s="331"/>
      <c r="H513" s="331"/>
      <c r="I513" s="331"/>
      <c r="J513" s="331"/>
      <c r="K513" s="331"/>
      <c r="L513" s="331"/>
      <c r="M513" s="331"/>
      <c r="N513" s="331"/>
      <c r="O513" s="331">
        <f>SUM(O408:O511)</f>
        <v>811.55935030022306</v>
      </c>
      <c r="P513" s="331"/>
      <c r="Q513" s="331"/>
      <c r="R513" s="331"/>
      <c r="S513" s="331"/>
      <c r="T513" s="331"/>
      <c r="U513" s="331"/>
      <c r="V513" s="331"/>
      <c r="W513" s="331"/>
      <c r="X513" s="331"/>
      <c r="Y513" s="331">
        <f>IF(Y407="kWh",SUMPRODUCT(D408:D511,Y408:Y511))</f>
        <v>631304.1433804452</v>
      </c>
      <c r="Z513" s="331">
        <f>IF(Z407="kWh",SUMPRODUCT(D408:D511,Z408:Z511))</f>
        <v>1414116.0333289204</v>
      </c>
      <c r="AA513" s="331">
        <f>IF(AA407="kW",SUMPRODUCT(N408:N511,O408:O511,AA408:AA511),SUMPRODUCT(D408:D511,AA408:AA511))</f>
        <v>718.09000976294578</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1345003</v>
      </c>
      <c r="Z514" s="330">
        <f>HLOOKUP(Z406,'2. LRAMVA Threshold'!$B$42:$Q$53,6,FALSE)</f>
        <v>543085</v>
      </c>
      <c r="AA514" s="330">
        <f>HLOOKUP(AA406,'2. LRAMVA Threshold'!$B$42:$Q$53,6,FALSE)</f>
        <v>10671</v>
      </c>
      <c r="AB514" s="330">
        <f>HLOOKUP(AB406,'2. LRAMVA Threshold'!$B$42:$Q$53,6,FALSE)</f>
        <v>196</v>
      </c>
      <c r="AC514" s="330">
        <f>HLOOKUP(AC406,'2. LRAMVA Threshold'!$B$42:$Q$53,6,FALSE)</f>
        <v>4684</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1.9699999999999999E-2</v>
      </c>
      <c r="Z516" s="343">
        <f>HLOOKUP(Z$20,'3.  Distribution Rates'!$C$122:$P$133,6,FALSE)</f>
        <v>1.34E-2</v>
      </c>
      <c r="AA516" s="343">
        <f>HLOOKUP(AA$20,'3.  Distribution Rates'!$C$122:$P$133,6,FALSE)</f>
        <v>3.1166999999999998</v>
      </c>
      <c r="AB516" s="343">
        <f>HLOOKUP(AB$20,'3.  Distribution Rates'!$C$122:$P$133,6,FALSE)</f>
        <v>14.521699999999999</v>
      </c>
      <c r="AC516" s="343">
        <f>HLOOKUP(AC$20,'3.  Distribution Rates'!$C$122:$P$133,6,FALSE)</f>
        <v>8.8999999999999999E-3</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5103.227270088465</v>
      </c>
      <c r="Z517" s="380">
        <f t="shared" ref="Z517:AL517" si="151">Z137*Z516</f>
        <v>3115.9555229576486</v>
      </c>
      <c r="AA517" s="380">
        <f t="shared" si="151"/>
        <v>1632.7892628</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29">
        <f>SUM(Y517:AL517)</f>
        <v>9851.9720558461122</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3601.1278531602625</v>
      </c>
      <c r="Z518" s="380">
        <f t="shared" ref="Z518:AL518" si="152">Z266*Z516</f>
        <v>17363.701755628819</v>
      </c>
      <c r="AA518" s="380">
        <f t="shared" si="152"/>
        <v>1472.078952250376</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29">
        <f>SUM(Y518:AL518)</f>
        <v>22436.908561039458</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3656.0236905075035</v>
      </c>
      <c r="Z519" s="380">
        <f t="shared" ref="Z519:AL519" si="153">Z395*Z516</f>
        <v>17326.098728148743</v>
      </c>
      <c r="AA519" s="380">
        <f t="shared" si="153"/>
        <v>886.99601137203831</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29">
        <f>SUM(Y519:AL519)</f>
        <v>21869.118430028284</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12436.69162459477</v>
      </c>
      <c r="Z520" s="380">
        <f t="shared" ref="Z520:AK520" si="154">Z513*Z516</f>
        <v>18949.154846607533</v>
      </c>
      <c r="AA520" s="380">
        <f t="shared" si="154"/>
        <v>2238.0711334281732</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29">
        <f>SUM(Y520:AL520)</f>
        <v>33623.917604630478</v>
      </c>
    </row>
    <row r="521" spans="2:41" ht="15.7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24797.070438351002</v>
      </c>
      <c r="Z521" s="348">
        <f t="shared" ref="Z521:AK521" si="155">SUM(Z517:Z520)</f>
        <v>56754.910853342742</v>
      </c>
      <c r="AA521" s="348">
        <f t="shared" si="155"/>
        <v>6229.9353598505877</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87781.916651544336</v>
      </c>
    </row>
    <row r="522" spans="2:41" ht="15.7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26496.559099999999</v>
      </c>
      <c r="Z522" s="349">
        <f t="shared" ref="Z522:AJ522" si="156">Z514*Z516</f>
        <v>7277.3389999999999</v>
      </c>
      <c r="AA522" s="349">
        <f>AA514*AA516</f>
        <v>33258.305699999997</v>
      </c>
      <c r="AB522" s="349">
        <f t="shared" si="156"/>
        <v>2846.2531999999997</v>
      </c>
      <c r="AC522" s="349">
        <f t="shared" si="156"/>
        <v>41.687599999999996</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69920.1446</v>
      </c>
    </row>
    <row r="523" spans="2:41" ht="15.7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17861.772051544336</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578637.45456912112</v>
      </c>
      <c r="Z526" s="293">
        <f>SUMPRODUCT(E408:E511,Z408:Z511)</f>
        <v>1410164.1287381817</v>
      </c>
      <c r="AA526" s="293">
        <f>IF(AA407="kW",SUMPRODUCT(N408:N511,P408:P511,AA408:AA511),SUMPRODUCT(E408:E511,AA408:AA511))</f>
        <v>717.34022984311252</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547051.6928007328</v>
      </c>
      <c r="Z527" s="293">
        <f>SUMPRODUCT(F408:F511,Z408:Z511)</f>
        <v>1085613.7628495903</v>
      </c>
      <c r="AA527" s="293">
        <f>IF(AA407="kW",SUMPRODUCT(N408:N511,Q408:Q511,AA408:AA511),SUMPRODUCT(F408:F511,AA408:AA511))</f>
        <v>717.34022984311252</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545095.16637071758</v>
      </c>
      <c r="Z528" s="293">
        <f>SUMPRODUCT(G408:G511,Z408:Z511)</f>
        <v>1018126.007418972</v>
      </c>
      <c r="AA528" s="293">
        <f>IF(AA407="kW",SUMPRODUCT(N408:N511,R408:R511,AA408:AA511),SUMPRODUCT(G408:G511,AA408:AA511))</f>
        <v>708.73750204758244</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527221.37010389916</v>
      </c>
      <c r="Z529" s="293">
        <f>SUMPRODUCT(H408:H511,Z408:Z511)</f>
        <v>1018126.007418972</v>
      </c>
      <c r="AA529" s="293">
        <f>IF(AA407="kW",SUMPRODUCT(N408:N511,S408:S511,AA408:AA511),SUMPRODUCT(H408:H511,AA408:AA511))</f>
        <v>227.52800347807147</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508443.92741661629</v>
      </c>
      <c r="Z530" s="293">
        <f>SUMPRODUCT(I408:I511,Z408:Z511)</f>
        <v>1018126.007418972</v>
      </c>
      <c r="AA530" s="293">
        <f>IF(AA407="kW",SUMPRODUCT(N408:N511,T408:T511,AA408:AA511),SUMPRODUCT(I408:I511,AA408:AA511))</f>
        <v>227.52800347807147</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506523.36374168954</v>
      </c>
      <c r="Z531" s="328">
        <f>SUMPRODUCT(J408:J511,Z408:Z511)</f>
        <v>1009209.1628243537</v>
      </c>
      <c r="AA531" s="328">
        <f>IF(AA407="kW",SUMPRODUCT(N408:N511,U408:U511,AA408:AA511),SUMPRODUCT(J408:J511,AA408:AA511))</f>
        <v>222.93459100649343</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592</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5" t="s">
        <v>528</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3:AP1133"/>
  <sheetViews>
    <sheetView zoomScale="55" zoomScaleNormal="55" workbookViewId="0">
      <pane xSplit="2" topLeftCell="C1" activePane="topRight" state="frozen"/>
      <selection pane="topRight" activeCell="AC22" sqref="AC22"/>
    </sheetView>
  </sheetViews>
  <sheetFormatPr defaultColWidth="9.140625" defaultRowHeight="15" outlineLevelRow="1" outlineLevelCol="1"/>
  <cols>
    <col min="1" max="1" width="4.5703125" style="522" customWidth="1"/>
    <col min="2" max="2" width="44.140625" style="429" customWidth="1"/>
    <col min="3" max="3" width="13.42578125" style="429" customWidth="1"/>
    <col min="4" max="4" width="17.7109375" style="429" bestFit="1" customWidth="1"/>
    <col min="5" max="13" width="11.7109375" style="429" hidden="1" customWidth="1" outlineLevel="1"/>
    <col min="14" max="14" width="9.140625" style="429" hidden="1" customWidth="1" outlineLevel="1"/>
    <col min="15" max="15" width="15.7109375" style="429" customWidth="1" collapsed="1"/>
    <col min="16" max="24" width="9.140625" style="429" hidden="1" customWidth="1" outlineLevel="1"/>
    <col min="25" max="25" width="16.5703125" style="429" customWidth="1" collapsed="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68" t="s">
        <v>172</v>
      </c>
      <c r="C14" s="259" t="s">
        <v>176</v>
      </c>
      <c r="D14" s="506"/>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68"/>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68"/>
      <c r="C16" s="865" t="s">
        <v>553</v>
      </c>
      <c r="D16" s="866"/>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68" t="s">
        <v>507</v>
      </c>
      <c r="C18" s="869" t="s">
        <v>676</v>
      </c>
      <c r="D18" s="869"/>
      <c r="E18" s="869"/>
      <c r="F18" s="869"/>
      <c r="G18" s="869"/>
      <c r="H18" s="869"/>
      <c r="I18" s="869"/>
      <c r="J18" s="869"/>
      <c r="K18" s="869"/>
      <c r="L18" s="869"/>
      <c r="M18" s="869"/>
      <c r="N18" s="869"/>
      <c r="O18" s="869"/>
      <c r="P18" s="869"/>
      <c r="Q18" s="869"/>
      <c r="R18" s="869"/>
      <c r="S18" s="869"/>
      <c r="T18" s="869"/>
      <c r="U18" s="869"/>
      <c r="V18" s="869"/>
      <c r="W18" s="869"/>
      <c r="X18" s="869"/>
      <c r="Y18" s="606"/>
      <c r="Z18" s="606"/>
      <c r="AA18" s="606"/>
      <c r="AB18" s="606"/>
      <c r="AC18" s="606"/>
      <c r="AD18" s="606"/>
      <c r="AE18" s="272"/>
      <c r="AF18" s="267"/>
      <c r="AG18" s="267"/>
      <c r="AH18" s="267"/>
      <c r="AI18" s="267"/>
      <c r="AJ18" s="267"/>
      <c r="AK18" s="267"/>
      <c r="AL18" s="267"/>
      <c r="AM18" s="267"/>
    </row>
    <row r="19" spans="2:39" ht="45.75" customHeight="1">
      <c r="B19" s="868"/>
      <c r="C19" s="869" t="s">
        <v>575</v>
      </c>
      <c r="D19" s="869"/>
      <c r="E19" s="869"/>
      <c r="F19" s="869"/>
      <c r="G19" s="869"/>
      <c r="H19" s="869"/>
      <c r="I19" s="869"/>
      <c r="J19" s="869"/>
      <c r="K19" s="869"/>
      <c r="L19" s="869"/>
      <c r="M19" s="869"/>
      <c r="N19" s="869"/>
      <c r="O19" s="869"/>
      <c r="P19" s="869"/>
      <c r="Q19" s="869"/>
      <c r="R19" s="869"/>
      <c r="S19" s="869"/>
      <c r="T19" s="869"/>
      <c r="U19" s="869"/>
      <c r="V19" s="869"/>
      <c r="W19" s="869"/>
      <c r="X19" s="869"/>
      <c r="Y19" s="606"/>
      <c r="Z19" s="606"/>
      <c r="AA19" s="606"/>
      <c r="AB19" s="606"/>
      <c r="AC19" s="606"/>
      <c r="AD19" s="606"/>
      <c r="AE19" s="272"/>
      <c r="AF19" s="267"/>
      <c r="AG19" s="267"/>
      <c r="AH19" s="267"/>
      <c r="AI19" s="267"/>
      <c r="AJ19" s="267"/>
      <c r="AK19" s="267"/>
      <c r="AL19" s="267"/>
      <c r="AM19" s="267"/>
    </row>
    <row r="20" spans="2:39" ht="62.25" customHeight="1">
      <c r="B20" s="275"/>
      <c r="C20" s="869" t="s">
        <v>573</v>
      </c>
      <c r="D20" s="869"/>
      <c r="E20" s="869"/>
      <c r="F20" s="869"/>
      <c r="G20" s="869"/>
      <c r="H20" s="869"/>
      <c r="I20" s="869"/>
      <c r="J20" s="869"/>
      <c r="K20" s="869"/>
      <c r="L20" s="869"/>
      <c r="M20" s="869"/>
      <c r="N20" s="869"/>
      <c r="O20" s="869"/>
      <c r="P20" s="869"/>
      <c r="Q20" s="869"/>
      <c r="R20" s="869"/>
      <c r="S20" s="869"/>
      <c r="T20" s="869"/>
      <c r="U20" s="869"/>
      <c r="V20" s="869"/>
      <c r="W20" s="869"/>
      <c r="X20" s="869"/>
      <c r="Y20" s="606"/>
      <c r="Z20" s="606"/>
      <c r="AA20" s="606"/>
      <c r="AB20" s="606"/>
      <c r="AC20" s="606"/>
      <c r="AD20" s="606"/>
      <c r="AE20" s="430"/>
      <c r="AF20" s="267"/>
      <c r="AG20" s="267"/>
      <c r="AH20" s="267"/>
      <c r="AI20" s="267"/>
      <c r="AJ20" s="267"/>
      <c r="AK20" s="267"/>
      <c r="AL20" s="267"/>
      <c r="AM20" s="267"/>
    </row>
    <row r="21" spans="2:39" ht="37.5" customHeight="1">
      <c r="B21" s="275"/>
      <c r="C21" s="869" t="s">
        <v>643</v>
      </c>
      <c r="D21" s="869"/>
      <c r="E21" s="869"/>
      <c r="F21" s="869"/>
      <c r="G21" s="869"/>
      <c r="H21" s="869"/>
      <c r="I21" s="869"/>
      <c r="J21" s="869"/>
      <c r="K21" s="869"/>
      <c r="L21" s="869"/>
      <c r="M21" s="869"/>
      <c r="N21" s="869"/>
      <c r="O21" s="869"/>
      <c r="P21" s="869"/>
      <c r="Q21" s="869"/>
      <c r="R21" s="869"/>
      <c r="S21" s="869"/>
      <c r="T21" s="869"/>
      <c r="U21" s="869"/>
      <c r="V21" s="869"/>
      <c r="W21" s="869"/>
      <c r="X21" s="869"/>
      <c r="Y21" s="606"/>
      <c r="Z21" s="606"/>
      <c r="AA21" s="606"/>
      <c r="AB21" s="606"/>
      <c r="AC21" s="606"/>
      <c r="AD21" s="606"/>
      <c r="AE21" s="278"/>
      <c r="AF21" s="267"/>
      <c r="AG21" s="267"/>
      <c r="AH21" s="267"/>
      <c r="AI21" s="267"/>
      <c r="AJ21" s="267"/>
      <c r="AK21" s="267"/>
      <c r="AL21" s="267"/>
      <c r="AM21" s="267"/>
    </row>
    <row r="22" spans="2:39" ht="54.75" customHeight="1">
      <c r="B22" s="275"/>
      <c r="C22" s="869" t="s">
        <v>625</v>
      </c>
      <c r="D22" s="869"/>
      <c r="E22" s="869"/>
      <c r="F22" s="869"/>
      <c r="G22" s="869"/>
      <c r="H22" s="869"/>
      <c r="I22" s="869"/>
      <c r="J22" s="869"/>
      <c r="K22" s="869"/>
      <c r="L22" s="869"/>
      <c r="M22" s="869"/>
      <c r="N22" s="869"/>
      <c r="O22" s="869"/>
      <c r="P22" s="869"/>
      <c r="Q22" s="869"/>
      <c r="R22" s="869"/>
      <c r="S22" s="869"/>
      <c r="T22" s="869"/>
      <c r="U22" s="869"/>
      <c r="V22" s="869"/>
      <c r="W22" s="869"/>
      <c r="X22" s="869"/>
      <c r="Y22" s="606"/>
      <c r="Z22" s="606"/>
      <c r="AA22" s="606"/>
      <c r="AB22" s="606"/>
      <c r="AC22" s="606"/>
      <c r="AD22" s="606"/>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68" t="s">
        <v>529</v>
      </c>
      <c r="C24" s="596"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68"/>
      <c r="C25" s="596"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39"/>
      <c r="C26" s="596"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39"/>
      <c r="C27" s="596"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39"/>
      <c r="C28" s="596"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39"/>
      <c r="C29" s="596"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39"/>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39"/>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267</v>
      </c>
      <c r="C33" s="283"/>
      <c r="D33" s="590"/>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70" t="s">
        <v>212</v>
      </c>
      <c r="C34" s="872" t="s">
        <v>33</v>
      </c>
      <c r="D34" s="286" t="s">
        <v>424</v>
      </c>
      <c r="E34" s="874" t="s">
        <v>210</v>
      </c>
      <c r="F34" s="875"/>
      <c r="G34" s="875"/>
      <c r="H34" s="875"/>
      <c r="I34" s="875"/>
      <c r="J34" s="875"/>
      <c r="K34" s="875"/>
      <c r="L34" s="875"/>
      <c r="M34" s="876"/>
      <c r="N34" s="880" t="s">
        <v>214</v>
      </c>
      <c r="O34" s="286" t="s">
        <v>425</v>
      </c>
      <c r="P34" s="874" t="s">
        <v>213</v>
      </c>
      <c r="Q34" s="875"/>
      <c r="R34" s="875"/>
      <c r="S34" s="875"/>
      <c r="T34" s="875"/>
      <c r="U34" s="875"/>
      <c r="V34" s="875"/>
      <c r="W34" s="875"/>
      <c r="X34" s="876"/>
      <c r="Y34" s="877" t="s">
        <v>244</v>
      </c>
      <c r="Z34" s="878"/>
      <c r="AA34" s="878"/>
      <c r="AB34" s="878"/>
      <c r="AC34" s="878"/>
      <c r="AD34" s="878"/>
      <c r="AE34" s="878"/>
      <c r="AF34" s="878"/>
      <c r="AG34" s="878"/>
      <c r="AH34" s="878"/>
      <c r="AI34" s="878"/>
      <c r="AJ34" s="878"/>
      <c r="AK34" s="878"/>
      <c r="AL34" s="878"/>
      <c r="AM34" s="879"/>
    </row>
    <row r="35" spans="1:39" ht="65.25" customHeight="1">
      <c r="B35" s="871"/>
      <c r="C35" s="873"/>
      <c r="D35" s="287">
        <v>2015</v>
      </c>
      <c r="E35" s="287">
        <v>2016</v>
      </c>
      <c r="F35" s="287">
        <v>2017</v>
      </c>
      <c r="G35" s="287">
        <v>2018</v>
      </c>
      <c r="H35" s="287">
        <v>2019</v>
      </c>
      <c r="I35" s="287">
        <v>2020</v>
      </c>
      <c r="J35" s="287">
        <v>2021</v>
      </c>
      <c r="K35" s="287">
        <v>2022</v>
      </c>
      <c r="L35" s="287">
        <v>2023</v>
      </c>
      <c r="M35" s="431">
        <v>2024</v>
      </c>
      <c r="N35" s="881"/>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GS&gt;50 kW</v>
      </c>
      <c r="AB35" s="287" t="str">
        <f>'1.  LRAMVA Summary'!G50</f>
        <v>Streetlights</v>
      </c>
      <c r="AC35" s="287" t="str">
        <f>'1.  LRAMVA Summary'!H50</f>
        <v>Unmetered Scattered Load</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18"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KWh</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hidden="1" customHeight="1" outlineLevel="1">
      <c r="B37" s="290"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hidden="1" outlineLevel="1">
      <c r="A38" s="522">
        <v>1</v>
      </c>
      <c r="B38" s="520" t="s">
        <v>95</v>
      </c>
      <c r="C38" s="293" t="s">
        <v>25</v>
      </c>
      <c r="D38" s="297">
        <v>40747.337863877547</v>
      </c>
      <c r="E38" s="297">
        <v>40384.400594547857</v>
      </c>
      <c r="F38" s="297">
        <v>40384.400594547857</v>
      </c>
      <c r="G38" s="297">
        <v>40384.400594547857</v>
      </c>
      <c r="H38" s="297">
        <v>40384.400594547857</v>
      </c>
      <c r="I38" s="297">
        <v>40384.400594547857</v>
      </c>
      <c r="J38" s="297">
        <v>40384.400594547857</v>
      </c>
      <c r="K38" s="297">
        <v>40373.426301891013</v>
      </c>
      <c r="L38" s="297">
        <v>40373.426301891013</v>
      </c>
      <c r="M38" s="297">
        <v>40373.426301891013</v>
      </c>
      <c r="N38" s="293"/>
      <c r="O38" s="297">
        <v>2.5955452843775797</v>
      </c>
      <c r="P38" s="297">
        <v>2.5727610628853381</v>
      </c>
      <c r="Q38" s="297">
        <v>2.5727610628853381</v>
      </c>
      <c r="R38" s="297">
        <v>2.5727610628853381</v>
      </c>
      <c r="S38" s="297">
        <v>2.5727610628853381</v>
      </c>
      <c r="T38" s="297">
        <v>2.5727610628853381</v>
      </c>
      <c r="U38" s="297">
        <v>2.5727610628853381</v>
      </c>
      <c r="V38" s="297">
        <v>2.5715082897509949</v>
      </c>
      <c r="W38" s="297">
        <v>2.5715082897509949</v>
      </c>
      <c r="X38" s="297">
        <v>2.5715082897509949</v>
      </c>
      <c r="Y38" s="412">
        <v>1</v>
      </c>
      <c r="Z38" s="412">
        <v>0</v>
      </c>
      <c r="AA38" s="412">
        <v>0</v>
      </c>
      <c r="AB38" s="412"/>
      <c r="AC38" s="412"/>
      <c r="AD38" s="412"/>
      <c r="AE38" s="412"/>
      <c r="AF38" s="412"/>
      <c r="AG38" s="412"/>
      <c r="AH38" s="412"/>
      <c r="AI38" s="412"/>
      <c r="AJ38" s="412"/>
      <c r="AK38" s="412"/>
      <c r="AL38" s="412"/>
      <c r="AM38" s="298">
        <f>SUM(Y38:AL38)</f>
        <v>1</v>
      </c>
    </row>
    <row r="39" spans="1:39" hidden="1" outlineLevel="1">
      <c r="B39" s="296" t="s">
        <v>268</v>
      </c>
      <c r="C39" s="293" t="s">
        <v>164</v>
      </c>
      <c r="D39" s="297">
        <v>0</v>
      </c>
      <c r="E39" s="297">
        <v>0</v>
      </c>
      <c r="F39" s="297">
        <v>0</v>
      </c>
      <c r="G39" s="297">
        <v>0</v>
      </c>
      <c r="H39" s="297">
        <v>0</v>
      </c>
      <c r="I39" s="297">
        <v>0</v>
      </c>
      <c r="J39" s="297">
        <v>0</v>
      </c>
      <c r="K39" s="297">
        <v>0</v>
      </c>
      <c r="L39" s="297">
        <v>0</v>
      </c>
      <c r="M39" s="297">
        <v>0</v>
      </c>
      <c r="N39" s="469"/>
      <c r="O39" s="297">
        <v>0</v>
      </c>
      <c r="P39" s="297">
        <v>0</v>
      </c>
      <c r="Q39" s="297">
        <v>0</v>
      </c>
      <c r="R39" s="297">
        <v>0</v>
      </c>
      <c r="S39" s="297">
        <v>0</v>
      </c>
      <c r="T39" s="297">
        <v>0</v>
      </c>
      <c r="U39" s="297">
        <v>0</v>
      </c>
      <c r="V39" s="297">
        <v>0</v>
      </c>
      <c r="W39" s="297">
        <v>0</v>
      </c>
      <c r="X39" s="297">
        <v>0</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hidden="1"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hidden="1" outlineLevel="1">
      <c r="A41" s="522">
        <v>2</v>
      </c>
      <c r="B41" s="520" t="s">
        <v>96</v>
      </c>
      <c r="C41" s="293" t="s">
        <v>25</v>
      </c>
      <c r="D41" s="297">
        <v>96163.765526452582</v>
      </c>
      <c r="E41" s="297">
        <v>92853.364846757977</v>
      </c>
      <c r="F41" s="297">
        <v>92853.364846757977</v>
      </c>
      <c r="G41" s="297">
        <v>92853.364846757977</v>
      </c>
      <c r="H41" s="297">
        <v>92853.364846757977</v>
      </c>
      <c r="I41" s="297">
        <v>92853.364846757977</v>
      </c>
      <c r="J41" s="297">
        <v>92853.364846757977</v>
      </c>
      <c r="K41" s="297">
        <v>92853.364846757977</v>
      </c>
      <c r="L41" s="297">
        <v>92853.364846757977</v>
      </c>
      <c r="M41" s="297">
        <v>92853.364846757977</v>
      </c>
      <c r="N41" s="293"/>
      <c r="O41" s="297">
        <v>7.1498504523071205</v>
      </c>
      <c r="P41" s="297">
        <v>6.9420324388704344</v>
      </c>
      <c r="Q41" s="297">
        <v>6.9420324388704344</v>
      </c>
      <c r="R41" s="297">
        <v>6.9420324388704344</v>
      </c>
      <c r="S41" s="297">
        <v>6.9420324388704344</v>
      </c>
      <c r="T41" s="297">
        <v>6.9420324388704344</v>
      </c>
      <c r="U41" s="297">
        <v>6.9420324388704344</v>
      </c>
      <c r="V41" s="297">
        <v>6.9420324388704344</v>
      </c>
      <c r="W41" s="297">
        <v>6.9420324388704344</v>
      </c>
      <c r="X41" s="297">
        <v>6.9420324388704344</v>
      </c>
      <c r="Y41" s="412">
        <v>1</v>
      </c>
      <c r="Z41" s="412">
        <v>0</v>
      </c>
      <c r="AA41" s="412">
        <v>0</v>
      </c>
      <c r="AB41" s="412"/>
      <c r="AC41" s="412"/>
      <c r="AD41" s="412"/>
      <c r="AE41" s="412"/>
      <c r="AF41" s="412"/>
      <c r="AG41" s="412"/>
      <c r="AH41" s="412"/>
      <c r="AI41" s="412"/>
      <c r="AJ41" s="412"/>
      <c r="AK41" s="412"/>
      <c r="AL41" s="412"/>
      <c r="AM41" s="298">
        <f>SUM(Y41:AL41)</f>
        <v>1</v>
      </c>
    </row>
    <row r="42" spans="1:39" hidden="1" outlineLevel="1">
      <c r="B42" s="296" t="s">
        <v>268</v>
      </c>
      <c r="C42" s="293" t="s">
        <v>164</v>
      </c>
      <c r="D42" s="297">
        <v>0</v>
      </c>
      <c r="E42" s="297">
        <v>0</v>
      </c>
      <c r="F42" s="297">
        <v>0</v>
      </c>
      <c r="G42" s="297">
        <v>0</v>
      </c>
      <c r="H42" s="297">
        <v>0</v>
      </c>
      <c r="I42" s="297">
        <v>0</v>
      </c>
      <c r="J42" s="297">
        <v>0</v>
      </c>
      <c r="K42" s="297">
        <v>0</v>
      </c>
      <c r="L42" s="297">
        <v>0</v>
      </c>
      <c r="M42" s="297">
        <v>0</v>
      </c>
      <c r="N42" s="469"/>
      <c r="O42" s="297">
        <v>0</v>
      </c>
      <c r="P42" s="297">
        <v>0</v>
      </c>
      <c r="Q42" s="297">
        <v>0</v>
      </c>
      <c r="R42" s="297">
        <v>0</v>
      </c>
      <c r="S42" s="297">
        <v>0</v>
      </c>
      <c r="T42" s="297">
        <v>0</v>
      </c>
      <c r="U42" s="297">
        <v>0</v>
      </c>
      <c r="V42" s="297">
        <v>0</v>
      </c>
      <c r="W42" s="297">
        <v>0</v>
      </c>
      <c r="X42" s="297">
        <v>0</v>
      </c>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hidden="1"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hidden="1" outlineLevel="1">
      <c r="A44" s="522">
        <v>3</v>
      </c>
      <c r="B44" s="520" t="s">
        <v>97</v>
      </c>
      <c r="C44" s="293" t="s">
        <v>25</v>
      </c>
      <c r="D44" s="297">
        <v>11615.871880481795</v>
      </c>
      <c r="E44" s="297">
        <v>11615.871880481795</v>
      </c>
      <c r="F44" s="297">
        <v>11615.871880481795</v>
      </c>
      <c r="G44" s="297">
        <v>11511.463833874126</v>
      </c>
      <c r="H44" s="297">
        <v>6104.6264729110871</v>
      </c>
      <c r="I44" s="297">
        <v>0</v>
      </c>
      <c r="J44" s="297">
        <v>0</v>
      </c>
      <c r="K44" s="297">
        <v>0</v>
      </c>
      <c r="L44" s="297">
        <v>0</v>
      </c>
      <c r="M44" s="297">
        <v>0</v>
      </c>
      <c r="N44" s="293"/>
      <c r="O44" s="297">
        <v>1.8940619853286125</v>
      </c>
      <c r="P44" s="297">
        <v>1.8940619853286125</v>
      </c>
      <c r="Q44" s="297">
        <v>1.8940619853286125</v>
      </c>
      <c r="R44" s="297">
        <v>1.7773076878544234</v>
      </c>
      <c r="S44" s="297">
        <v>0.89716125641366173</v>
      </c>
      <c r="T44" s="297">
        <v>0</v>
      </c>
      <c r="U44" s="297">
        <v>0</v>
      </c>
      <c r="V44" s="297">
        <v>0</v>
      </c>
      <c r="W44" s="297">
        <v>0</v>
      </c>
      <c r="X44" s="297">
        <v>0</v>
      </c>
      <c r="Y44" s="412">
        <v>1</v>
      </c>
      <c r="Z44" s="412">
        <v>0</v>
      </c>
      <c r="AA44" s="412">
        <v>0</v>
      </c>
      <c r="AB44" s="412"/>
      <c r="AC44" s="412"/>
      <c r="AD44" s="412"/>
      <c r="AE44" s="412"/>
      <c r="AF44" s="412"/>
      <c r="AG44" s="412"/>
      <c r="AH44" s="412"/>
      <c r="AI44" s="412"/>
      <c r="AJ44" s="412"/>
      <c r="AK44" s="412"/>
      <c r="AL44" s="412"/>
      <c r="AM44" s="298">
        <f>SUM(Y44:AL44)</f>
        <v>1</v>
      </c>
    </row>
    <row r="45" spans="1:39" hidden="1" outlineLevel="1">
      <c r="B45" s="296" t="s">
        <v>268</v>
      </c>
      <c r="C45" s="293" t="s">
        <v>164</v>
      </c>
      <c r="D45" s="297">
        <v>0</v>
      </c>
      <c r="E45" s="297">
        <v>0</v>
      </c>
      <c r="F45" s="297">
        <v>0</v>
      </c>
      <c r="G45" s="297">
        <v>0</v>
      </c>
      <c r="H45" s="297">
        <v>0</v>
      </c>
      <c r="I45" s="297">
        <v>0</v>
      </c>
      <c r="J45" s="297">
        <v>0</v>
      </c>
      <c r="K45" s="297">
        <v>0</v>
      </c>
      <c r="L45" s="297">
        <v>0</v>
      </c>
      <c r="M45" s="297">
        <v>0</v>
      </c>
      <c r="N45" s="469"/>
      <c r="O45" s="297">
        <v>0</v>
      </c>
      <c r="P45" s="297">
        <v>0</v>
      </c>
      <c r="Q45" s="297">
        <v>0</v>
      </c>
      <c r="R45" s="297">
        <v>0</v>
      </c>
      <c r="S45" s="297">
        <v>0</v>
      </c>
      <c r="T45" s="297">
        <v>0</v>
      </c>
      <c r="U45" s="297">
        <v>0</v>
      </c>
      <c r="V45" s="297">
        <v>0</v>
      </c>
      <c r="W45" s="297">
        <v>0</v>
      </c>
      <c r="X45" s="297">
        <v>0</v>
      </c>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hidden="1"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hidden="1" outlineLevel="1">
      <c r="A47" s="522">
        <v>4</v>
      </c>
      <c r="B47" s="520" t="s">
        <v>98</v>
      </c>
      <c r="C47" s="293" t="s">
        <v>25</v>
      </c>
      <c r="D47" s="297">
        <v>52366.549910811154</v>
      </c>
      <c r="E47" s="297">
        <v>52366.549910811154</v>
      </c>
      <c r="F47" s="297">
        <v>52366.549910811154</v>
      </c>
      <c r="G47" s="297">
        <v>52366.549910811154</v>
      </c>
      <c r="H47" s="297">
        <v>52366.549910811154</v>
      </c>
      <c r="I47" s="297">
        <v>52366.549910811154</v>
      </c>
      <c r="J47" s="297">
        <v>52366.549910811154</v>
      </c>
      <c r="K47" s="297">
        <v>52366.549910811154</v>
      </c>
      <c r="L47" s="297">
        <v>52366.549910811154</v>
      </c>
      <c r="M47" s="297">
        <v>52366.549910811154</v>
      </c>
      <c r="N47" s="293"/>
      <c r="O47" s="297">
        <v>26.938317740945855</v>
      </c>
      <c r="P47" s="297">
        <v>26.938317740945855</v>
      </c>
      <c r="Q47" s="297">
        <v>26.938317740945855</v>
      </c>
      <c r="R47" s="297">
        <v>26.938317740945855</v>
      </c>
      <c r="S47" s="297">
        <v>26.938317740945855</v>
      </c>
      <c r="T47" s="297">
        <v>26.938317740945855</v>
      </c>
      <c r="U47" s="297">
        <v>26.938317740945855</v>
      </c>
      <c r="V47" s="297">
        <v>26.938317740945855</v>
      </c>
      <c r="W47" s="297">
        <v>26.938317740945855</v>
      </c>
      <c r="X47" s="297">
        <v>26.938317740945855</v>
      </c>
      <c r="Y47" s="412">
        <v>1</v>
      </c>
      <c r="Z47" s="412">
        <v>0</v>
      </c>
      <c r="AA47" s="412">
        <v>0</v>
      </c>
      <c r="AB47" s="412"/>
      <c r="AC47" s="412"/>
      <c r="AD47" s="412"/>
      <c r="AE47" s="412"/>
      <c r="AF47" s="412"/>
      <c r="AG47" s="412"/>
      <c r="AH47" s="412"/>
      <c r="AI47" s="412"/>
      <c r="AJ47" s="412"/>
      <c r="AK47" s="412"/>
      <c r="AL47" s="412"/>
      <c r="AM47" s="298">
        <f>SUM(Y47:AL47)</f>
        <v>1</v>
      </c>
    </row>
    <row r="48" spans="1:39" hidden="1" outlineLevel="1">
      <c r="B48" s="296" t="s">
        <v>268</v>
      </c>
      <c r="C48" s="293" t="s">
        <v>164</v>
      </c>
      <c r="D48" s="297">
        <v>0</v>
      </c>
      <c r="E48" s="297">
        <v>0</v>
      </c>
      <c r="F48" s="297">
        <v>0</v>
      </c>
      <c r="G48" s="297">
        <v>0</v>
      </c>
      <c r="H48" s="297">
        <v>0</v>
      </c>
      <c r="I48" s="297">
        <v>0</v>
      </c>
      <c r="J48" s="297">
        <v>0</v>
      </c>
      <c r="K48" s="297">
        <v>0</v>
      </c>
      <c r="L48" s="297">
        <v>0</v>
      </c>
      <c r="M48" s="297">
        <v>0</v>
      </c>
      <c r="N48" s="469"/>
      <c r="O48" s="297">
        <v>0</v>
      </c>
      <c r="P48" s="297">
        <v>0</v>
      </c>
      <c r="Q48" s="297">
        <v>0</v>
      </c>
      <c r="R48" s="297">
        <v>0</v>
      </c>
      <c r="S48" s="297">
        <v>0</v>
      </c>
      <c r="T48" s="297">
        <v>0</v>
      </c>
      <c r="U48" s="297">
        <v>0</v>
      </c>
      <c r="V48" s="297">
        <v>0</v>
      </c>
      <c r="W48" s="297">
        <v>0</v>
      </c>
      <c r="X48" s="297">
        <v>0</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hidden="1"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hidden="1" customHeight="1" outlineLevel="1">
      <c r="A50" s="522">
        <v>5</v>
      </c>
      <c r="B50" s="520" t="s">
        <v>99</v>
      </c>
      <c r="C50" s="293" t="s">
        <v>25</v>
      </c>
      <c r="D50" s="297" t="s">
        <v>708</v>
      </c>
      <c r="E50" s="297" t="s">
        <v>708</v>
      </c>
      <c r="F50" s="297" t="s">
        <v>708</v>
      </c>
      <c r="G50" s="297" t="s">
        <v>708</v>
      </c>
      <c r="H50" s="297" t="s">
        <v>708</v>
      </c>
      <c r="I50" s="297" t="s">
        <v>708</v>
      </c>
      <c r="J50" s="297" t="s">
        <v>708</v>
      </c>
      <c r="K50" s="297" t="s">
        <v>708</v>
      </c>
      <c r="L50" s="297" t="s">
        <v>708</v>
      </c>
      <c r="M50" s="297" t="s">
        <v>708</v>
      </c>
      <c r="N50" s="293"/>
      <c r="O50" s="297" t="s">
        <v>708</v>
      </c>
      <c r="P50" s="297" t="s">
        <v>708</v>
      </c>
      <c r="Q50" s="297" t="s">
        <v>708</v>
      </c>
      <c r="R50" s="297" t="s">
        <v>708</v>
      </c>
      <c r="S50" s="297" t="s">
        <v>708</v>
      </c>
      <c r="T50" s="297" t="s">
        <v>708</v>
      </c>
      <c r="U50" s="297" t="s">
        <v>708</v>
      </c>
      <c r="V50" s="297" t="s">
        <v>708</v>
      </c>
      <c r="W50" s="297" t="s">
        <v>708</v>
      </c>
      <c r="X50" s="297" t="s">
        <v>708</v>
      </c>
      <c r="Y50" s="412"/>
      <c r="Z50" s="412"/>
      <c r="AA50" s="412"/>
      <c r="AB50" s="412"/>
      <c r="AC50" s="412"/>
      <c r="AD50" s="412"/>
      <c r="AE50" s="412"/>
      <c r="AF50" s="412"/>
      <c r="AG50" s="412"/>
      <c r="AH50" s="412"/>
      <c r="AI50" s="412"/>
      <c r="AJ50" s="412"/>
      <c r="AK50" s="412"/>
      <c r="AL50" s="412"/>
      <c r="AM50" s="298">
        <f>SUM(Y50:AL50)</f>
        <v>0</v>
      </c>
    </row>
    <row r="51" spans="1:39" hidden="1" outlineLevel="1">
      <c r="B51" s="296" t="s">
        <v>268</v>
      </c>
      <c r="C51" s="293" t="s">
        <v>164</v>
      </c>
      <c r="D51" s="297" t="s">
        <v>708</v>
      </c>
      <c r="E51" s="297" t="s">
        <v>708</v>
      </c>
      <c r="F51" s="297" t="s">
        <v>708</v>
      </c>
      <c r="G51" s="297" t="s">
        <v>708</v>
      </c>
      <c r="H51" s="297" t="s">
        <v>708</v>
      </c>
      <c r="I51" s="297" t="s">
        <v>708</v>
      </c>
      <c r="J51" s="297" t="s">
        <v>708</v>
      </c>
      <c r="K51" s="297" t="s">
        <v>708</v>
      </c>
      <c r="L51" s="297" t="s">
        <v>708</v>
      </c>
      <c r="M51" s="297" t="s">
        <v>708</v>
      </c>
      <c r="N51" s="469"/>
      <c r="O51" s="297" t="s">
        <v>708</v>
      </c>
      <c r="P51" s="297" t="s">
        <v>708</v>
      </c>
      <c r="Q51" s="297" t="s">
        <v>708</v>
      </c>
      <c r="R51" s="297" t="s">
        <v>708</v>
      </c>
      <c r="S51" s="297" t="s">
        <v>708</v>
      </c>
      <c r="T51" s="297" t="s">
        <v>708</v>
      </c>
      <c r="U51" s="297" t="s">
        <v>708</v>
      </c>
      <c r="V51" s="297" t="s">
        <v>708</v>
      </c>
      <c r="W51" s="297" t="s">
        <v>708</v>
      </c>
      <c r="X51" s="297" t="s">
        <v>708</v>
      </c>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hidden="1"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hidden="1" customHeight="1" outlineLevel="1">
      <c r="B53" s="321"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hidden="1" outlineLevel="1">
      <c r="A54" s="522">
        <v>6</v>
      </c>
      <c r="B54" s="520" t="s">
        <v>100</v>
      </c>
      <c r="C54" s="293" t="s">
        <v>25</v>
      </c>
      <c r="D54" s="297" t="s">
        <v>708</v>
      </c>
      <c r="E54" s="297" t="s">
        <v>708</v>
      </c>
      <c r="F54" s="297" t="s">
        <v>708</v>
      </c>
      <c r="G54" s="297" t="s">
        <v>708</v>
      </c>
      <c r="H54" s="297" t="s">
        <v>708</v>
      </c>
      <c r="I54" s="297" t="s">
        <v>708</v>
      </c>
      <c r="J54" s="297" t="s">
        <v>708</v>
      </c>
      <c r="K54" s="297" t="s">
        <v>708</v>
      </c>
      <c r="L54" s="297" t="s">
        <v>708</v>
      </c>
      <c r="M54" s="297" t="s">
        <v>708</v>
      </c>
      <c r="N54" s="297">
        <v>12</v>
      </c>
      <c r="O54" s="297" t="s">
        <v>708</v>
      </c>
      <c r="P54" s="297" t="s">
        <v>708</v>
      </c>
      <c r="Q54" s="297" t="s">
        <v>708</v>
      </c>
      <c r="R54" s="297" t="s">
        <v>708</v>
      </c>
      <c r="S54" s="297" t="s">
        <v>708</v>
      </c>
      <c r="T54" s="297" t="s">
        <v>708</v>
      </c>
      <c r="U54" s="297" t="s">
        <v>708</v>
      </c>
      <c r="V54" s="297" t="s">
        <v>708</v>
      </c>
      <c r="W54" s="297" t="s">
        <v>708</v>
      </c>
      <c r="X54" s="297" t="s">
        <v>708</v>
      </c>
      <c r="Y54" s="417"/>
      <c r="Z54" s="412"/>
      <c r="AA54" s="412"/>
      <c r="AB54" s="412"/>
      <c r="AC54" s="412"/>
      <c r="AD54" s="412"/>
      <c r="AE54" s="412"/>
      <c r="AF54" s="417"/>
      <c r="AG54" s="417"/>
      <c r="AH54" s="417"/>
      <c r="AI54" s="417"/>
      <c r="AJ54" s="417"/>
      <c r="AK54" s="417"/>
      <c r="AL54" s="417"/>
      <c r="AM54" s="298">
        <f>SUM(Y54:AL54)</f>
        <v>0</v>
      </c>
    </row>
    <row r="55" spans="1:39" hidden="1" outlineLevel="1">
      <c r="B55" s="296" t="s">
        <v>268</v>
      </c>
      <c r="C55" s="293" t="s">
        <v>164</v>
      </c>
      <c r="D55" s="297" t="s">
        <v>708</v>
      </c>
      <c r="E55" s="297" t="s">
        <v>708</v>
      </c>
      <c r="F55" s="297" t="s">
        <v>708</v>
      </c>
      <c r="G55" s="297" t="s">
        <v>708</v>
      </c>
      <c r="H55" s="297" t="s">
        <v>708</v>
      </c>
      <c r="I55" s="297" t="s">
        <v>708</v>
      </c>
      <c r="J55" s="297" t="s">
        <v>708</v>
      </c>
      <c r="K55" s="297" t="s">
        <v>708</v>
      </c>
      <c r="L55" s="297" t="s">
        <v>708</v>
      </c>
      <c r="M55" s="297" t="s">
        <v>708</v>
      </c>
      <c r="N55" s="297">
        <f>N54</f>
        <v>12</v>
      </c>
      <c r="O55" s="297" t="s">
        <v>708</v>
      </c>
      <c r="P55" s="297" t="s">
        <v>708</v>
      </c>
      <c r="Q55" s="297" t="s">
        <v>708</v>
      </c>
      <c r="R55" s="297" t="s">
        <v>708</v>
      </c>
      <c r="S55" s="297" t="s">
        <v>708</v>
      </c>
      <c r="T55" s="297" t="s">
        <v>708</v>
      </c>
      <c r="U55" s="297" t="s">
        <v>708</v>
      </c>
      <c r="V55" s="297" t="s">
        <v>708</v>
      </c>
      <c r="W55" s="297" t="s">
        <v>708</v>
      </c>
      <c r="X55" s="297" t="s">
        <v>708</v>
      </c>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hidden="1"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hidden="1" customHeight="1" outlineLevel="1">
      <c r="A57" s="522">
        <v>7</v>
      </c>
      <c r="B57" s="520" t="s">
        <v>101</v>
      </c>
      <c r="C57" s="293" t="s">
        <v>25</v>
      </c>
      <c r="D57" s="297">
        <v>693222.3259499995</v>
      </c>
      <c r="E57" s="297">
        <v>693222.3259499995</v>
      </c>
      <c r="F57" s="297">
        <v>693223.01598279923</v>
      </c>
      <c r="G57" s="297">
        <v>718483.01598279923</v>
      </c>
      <c r="H57" s="297">
        <v>718483.01598279923</v>
      </c>
      <c r="I57" s="297">
        <v>718483.01598279923</v>
      </c>
      <c r="J57" s="297">
        <v>718482.8875092424</v>
      </c>
      <c r="K57" s="297">
        <v>718482.96523810364</v>
      </c>
      <c r="L57" s="297">
        <v>716427.17246699031</v>
      </c>
      <c r="M57" s="297">
        <v>658737.43442095513</v>
      </c>
      <c r="N57" s="297">
        <v>12</v>
      </c>
      <c r="O57" s="297">
        <v>85.852970215914411</v>
      </c>
      <c r="P57" s="297">
        <v>85.852970215914411</v>
      </c>
      <c r="Q57" s="297">
        <v>85.852970215914397</v>
      </c>
      <c r="R57" s="297">
        <v>92.705349232831495</v>
      </c>
      <c r="S57" s="297">
        <v>92.705349232831495</v>
      </c>
      <c r="T57" s="297">
        <v>92.705349232831495</v>
      </c>
      <c r="U57" s="297">
        <v>92.705349232831509</v>
      </c>
      <c r="V57" s="297">
        <v>92.705349232831509</v>
      </c>
      <c r="W57" s="297">
        <v>92.054786558342457</v>
      </c>
      <c r="X57" s="297">
        <v>85.547724927890329</v>
      </c>
      <c r="Y57" s="412">
        <v>0</v>
      </c>
      <c r="Z57" s="412">
        <v>0.88250492005061387</v>
      </c>
      <c r="AA57" s="412">
        <v>0.11749507994938622</v>
      </c>
      <c r="AB57" s="412"/>
      <c r="AC57" s="533"/>
      <c r="AD57" s="412"/>
      <c r="AE57" s="412"/>
      <c r="AF57" s="417"/>
      <c r="AG57" s="417"/>
      <c r="AH57" s="417"/>
      <c r="AI57" s="417"/>
      <c r="AJ57" s="417"/>
      <c r="AK57" s="417"/>
      <c r="AL57" s="417"/>
      <c r="AM57" s="298">
        <f>SUM(Y57:AL57)</f>
        <v>1</v>
      </c>
    </row>
    <row r="58" spans="1:39" hidden="1" outlineLevel="1">
      <c r="B58" s="296" t="s">
        <v>268</v>
      </c>
      <c r="C58" s="293" t="s">
        <v>164</v>
      </c>
      <c r="D58" s="297">
        <v>0</v>
      </c>
      <c r="E58" s="297">
        <v>0</v>
      </c>
      <c r="F58" s="297">
        <v>0</v>
      </c>
      <c r="G58" s="297">
        <v>0</v>
      </c>
      <c r="H58" s="297">
        <v>0</v>
      </c>
      <c r="I58" s="297">
        <v>0</v>
      </c>
      <c r="J58" s="297">
        <v>0</v>
      </c>
      <c r="K58" s="297">
        <v>0</v>
      </c>
      <c r="L58" s="297">
        <v>0</v>
      </c>
      <c r="M58" s="297">
        <v>0</v>
      </c>
      <c r="N58" s="297">
        <f>N57</f>
        <v>12</v>
      </c>
      <c r="O58" s="297">
        <v>0</v>
      </c>
      <c r="P58" s="297">
        <v>0</v>
      </c>
      <c r="Q58" s="297">
        <v>0</v>
      </c>
      <c r="R58" s="297">
        <v>0</v>
      </c>
      <c r="S58" s="297">
        <v>0</v>
      </c>
      <c r="T58" s="297">
        <v>0</v>
      </c>
      <c r="U58" s="297">
        <v>0</v>
      </c>
      <c r="V58" s="297">
        <v>0</v>
      </c>
      <c r="W58" s="297">
        <v>0</v>
      </c>
      <c r="X58" s="297">
        <v>0</v>
      </c>
      <c r="Y58" s="413">
        <f>Y57</f>
        <v>0</v>
      </c>
      <c r="Z58" s="413">
        <f>Z57</f>
        <v>0.88250492005061387</v>
      </c>
      <c r="AA58" s="413">
        <f t="shared" ref="AA58" si="66">AA57</f>
        <v>0.11749507994938622</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hidden="1"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hidden="1" outlineLevel="1">
      <c r="A60" s="522">
        <v>8</v>
      </c>
      <c r="B60" s="520" t="s">
        <v>102</v>
      </c>
      <c r="C60" s="293" t="s">
        <v>25</v>
      </c>
      <c r="D60" s="297">
        <v>153970</v>
      </c>
      <c r="E60" s="297">
        <v>153969</v>
      </c>
      <c r="F60" s="297">
        <v>153970</v>
      </c>
      <c r="G60" s="297">
        <v>160374</v>
      </c>
      <c r="H60" s="297">
        <v>160374</v>
      </c>
      <c r="I60" s="297">
        <v>160374</v>
      </c>
      <c r="J60" s="297">
        <v>160374</v>
      </c>
      <c r="K60" s="297">
        <v>160374</v>
      </c>
      <c r="L60" s="297">
        <v>160374</v>
      </c>
      <c r="M60" s="297">
        <v>160374</v>
      </c>
      <c r="N60" s="297">
        <v>12</v>
      </c>
      <c r="O60" s="297">
        <v>35</v>
      </c>
      <c r="P60" s="297">
        <v>35</v>
      </c>
      <c r="Q60" s="297">
        <v>35</v>
      </c>
      <c r="R60" s="297">
        <v>37</v>
      </c>
      <c r="S60" s="297">
        <v>37</v>
      </c>
      <c r="T60" s="297">
        <v>37</v>
      </c>
      <c r="U60" s="297">
        <v>37</v>
      </c>
      <c r="V60" s="297">
        <v>37</v>
      </c>
      <c r="W60" s="297">
        <v>37</v>
      </c>
      <c r="X60" s="297">
        <v>37</v>
      </c>
      <c r="Y60" s="412">
        <v>0</v>
      </c>
      <c r="Z60" s="412">
        <v>1</v>
      </c>
      <c r="AA60" s="412">
        <v>0</v>
      </c>
      <c r="AB60" s="412"/>
      <c r="AC60" s="412"/>
      <c r="AD60" s="412"/>
      <c r="AE60" s="412"/>
      <c r="AF60" s="417"/>
      <c r="AG60" s="417"/>
      <c r="AH60" s="417"/>
      <c r="AI60" s="417"/>
      <c r="AJ60" s="417"/>
      <c r="AK60" s="417"/>
      <c r="AL60" s="417"/>
      <c r="AM60" s="298">
        <f>SUM(Y60:AL60)</f>
        <v>1</v>
      </c>
    </row>
    <row r="61" spans="1:39" hidden="1" outlineLevel="1">
      <c r="B61" s="296" t="s">
        <v>268</v>
      </c>
      <c r="C61" s="293" t="s">
        <v>164</v>
      </c>
      <c r="D61" s="297">
        <v>0</v>
      </c>
      <c r="E61" s="297">
        <v>0</v>
      </c>
      <c r="F61" s="297">
        <v>0</v>
      </c>
      <c r="G61" s="297">
        <v>0</v>
      </c>
      <c r="H61" s="297">
        <v>0</v>
      </c>
      <c r="I61" s="297">
        <v>0</v>
      </c>
      <c r="J61" s="297">
        <v>0</v>
      </c>
      <c r="K61" s="297">
        <v>0</v>
      </c>
      <c r="L61" s="297">
        <v>0</v>
      </c>
      <c r="M61" s="297">
        <v>0</v>
      </c>
      <c r="N61" s="297">
        <f>N60</f>
        <v>12</v>
      </c>
      <c r="O61" s="297">
        <v>0</v>
      </c>
      <c r="P61" s="297">
        <v>0</v>
      </c>
      <c r="Q61" s="297">
        <v>0</v>
      </c>
      <c r="R61" s="297">
        <v>0</v>
      </c>
      <c r="S61" s="297">
        <v>0</v>
      </c>
      <c r="T61" s="297">
        <v>0</v>
      </c>
      <c r="U61" s="297">
        <v>0</v>
      </c>
      <c r="V61" s="297">
        <v>0</v>
      </c>
      <c r="W61" s="297">
        <v>0</v>
      </c>
      <c r="X61" s="297">
        <v>0</v>
      </c>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hidden="1"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hidden="1" outlineLevel="1">
      <c r="A63" s="522">
        <v>9</v>
      </c>
      <c r="B63" s="520" t="s">
        <v>103</v>
      </c>
      <c r="C63" s="293" t="s">
        <v>25</v>
      </c>
      <c r="D63" s="297" t="s">
        <v>708</v>
      </c>
      <c r="E63" s="297" t="s">
        <v>708</v>
      </c>
      <c r="F63" s="297" t="s">
        <v>708</v>
      </c>
      <c r="G63" s="297" t="s">
        <v>708</v>
      </c>
      <c r="H63" s="297" t="s">
        <v>708</v>
      </c>
      <c r="I63" s="297" t="s">
        <v>708</v>
      </c>
      <c r="J63" s="297" t="s">
        <v>708</v>
      </c>
      <c r="K63" s="297" t="s">
        <v>708</v>
      </c>
      <c r="L63" s="297" t="s">
        <v>708</v>
      </c>
      <c r="M63" s="297" t="s">
        <v>708</v>
      </c>
      <c r="N63" s="297">
        <v>12</v>
      </c>
      <c r="O63" s="297" t="s">
        <v>708</v>
      </c>
      <c r="P63" s="297" t="s">
        <v>708</v>
      </c>
      <c r="Q63" s="297" t="s">
        <v>708</v>
      </c>
      <c r="R63" s="297" t="s">
        <v>708</v>
      </c>
      <c r="S63" s="297" t="s">
        <v>708</v>
      </c>
      <c r="T63" s="297" t="s">
        <v>708</v>
      </c>
      <c r="U63" s="297" t="s">
        <v>708</v>
      </c>
      <c r="V63" s="297" t="s">
        <v>708</v>
      </c>
      <c r="W63" s="297" t="s">
        <v>708</v>
      </c>
      <c r="X63" s="297" t="s">
        <v>708</v>
      </c>
      <c r="Y63" s="417"/>
      <c r="Z63" s="412"/>
      <c r="AA63" s="412"/>
      <c r="AB63" s="412"/>
      <c r="AC63" s="412"/>
      <c r="AD63" s="412"/>
      <c r="AE63" s="412"/>
      <c r="AF63" s="417"/>
      <c r="AG63" s="417"/>
      <c r="AH63" s="417"/>
      <c r="AI63" s="417"/>
      <c r="AJ63" s="417"/>
      <c r="AK63" s="417"/>
      <c r="AL63" s="417"/>
      <c r="AM63" s="298">
        <f>SUM(Y63:AL63)</f>
        <v>0</v>
      </c>
    </row>
    <row r="64" spans="1:39" hidden="1" outlineLevel="1">
      <c r="B64" s="296" t="s">
        <v>268</v>
      </c>
      <c r="C64" s="293" t="s">
        <v>164</v>
      </c>
      <c r="D64" s="297" t="s">
        <v>708</v>
      </c>
      <c r="E64" s="297" t="s">
        <v>708</v>
      </c>
      <c r="F64" s="297" t="s">
        <v>708</v>
      </c>
      <c r="G64" s="297" t="s">
        <v>708</v>
      </c>
      <c r="H64" s="297" t="s">
        <v>708</v>
      </c>
      <c r="I64" s="297" t="s">
        <v>708</v>
      </c>
      <c r="J64" s="297" t="s">
        <v>708</v>
      </c>
      <c r="K64" s="297" t="s">
        <v>708</v>
      </c>
      <c r="L64" s="297" t="s">
        <v>708</v>
      </c>
      <c r="M64" s="297" t="s">
        <v>708</v>
      </c>
      <c r="N64" s="297">
        <f>N63</f>
        <v>12</v>
      </c>
      <c r="O64" s="297" t="s">
        <v>708</v>
      </c>
      <c r="P64" s="297" t="s">
        <v>708</v>
      </c>
      <c r="Q64" s="297" t="s">
        <v>708</v>
      </c>
      <c r="R64" s="297" t="s">
        <v>708</v>
      </c>
      <c r="S64" s="297" t="s">
        <v>708</v>
      </c>
      <c r="T64" s="297" t="s">
        <v>708</v>
      </c>
      <c r="U64" s="297" t="s">
        <v>708</v>
      </c>
      <c r="V64" s="297" t="s">
        <v>708</v>
      </c>
      <c r="W64" s="297" t="s">
        <v>708</v>
      </c>
      <c r="X64" s="297" t="s">
        <v>708</v>
      </c>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hidden="1"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hidden="1" outlineLevel="1">
      <c r="A66" s="522">
        <v>10</v>
      </c>
      <c r="B66" s="520" t="s">
        <v>104</v>
      </c>
      <c r="C66" s="293" t="s">
        <v>25</v>
      </c>
      <c r="D66" s="297" t="s">
        <v>708</v>
      </c>
      <c r="E66" s="297" t="s">
        <v>708</v>
      </c>
      <c r="F66" s="297" t="s">
        <v>708</v>
      </c>
      <c r="G66" s="297" t="s">
        <v>708</v>
      </c>
      <c r="H66" s="297" t="s">
        <v>708</v>
      </c>
      <c r="I66" s="297" t="s">
        <v>708</v>
      </c>
      <c r="J66" s="297" t="s">
        <v>708</v>
      </c>
      <c r="K66" s="297" t="s">
        <v>708</v>
      </c>
      <c r="L66" s="297" t="s">
        <v>708</v>
      </c>
      <c r="M66" s="297" t="s">
        <v>708</v>
      </c>
      <c r="N66" s="297">
        <v>3</v>
      </c>
      <c r="O66" s="297" t="s">
        <v>708</v>
      </c>
      <c r="P66" s="297" t="s">
        <v>708</v>
      </c>
      <c r="Q66" s="297" t="s">
        <v>708</v>
      </c>
      <c r="R66" s="297" t="s">
        <v>708</v>
      </c>
      <c r="S66" s="297" t="s">
        <v>708</v>
      </c>
      <c r="T66" s="297" t="s">
        <v>708</v>
      </c>
      <c r="U66" s="297" t="s">
        <v>708</v>
      </c>
      <c r="V66" s="297" t="s">
        <v>708</v>
      </c>
      <c r="W66" s="297" t="s">
        <v>708</v>
      </c>
      <c r="X66" s="297" t="s">
        <v>708</v>
      </c>
      <c r="Y66" s="417"/>
      <c r="Z66" s="412"/>
      <c r="AA66" s="412"/>
      <c r="AB66" s="412"/>
      <c r="AC66" s="412"/>
      <c r="AD66" s="412"/>
      <c r="AE66" s="412"/>
      <c r="AF66" s="417"/>
      <c r="AG66" s="417"/>
      <c r="AH66" s="417"/>
      <c r="AI66" s="417"/>
      <c r="AJ66" s="417"/>
      <c r="AK66" s="417"/>
      <c r="AL66" s="417"/>
      <c r="AM66" s="298">
        <f>SUM(Y66:AL66)</f>
        <v>0</v>
      </c>
    </row>
    <row r="67" spans="1:39" hidden="1" outlineLevel="1">
      <c r="B67" s="296" t="s">
        <v>268</v>
      </c>
      <c r="C67" s="293" t="s">
        <v>164</v>
      </c>
      <c r="D67" s="297" t="s">
        <v>708</v>
      </c>
      <c r="E67" s="297" t="s">
        <v>708</v>
      </c>
      <c r="F67" s="297" t="s">
        <v>708</v>
      </c>
      <c r="G67" s="297" t="s">
        <v>708</v>
      </c>
      <c r="H67" s="297" t="s">
        <v>708</v>
      </c>
      <c r="I67" s="297" t="s">
        <v>708</v>
      </c>
      <c r="J67" s="297" t="s">
        <v>708</v>
      </c>
      <c r="K67" s="297" t="s">
        <v>708</v>
      </c>
      <c r="L67" s="297" t="s">
        <v>708</v>
      </c>
      <c r="M67" s="297" t="s">
        <v>708</v>
      </c>
      <c r="N67" s="297">
        <f>N66</f>
        <v>3</v>
      </c>
      <c r="O67" s="297" t="s">
        <v>708</v>
      </c>
      <c r="P67" s="297" t="s">
        <v>708</v>
      </c>
      <c r="Q67" s="297" t="s">
        <v>708</v>
      </c>
      <c r="R67" s="297" t="s">
        <v>708</v>
      </c>
      <c r="S67" s="297" t="s">
        <v>708</v>
      </c>
      <c r="T67" s="297" t="s">
        <v>708</v>
      </c>
      <c r="U67" s="297" t="s">
        <v>708</v>
      </c>
      <c r="V67" s="297" t="s">
        <v>708</v>
      </c>
      <c r="W67" s="297" t="s">
        <v>708</v>
      </c>
      <c r="X67" s="297" t="s">
        <v>708</v>
      </c>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hidden="1"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hidden="1"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hidden="1" outlineLevel="1">
      <c r="A70" s="522">
        <v>11</v>
      </c>
      <c r="B70" s="520" t="s">
        <v>105</v>
      </c>
      <c r="C70" s="293" t="s">
        <v>25</v>
      </c>
      <c r="D70" s="297" t="s">
        <v>708</v>
      </c>
      <c r="E70" s="297" t="s">
        <v>708</v>
      </c>
      <c r="F70" s="297" t="s">
        <v>708</v>
      </c>
      <c r="G70" s="297" t="s">
        <v>708</v>
      </c>
      <c r="H70" s="297" t="s">
        <v>708</v>
      </c>
      <c r="I70" s="297" t="s">
        <v>708</v>
      </c>
      <c r="J70" s="297" t="s">
        <v>708</v>
      </c>
      <c r="K70" s="297" t="s">
        <v>708</v>
      </c>
      <c r="L70" s="297" t="s">
        <v>708</v>
      </c>
      <c r="M70" s="297" t="s">
        <v>708</v>
      </c>
      <c r="N70" s="297">
        <v>12</v>
      </c>
      <c r="O70" s="297" t="s">
        <v>708</v>
      </c>
      <c r="P70" s="297" t="s">
        <v>708</v>
      </c>
      <c r="Q70" s="297" t="s">
        <v>708</v>
      </c>
      <c r="R70" s="297" t="s">
        <v>708</v>
      </c>
      <c r="S70" s="297" t="s">
        <v>708</v>
      </c>
      <c r="T70" s="297" t="s">
        <v>708</v>
      </c>
      <c r="U70" s="297" t="s">
        <v>708</v>
      </c>
      <c r="V70" s="297" t="s">
        <v>708</v>
      </c>
      <c r="W70" s="297" t="s">
        <v>708</v>
      </c>
      <c r="X70" s="297" t="s">
        <v>708</v>
      </c>
      <c r="Y70" s="428"/>
      <c r="Z70" s="412"/>
      <c r="AA70" s="412"/>
      <c r="AB70" s="412"/>
      <c r="AC70" s="412"/>
      <c r="AD70" s="412"/>
      <c r="AE70" s="412"/>
      <c r="AF70" s="417"/>
      <c r="AG70" s="417"/>
      <c r="AH70" s="417"/>
      <c r="AI70" s="417"/>
      <c r="AJ70" s="417"/>
      <c r="AK70" s="417"/>
      <c r="AL70" s="417"/>
      <c r="AM70" s="298">
        <f>SUM(Y70:AL70)</f>
        <v>0</v>
      </c>
    </row>
    <row r="71" spans="1:39" hidden="1" outlineLevel="1">
      <c r="B71" s="296" t="s">
        <v>268</v>
      </c>
      <c r="C71" s="293" t="s">
        <v>164</v>
      </c>
      <c r="D71" s="297" t="s">
        <v>708</v>
      </c>
      <c r="E71" s="297" t="s">
        <v>708</v>
      </c>
      <c r="F71" s="297" t="s">
        <v>708</v>
      </c>
      <c r="G71" s="297" t="s">
        <v>708</v>
      </c>
      <c r="H71" s="297" t="s">
        <v>708</v>
      </c>
      <c r="I71" s="297" t="s">
        <v>708</v>
      </c>
      <c r="J71" s="297" t="s">
        <v>708</v>
      </c>
      <c r="K71" s="297" t="s">
        <v>708</v>
      </c>
      <c r="L71" s="297" t="s">
        <v>708</v>
      </c>
      <c r="M71" s="297" t="s">
        <v>708</v>
      </c>
      <c r="N71" s="297">
        <f>N70</f>
        <v>12</v>
      </c>
      <c r="O71" s="297" t="s">
        <v>708</v>
      </c>
      <c r="P71" s="297" t="s">
        <v>708</v>
      </c>
      <c r="Q71" s="297" t="s">
        <v>708</v>
      </c>
      <c r="R71" s="297" t="s">
        <v>708</v>
      </c>
      <c r="S71" s="297" t="s">
        <v>708</v>
      </c>
      <c r="T71" s="297" t="s">
        <v>708</v>
      </c>
      <c r="U71" s="297" t="s">
        <v>708</v>
      </c>
      <c r="V71" s="297" t="s">
        <v>708</v>
      </c>
      <c r="W71" s="297" t="s">
        <v>708</v>
      </c>
      <c r="X71" s="297" t="s">
        <v>708</v>
      </c>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hidden="1"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hidden="1" outlineLevel="1">
      <c r="A73" s="522">
        <v>12</v>
      </c>
      <c r="B73" s="520" t="s">
        <v>106</v>
      </c>
      <c r="C73" s="293" t="s">
        <v>25</v>
      </c>
      <c r="D73" s="297" t="s">
        <v>708</v>
      </c>
      <c r="E73" s="297" t="s">
        <v>708</v>
      </c>
      <c r="F73" s="297" t="s">
        <v>708</v>
      </c>
      <c r="G73" s="297" t="s">
        <v>708</v>
      </c>
      <c r="H73" s="297" t="s">
        <v>708</v>
      </c>
      <c r="I73" s="297" t="s">
        <v>708</v>
      </c>
      <c r="J73" s="297" t="s">
        <v>708</v>
      </c>
      <c r="K73" s="297" t="s">
        <v>708</v>
      </c>
      <c r="L73" s="297" t="s">
        <v>708</v>
      </c>
      <c r="M73" s="297" t="s">
        <v>708</v>
      </c>
      <c r="N73" s="297">
        <v>12</v>
      </c>
      <c r="O73" s="297" t="s">
        <v>708</v>
      </c>
      <c r="P73" s="297" t="s">
        <v>708</v>
      </c>
      <c r="Q73" s="297" t="s">
        <v>708</v>
      </c>
      <c r="R73" s="297" t="s">
        <v>708</v>
      </c>
      <c r="S73" s="297" t="s">
        <v>708</v>
      </c>
      <c r="T73" s="297" t="s">
        <v>708</v>
      </c>
      <c r="U73" s="297" t="s">
        <v>708</v>
      </c>
      <c r="V73" s="297" t="s">
        <v>708</v>
      </c>
      <c r="W73" s="297" t="s">
        <v>708</v>
      </c>
      <c r="X73" s="297" t="s">
        <v>708</v>
      </c>
      <c r="Y73" s="412"/>
      <c r="Z73" s="412"/>
      <c r="AA73" s="412"/>
      <c r="AB73" s="412"/>
      <c r="AC73" s="412"/>
      <c r="AD73" s="412"/>
      <c r="AE73" s="412"/>
      <c r="AF73" s="417"/>
      <c r="AG73" s="417"/>
      <c r="AH73" s="417"/>
      <c r="AI73" s="417"/>
      <c r="AJ73" s="417"/>
      <c r="AK73" s="417"/>
      <c r="AL73" s="417"/>
      <c r="AM73" s="298">
        <f>SUM(Y73:AL73)</f>
        <v>0</v>
      </c>
    </row>
    <row r="74" spans="1:39" hidden="1" outlineLevel="1">
      <c r="B74" s="520" t="s">
        <v>268</v>
      </c>
      <c r="C74" s="293" t="s">
        <v>164</v>
      </c>
      <c r="D74" s="297" t="s">
        <v>708</v>
      </c>
      <c r="E74" s="297" t="s">
        <v>708</v>
      </c>
      <c r="F74" s="297" t="s">
        <v>708</v>
      </c>
      <c r="G74" s="297" t="s">
        <v>708</v>
      </c>
      <c r="H74" s="297" t="s">
        <v>708</v>
      </c>
      <c r="I74" s="297" t="s">
        <v>708</v>
      </c>
      <c r="J74" s="297" t="s">
        <v>708</v>
      </c>
      <c r="K74" s="297" t="s">
        <v>708</v>
      </c>
      <c r="L74" s="297" t="s">
        <v>708</v>
      </c>
      <c r="M74" s="297" t="s">
        <v>708</v>
      </c>
      <c r="N74" s="297">
        <f>N73</f>
        <v>12</v>
      </c>
      <c r="O74" s="297" t="s">
        <v>708</v>
      </c>
      <c r="P74" s="297" t="s">
        <v>708</v>
      </c>
      <c r="Q74" s="297" t="s">
        <v>708</v>
      </c>
      <c r="R74" s="297" t="s">
        <v>708</v>
      </c>
      <c r="S74" s="297" t="s">
        <v>708</v>
      </c>
      <c r="T74" s="297" t="s">
        <v>708</v>
      </c>
      <c r="U74" s="297" t="s">
        <v>708</v>
      </c>
      <c r="V74" s="297" t="s">
        <v>708</v>
      </c>
      <c r="W74" s="297" t="s">
        <v>708</v>
      </c>
      <c r="X74" s="297" t="s">
        <v>708</v>
      </c>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hidden="1" outlineLevel="1">
      <c r="B75" s="520"/>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hidden="1" outlineLevel="1">
      <c r="A76" s="522">
        <v>13</v>
      </c>
      <c r="B76" s="520" t="s">
        <v>107</v>
      </c>
      <c r="C76" s="293" t="s">
        <v>25</v>
      </c>
      <c r="D76" s="297">
        <v>16371.3635256915</v>
      </c>
      <c r="E76" s="297">
        <v>16371.3635256915</v>
      </c>
      <c r="F76" s="297">
        <v>16371.3635256915</v>
      </c>
      <c r="G76" s="297">
        <v>16371.3635256915</v>
      </c>
      <c r="H76" s="297">
        <v>16371.3635256915</v>
      </c>
      <c r="I76" s="297">
        <v>16371.3635256915</v>
      </c>
      <c r="J76" s="297">
        <v>16371.3635256915</v>
      </c>
      <c r="K76" s="297">
        <v>16371.3635256915</v>
      </c>
      <c r="L76" s="297">
        <v>16371.3635256915</v>
      </c>
      <c r="M76" s="297">
        <v>16371.3635256915</v>
      </c>
      <c r="N76" s="297">
        <v>12</v>
      </c>
      <c r="O76" s="297">
        <v>5.1296895000000005</v>
      </c>
      <c r="P76" s="297">
        <v>5.1296895000000005</v>
      </c>
      <c r="Q76" s="297">
        <v>5.1296895000000005</v>
      </c>
      <c r="R76" s="297">
        <v>5.1296895000000005</v>
      </c>
      <c r="S76" s="297">
        <v>5.1296895000000005</v>
      </c>
      <c r="T76" s="297">
        <v>5.1296895000000005</v>
      </c>
      <c r="U76" s="297">
        <v>5.1296895000000005</v>
      </c>
      <c r="V76" s="297">
        <v>5.1296895000000005</v>
      </c>
      <c r="W76" s="297">
        <v>5.1296895000000005</v>
      </c>
      <c r="X76" s="297">
        <v>5.1296895000000005</v>
      </c>
      <c r="Y76" s="412">
        <v>0</v>
      </c>
      <c r="Z76" s="412">
        <v>0</v>
      </c>
      <c r="AA76" s="412">
        <v>1</v>
      </c>
      <c r="AB76" s="412"/>
      <c r="AC76" s="412"/>
      <c r="AD76" s="412"/>
      <c r="AE76" s="412"/>
      <c r="AF76" s="417"/>
      <c r="AG76" s="417"/>
      <c r="AH76" s="417"/>
      <c r="AI76" s="417"/>
      <c r="AJ76" s="417"/>
      <c r="AK76" s="417"/>
      <c r="AL76" s="417"/>
      <c r="AM76" s="298">
        <f>SUM(Y76:AL76)</f>
        <v>1</v>
      </c>
    </row>
    <row r="77" spans="1:39" hidden="1" outlineLevel="1">
      <c r="B77" s="520" t="s">
        <v>268</v>
      </c>
      <c r="C77" s="293" t="s">
        <v>164</v>
      </c>
      <c r="D77" s="297">
        <v>0</v>
      </c>
      <c r="E77" s="297">
        <v>0</v>
      </c>
      <c r="F77" s="297">
        <v>0</v>
      </c>
      <c r="G77" s="297">
        <v>0</v>
      </c>
      <c r="H77" s="297">
        <v>0</v>
      </c>
      <c r="I77" s="297">
        <v>0</v>
      </c>
      <c r="J77" s="297">
        <v>0</v>
      </c>
      <c r="K77" s="297">
        <v>0</v>
      </c>
      <c r="L77" s="297">
        <v>0</v>
      </c>
      <c r="M77" s="297">
        <v>0</v>
      </c>
      <c r="N77" s="297">
        <f>N76</f>
        <v>12</v>
      </c>
      <c r="O77" s="297">
        <v>0</v>
      </c>
      <c r="P77" s="297">
        <v>0</v>
      </c>
      <c r="Q77" s="297">
        <v>0</v>
      </c>
      <c r="R77" s="297">
        <v>0</v>
      </c>
      <c r="S77" s="297">
        <v>0</v>
      </c>
      <c r="T77" s="297">
        <v>0</v>
      </c>
      <c r="U77" s="297">
        <v>0</v>
      </c>
      <c r="V77" s="297">
        <v>0</v>
      </c>
      <c r="W77" s="297">
        <v>0</v>
      </c>
      <c r="X77" s="297">
        <v>0</v>
      </c>
      <c r="Y77" s="413">
        <f>Y76</f>
        <v>0</v>
      </c>
      <c r="Z77" s="413">
        <f t="shared" ref="Z77:AL77" si="143">Z76</f>
        <v>0</v>
      </c>
      <c r="AA77" s="413">
        <f t="shared" si="143"/>
        <v>1</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hidden="1" outlineLevel="1">
      <c r="B78" s="520"/>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hidden="1"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hidden="1" outlineLevel="1">
      <c r="A80" s="522">
        <v>14</v>
      </c>
      <c r="B80" s="317" t="s">
        <v>109</v>
      </c>
      <c r="C80" s="293" t="s">
        <v>25</v>
      </c>
      <c r="D80" s="297">
        <v>10324.690811157227</v>
      </c>
      <c r="E80" s="297">
        <v>7074.1198806762695</v>
      </c>
      <c r="F80" s="297">
        <v>6461.8127899169922</v>
      </c>
      <c r="G80" s="297">
        <v>5849.505199432373</v>
      </c>
      <c r="H80" s="297">
        <v>5849.505199432373</v>
      </c>
      <c r="I80" s="297">
        <v>5849.505199432373</v>
      </c>
      <c r="J80" s="297">
        <v>5213.6168785095215</v>
      </c>
      <c r="K80" s="297">
        <v>5213.6168785095215</v>
      </c>
      <c r="L80" s="297">
        <v>620.58732604980469</v>
      </c>
      <c r="M80" s="297">
        <v>620.58732604980469</v>
      </c>
      <c r="N80" s="297">
        <v>12</v>
      </c>
      <c r="O80" s="297">
        <v>0.67962809698656201</v>
      </c>
      <c r="P80" s="297">
        <v>0.51077296514995396</v>
      </c>
      <c r="Q80" s="297">
        <v>0.47896587220020592</v>
      </c>
      <c r="R80" s="297">
        <v>0.44715875689871609</v>
      </c>
      <c r="S80" s="297">
        <v>0.44715875689871609</v>
      </c>
      <c r="T80" s="297">
        <v>0.44715875689871609</v>
      </c>
      <c r="U80" s="297">
        <v>0.41412671213038266</v>
      </c>
      <c r="V80" s="297">
        <v>0.41412671213038266</v>
      </c>
      <c r="W80" s="297">
        <v>0.17553582321852446</v>
      </c>
      <c r="X80" s="297">
        <v>0.17553582321852446</v>
      </c>
      <c r="Y80" s="412">
        <v>1</v>
      </c>
      <c r="Z80" s="412">
        <v>0</v>
      </c>
      <c r="AA80" s="412">
        <v>0</v>
      </c>
      <c r="AB80" s="412"/>
      <c r="AC80" s="412"/>
      <c r="AD80" s="412"/>
      <c r="AE80" s="412"/>
      <c r="AF80" s="412"/>
      <c r="AG80" s="412"/>
      <c r="AH80" s="412"/>
      <c r="AI80" s="412"/>
      <c r="AJ80" s="412"/>
      <c r="AK80" s="412"/>
      <c r="AL80" s="412"/>
      <c r="AM80" s="298">
        <f>SUM(Y80:AL80)</f>
        <v>1</v>
      </c>
    </row>
    <row r="81" spans="1:40" hidden="1" outlineLevel="1">
      <c r="B81" s="296" t="s">
        <v>268</v>
      </c>
      <c r="C81" s="293" t="s">
        <v>164</v>
      </c>
      <c r="D81" s="297">
        <v>0</v>
      </c>
      <c r="E81" s="297">
        <v>0</v>
      </c>
      <c r="F81" s="297">
        <v>0</v>
      </c>
      <c r="G81" s="297">
        <v>0</v>
      </c>
      <c r="H81" s="297">
        <v>0</v>
      </c>
      <c r="I81" s="297">
        <v>0</v>
      </c>
      <c r="J81" s="297">
        <v>0</v>
      </c>
      <c r="K81" s="297">
        <v>0</v>
      </c>
      <c r="L81" s="297">
        <v>0</v>
      </c>
      <c r="M81" s="297">
        <v>0</v>
      </c>
      <c r="N81" s="297">
        <f>N80</f>
        <v>12</v>
      </c>
      <c r="O81" s="297">
        <v>0</v>
      </c>
      <c r="P81" s="297">
        <v>0</v>
      </c>
      <c r="Q81" s="297">
        <v>0</v>
      </c>
      <c r="R81" s="297">
        <v>0</v>
      </c>
      <c r="S81" s="297">
        <v>0</v>
      </c>
      <c r="T81" s="297">
        <v>0</v>
      </c>
      <c r="U81" s="297">
        <v>0</v>
      </c>
      <c r="V81" s="297">
        <v>0</v>
      </c>
      <c r="W81" s="297">
        <v>0</v>
      </c>
      <c r="X81" s="297">
        <v>0</v>
      </c>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5" customFormat="1" hidden="1" outlineLevel="1">
      <c r="A82" s="523"/>
      <c r="B82" s="296"/>
      <c r="C82" s="293"/>
      <c r="D82" s="293"/>
      <c r="E82" s="293"/>
      <c r="F82" s="293"/>
      <c r="G82" s="293"/>
      <c r="H82" s="293"/>
      <c r="I82" s="293"/>
      <c r="J82" s="293"/>
      <c r="K82" s="293"/>
      <c r="L82" s="293"/>
      <c r="M82" s="293"/>
      <c r="N82" s="469"/>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6"/>
      <c r="AN82" s="630"/>
    </row>
    <row r="83" spans="1:40" s="311" customFormat="1" ht="15.75" hidden="1" outlineLevel="1">
      <c r="A83" s="523"/>
      <c r="B83" s="290"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7"/>
      <c r="AN83" s="631"/>
    </row>
    <row r="84" spans="1:40" hidden="1" outlineLevel="1">
      <c r="A84" s="522">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hidden="1"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hidden="1"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hidden="1" outlineLevel="1">
      <c r="A87" s="522">
        <v>16</v>
      </c>
      <c r="B87" s="326" t="s">
        <v>493</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hidden="1" outlineLevel="1">
      <c r="A88" s="522"/>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hidden="1" outlineLevel="1">
      <c r="A89" s="522"/>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hidden="1" outlineLevel="1">
      <c r="B90" s="519" t="s">
        <v>498</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hidden="1" outlineLevel="1">
      <c r="A91" s="522">
        <v>17</v>
      </c>
      <c r="B91" s="520"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hidden="1"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hidden="1"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hidden="1" outlineLevel="1">
      <c r="A94" s="522">
        <v>18</v>
      </c>
      <c r="B94" s="520"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hidden="1"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hidden="1"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hidden="1" outlineLevel="1">
      <c r="A97" s="522">
        <v>19</v>
      </c>
      <c r="B97" s="520"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hidden="1"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hidden="1"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hidden="1" outlineLevel="1">
      <c r="A100" s="522">
        <v>20</v>
      </c>
      <c r="B100" s="520"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hidden="1"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hidden="1"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hidden="1" outlineLevel="1">
      <c r="B103" s="518"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hidden="1" outlineLevel="1">
      <c r="B104" s="290"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hidden="1" outlineLevel="1">
      <c r="A105" s="522">
        <v>21</v>
      </c>
      <c r="B105" s="520" t="s">
        <v>114</v>
      </c>
      <c r="C105" s="293" t="s">
        <v>25</v>
      </c>
      <c r="D105" s="297">
        <v>272095.77218870498</v>
      </c>
      <c r="E105" s="297">
        <v>269742.49965404742</v>
      </c>
      <c r="F105" s="297">
        <v>269742.49965404742</v>
      </c>
      <c r="G105" s="297">
        <v>269742.49965404742</v>
      </c>
      <c r="H105" s="297">
        <v>269742.49965404742</v>
      </c>
      <c r="I105" s="297">
        <v>269742.49965404742</v>
      </c>
      <c r="J105" s="297">
        <v>269742.49965404742</v>
      </c>
      <c r="K105" s="297">
        <v>269587.08950964885</v>
      </c>
      <c r="L105" s="297">
        <v>269587.08950964885</v>
      </c>
      <c r="M105" s="297">
        <v>269587.08950964885</v>
      </c>
      <c r="N105" s="293"/>
      <c r="O105" s="297">
        <v>17.469951173617591</v>
      </c>
      <c r="P105" s="297">
        <v>17.322219079968804</v>
      </c>
      <c r="Q105" s="297">
        <v>17.322219079968804</v>
      </c>
      <c r="R105" s="297">
        <v>17.322219079968804</v>
      </c>
      <c r="S105" s="297">
        <v>17.322219079968804</v>
      </c>
      <c r="T105" s="297">
        <v>17.322219079968804</v>
      </c>
      <c r="U105" s="297">
        <v>17.322219079968804</v>
      </c>
      <c r="V105" s="297">
        <v>17.304478195905041</v>
      </c>
      <c r="W105" s="297">
        <v>17.304478195905041</v>
      </c>
      <c r="X105" s="297">
        <v>17.304478195905041</v>
      </c>
      <c r="Y105" s="412">
        <v>1</v>
      </c>
      <c r="Z105" s="412">
        <v>0</v>
      </c>
      <c r="AA105" s="412">
        <v>0</v>
      </c>
      <c r="AB105" s="412"/>
      <c r="AC105" s="412"/>
      <c r="AD105" s="412"/>
      <c r="AE105" s="412"/>
      <c r="AF105" s="412"/>
      <c r="AG105" s="412"/>
      <c r="AH105" s="412"/>
      <c r="AI105" s="412"/>
      <c r="AJ105" s="412"/>
      <c r="AK105" s="412"/>
      <c r="AL105" s="412"/>
      <c r="AM105" s="298">
        <f>SUM(Y105:AL105)</f>
        <v>1</v>
      </c>
    </row>
    <row r="106" spans="1:39" hidden="1" outlineLevel="1">
      <c r="B106" s="296" t="s">
        <v>268</v>
      </c>
      <c r="C106" s="293" t="s">
        <v>164</v>
      </c>
      <c r="D106" s="297">
        <v>26760.271340875115</v>
      </c>
      <c r="E106" s="297">
        <v>26378.216193615201</v>
      </c>
      <c r="F106" s="297">
        <v>26378.216193615201</v>
      </c>
      <c r="G106" s="297">
        <v>26378.216193615201</v>
      </c>
      <c r="H106" s="297">
        <v>26378.216193615201</v>
      </c>
      <c r="I106" s="297">
        <v>26378.216193615201</v>
      </c>
      <c r="J106" s="297">
        <v>26378.216193615201</v>
      </c>
      <c r="K106" s="297">
        <v>26363.350989739421</v>
      </c>
      <c r="L106" s="297">
        <v>26363.350989739421</v>
      </c>
      <c r="M106" s="297">
        <v>26363.350989739421</v>
      </c>
      <c r="N106" s="293"/>
      <c r="O106" s="297">
        <v>1.7198925793966857</v>
      </c>
      <c r="P106" s="297">
        <v>1.6959081891644612</v>
      </c>
      <c r="Q106" s="297">
        <v>1.6959081891644612</v>
      </c>
      <c r="R106" s="297">
        <v>1.6959081891644612</v>
      </c>
      <c r="S106" s="297">
        <v>1.6959081891644612</v>
      </c>
      <c r="T106" s="297">
        <v>1.6959081891644612</v>
      </c>
      <c r="U106" s="297">
        <v>1.6959081891644612</v>
      </c>
      <c r="V106" s="297">
        <v>1.6942112480827509</v>
      </c>
      <c r="W106" s="297">
        <v>1.6942112480827509</v>
      </c>
      <c r="X106" s="297">
        <v>1.6942112480827509</v>
      </c>
      <c r="Y106" s="413">
        <f>Y105</f>
        <v>1</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hidden="1"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hidden="1" outlineLevel="1">
      <c r="A108" s="522">
        <v>22</v>
      </c>
      <c r="B108" s="520" t="s">
        <v>115</v>
      </c>
      <c r="C108" s="293" t="s">
        <v>25</v>
      </c>
      <c r="D108" s="297">
        <v>71915.795361629906</v>
      </c>
      <c r="E108" s="297">
        <v>71915.795361629906</v>
      </c>
      <c r="F108" s="297">
        <v>71915.795361629906</v>
      </c>
      <c r="G108" s="297">
        <v>71915.795361629906</v>
      </c>
      <c r="H108" s="297">
        <v>71915.795361629906</v>
      </c>
      <c r="I108" s="297">
        <v>71915.795361629906</v>
      </c>
      <c r="J108" s="297">
        <v>71915.795361629906</v>
      </c>
      <c r="K108" s="297">
        <v>71915.795361629906</v>
      </c>
      <c r="L108" s="297">
        <v>71915.795361629906</v>
      </c>
      <c r="M108" s="297">
        <v>71915.795361629906</v>
      </c>
      <c r="N108" s="293"/>
      <c r="O108" s="297">
        <v>36.793749923419099</v>
      </c>
      <c r="P108" s="297">
        <v>36.793749923419099</v>
      </c>
      <c r="Q108" s="297">
        <v>36.793749923419099</v>
      </c>
      <c r="R108" s="297">
        <v>36.793749923419099</v>
      </c>
      <c r="S108" s="297">
        <v>36.793749923419099</v>
      </c>
      <c r="T108" s="297">
        <v>36.793749923419099</v>
      </c>
      <c r="U108" s="297">
        <v>36.793749923419099</v>
      </c>
      <c r="V108" s="297">
        <v>36.793749923419099</v>
      </c>
      <c r="W108" s="297">
        <v>36.793749923419099</v>
      </c>
      <c r="X108" s="297">
        <v>36.793749923419099</v>
      </c>
      <c r="Y108" s="412">
        <v>1</v>
      </c>
      <c r="Z108" s="412">
        <v>0</v>
      </c>
      <c r="AA108" s="412">
        <v>0</v>
      </c>
      <c r="AB108" s="412"/>
      <c r="AC108" s="412"/>
      <c r="AD108" s="412"/>
      <c r="AE108" s="412"/>
      <c r="AF108" s="412"/>
      <c r="AG108" s="412"/>
      <c r="AH108" s="412"/>
      <c r="AI108" s="412"/>
      <c r="AJ108" s="412"/>
      <c r="AK108" s="412"/>
      <c r="AL108" s="412"/>
      <c r="AM108" s="298">
        <f>SUM(Y108:AL108)</f>
        <v>1</v>
      </c>
    </row>
    <row r="109" spans="1:39" hidden="1" outlineLevel="1">
      <c r="B109" s="296" t="s">
        <v>268</v>
      </c>
      <c r="C109" s="293" t="s">
        <v>164</v>
      </c>
      <c r="D109" s="297">
        <v>6658.9999999999991</v>
      </c>
      <c r="E109" s="297">
        <v>6658.9999999999991</v>
      </c>
      <c r="F109" s="297">
        <v>6658.9999999999991</v>
      </c>
      <c r="G109" s="297">
        <v>6658.9999999999991</v>
      </c>
      <c r="H109" s="297">
        <v>6658.9999999999991</v>
      </c>
      <c r="I109" s="297">
        <v>6658.9999999999991</v>
      </c>
      <c r="J109" s="297">
        <v>6658.9999999999991</v>
      </c>
      <c r="K109" s="297">
        <v>6658.9999999999991</v>
      </c>
      <c r="L109" s="297">
        <v>6658.9999999999991</v>
      </c>
      <c r="M109" s="297">
        <v>6658.9999999999991</v>
      </c>
      <c r="N109" s="293"/>
      <c r="O109" s="297">
        <v>3.4535000000000005</v>
      </c>
      <c r="P109" s="297">
        <v>3.4535000000000005</v>
      </c>
      <c r="Q109" s="297">
        <v>3.4535000000000005</v>
      </c>
      <c r="R109" s="297">
        <v>3.4535000000000005</v>
      </c>
      <c r="S109" s="297">
        <v>3.4535000000000005</v>
      </c>
      <c r="T109" s="297">
        <v>3.4535000000000005</v>
      </c>
      <c r="U109" s="297">
        <v>3.4535000000000005</v>
      </c>
      <c r="V109" s="297">
        <v>3.4535000000000005</v>
      </c>
      <c r="W109" s="297">
        <v>3.4535000000000005</v>
      </c>
      <c r="X109" s="297">
        <v>3.4535000000000005</v>
      </c>
      <c r="Y109" s="413">
        <f>Y108</f>
        <v>1</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hidden="1"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hidden="1" outlineLevel="1">
      <c r="A111" s="522">
        <v>23</v>
      </c>
      <c r="B111" s="520"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hidden="1"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hidden="1"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hidden="1" outlineLevel="1">
      <c r="A114" s="522">
        <v>24</v>
      </c>
      <c r="B114" s="520"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hidden="1"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hidden="1"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hidden="1" outlineLevel="1">
      <c r="B117" s="290"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hidden="1" outlineLevel="1">
      <c r="A118" s="522">
        <v>25</v>
      </c>
      <c r="B118" s="520"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hidden="1"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hidden="1"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hidden="1" outlineLevel="1">
      <c r="A121" s="522">
        <v>26</v>
      </c>
      <c r="B121" s="520" t="s">
        <v>119</v>
      </c>
      <c r="C121" s="293" t="s">
        <v>25</v>
      </c>
      <c r="D121" s="297">
        <v>157549.14323282012</v>
      </c>
      <c r="E121" s="297">
        <v>157549.14323282012</v>
      </c>
      <c r="F121" s="297">
        <v>157549.14323282012</v>
      </c>
      <c r="G121" s="297">
        <v>157549.14323282012</v>
      </c>
      <c r="H121" s="297">
        <v>157549.14323282012</v>
      </c>
      <c r="I121" s="297">
        <v>157549.14323282012</v>
      </c>
      <c r="J121" s="297">
        <v>155886.90356597977</v>
      </c>
      <c r="K121" s="297">
        <v>155886.90356597977</v>
      </c>
      <c r="L121" s="297">
        <v>155886.90356597977</v>
      </c>
      <c r="M121" s="297">
        <v>150468.82516639068</v>
      </c>
      <c r="N121" s="297">
        <v>12</v>
      </c>
      <c r="O121" s="297">
        <v>11.253497362931158</v>
      </c>
      <c r="P121" s="297">
        <v>11.253497362931158</v>
      </c>
      <c r="Q121" s="297">
        <v>11.253497362931158</v>
      </c>
      <c r="R121" s="297">
        <v>11.253497362931158</v>
      </c>
      <c r="S121" s="297">
        <v>11.253497362931158</v>
      </c>
      <c r="T121" s="297">
        <v>11.253497362931158</v>
      </c>
      <c r="U121" s="297">
        <v>11.091711208972992</v>
      </c>
      <c r="V121" s="297">
        <v>11.091711208972992</v>
      </c>
      <c r="W121" s="297">
        <v>11.091711208972992</v>
      </c>
      <c r="X121" s="297">
        <v>10.564368441500994</v>
      </c>
      <c r="Y121" s="412">
        <v>0</v>
      </c>
      <c r="Z121" s="412">
        <v>0.33732998256267432</v>
      </c>
      <c r="AA121" s="412">
        <v>0.66267001743732568</v>
      </c>
      <c r="AB121" s="412"/>
      <c r="AC121" s="533"/>
      <c r="AD121" s="412"/>
      <c r="AE121" s="412"/>
      <c r="AF121" s="417"/>
      <c r="AG121" s="417"/>
      <c r="AH121" s="417"/>
      <c r="AI121" s="417"/>
      <c r="AJ121" s="417"/>
      <c r="AK121" s="417"/>
      <c r="AL121" s="417"/>
      <c r="AM121" s="298">
        <f>SUM(Y121:AL121)</f>
        <v>1</v>
      </c>
    </row>
    <row r="122" spans="1:39" hidden="1" outlineLevel="1">
      <c r="B122" s="296" t="s">
        <v>268</v>
      </c>
      <c r="C122" s="293" t="s">
        <v>164</v>
      </c>
      <c r="D122" s="297">
        <v>339035.14020330296</v>
      </c>
      <c r="E122" s="297">
        <v>339035.14020330296</v>
      </c>
      <c r="F122" s="297">
        <v>339035.14020330296</v>
      </c>
      <c r="G122" s="297">
        <v>339035.14020330296</v>
      </c>
      <c r="H122" s="297">
        <v>339035.14020330296</v>
      </c>
      <c r="I122" s="297">
        <v>339035.14020330296</v>
      </c>
      <c r="J122" s="297">
        <v>334126.66464447579</v>
      </c>
      <c r="K122" s="297">
        <v>334126.66464447579</v>
      </c>
      <c r="L122" s="297">
        <v>334126.66464447579</v>
      </c>
      <c r="M122" s="297">
        <v>318625.86269657878</v>
      </c>
      <c r="N122" s="297">
        <f>N121</f>
        <v>12</v>
      </c>
      <c r="O122" s="297">
        <v>53.619570761560993</v>
      </c>
      <c r="P122" s="297">
        <v>53.619570761560993</v>
      </c>
      <c r="Q122" s="297">
        <v>53.619570761560993</v>
      </c>
      <c r="R122" s="297">
        <v>53.619570761560993</v>
      </c>
      <c r="S122" s="297">
        <v>53.619570761560993</v>
      </c>
      <c r="T122" s="297">
        <v>53.619570761560993</v>
      </c>
      <c r="U122" s="297">
        <v>52.863186143468724</v>
      </c>
      <c r="V122" s="297">
        <v>52.863186143468724</v>
      </c>
      <c r="W122" s="297">
        <v>52.863186143468724</v>
      </c>
      <c r="X122" s="297">
        <v>50.474548771036652</v>
      </c>
      <c r="Y122" s="413">
        <f>Y121</f>
        <v>0</v>
      </c>
      <c r="Z122" s="413">
        <f t="shared" ref="Z122" si="241">Z121</f>
        <v>0.33732998256267432</v>
      </c>
      <c r="AA122" s="413">
        <f t="shared" ref="AA122" si="242">AA121</f>
        <v>0.66267001743732568</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hidden="1"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hidden="1" outlineLevel="1">
      <c r="A124" s="522">
        <v>27</v>
      </c>
      <c r="B124" s="520"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hidden="1"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hidden="1"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hidden="1" outlineLevel="1">
      <c r="A127" s="522">
        <v>28</v>
      </c>
      <c r="B127" s="520"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hidden="1"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hidden="1"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hidden="1" outlineLevel="1">
      <c r="A130" s="522">
        <v>29</v>
      </c>
      <c r="B130" s="520"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hidden="1"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hidden="1"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hidden="1" outlineLevel="1">
      <c r="A133" s="522">
        <v>30</v>
      </c>
      <c r="B133" s="520"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hidden="1"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hidden="1"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hidden="1" outlineLevel="1">
      <c r="A136" s="522">
        <v>31</v>
      </c>
      <c r="B136" s="520"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hidden="1"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hidden="1" outlineLevel="1">
      <c r="B138" s="520"/>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hidden="1" customHeight="1" outlineLevel="1">
      <c r="A139" s="522">
        <v>32</v>
      </c>
      <c r="B139" s="520"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hidden="1"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hidden="1" outlineLevel="1">
      <c r="B141" s="520"/>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hidden="1" outlineLevel="1">
      <c r="B142" s="290"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hidden="1" outlineLevel="1">
      <c r="A143" s="522">
        <v>33</v>
      </c>
      <c r="B143" s="520"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hidden="1"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hidden="1" outlineLevel="1">
      <c r="B145" s="520"/>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hidden="1" outlineLevel="1">
      <c r="A146" s="522">
        <v>34</v>
      </c>
      <c r="B146" s="520"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hidden="1"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hidden="1" outlineLevel="1">
      <c r="B148" s="520"/>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hidden="1" outlineLevel="1">
      <c r="A149" s="522">
        <v>35</v>
      </c>
      <c r="B149" s="520"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hidden="1"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hidden="1"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hidden="1" outlineLevel="1">
      <c r="B152" s="290"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hidden="1" outlineLevel="1">
      <c r="A153" s="522">
        <v>36</v>
      </c>
      <c r="B153" s="520"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hidden="1"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hidden="1" outlineLevel="1">
      <c r="B155" s="520"/>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hidden="1" outlineLevel="1">
      <c r="A156" s="522">
        <v>37</v>
      </c>
      <c r="B156" s="520"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hidden="1"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hidden="1" outlineLevel="1">
      <c r="B158" s="520"/>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hidden="1" outlineLevel="1">
      <c r="A159" s="522">
        <v>38</v>
      </c>
      <c r="B159" s="520"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hidden="1"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hidden="1" outlineLevel="1">
      <c r="B161" s="520"/>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hidden="1" outlineLevel="1">
      <c r="A162" s="522">
        <v>39</v>
      </c>
      <c r="B162" s="520"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hidden="1"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hidden="1" outlineLevel="1">
      <c r="B164" s="520"/>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hidden="1" outlineLevel="1">
      <c r="A165" s="522">
        <v>40</v>
      </c>
      <c r="B165" s="520"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hidden="1"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hidden="1" outlineLevel="1">
      <c r="B167" s="520"/>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hidden="1" outlineLevel="1">
      <c r="A168" s="522">
        <v>41</v>
      </c>
      <c r="B168" s="520"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hidden="1"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hidden="1" outlineLevel="1">
      <c r="B170" s="520"/>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hidden="1" outlineLevel="1">
      <c r="A171" s="522">
        <v>42</v>
      </c>
      <c r="B171" s="520"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hidden="1" outlineLevel="1">
      <c r="B172" s="296" t="s">
        <v>268</v>
      </c>
      <c r="C172" s="293" t="s">
        <v>164</v>
      </c>
      <c r="D172" s="297"/>
      <c r="E172" s="297"/>
      <c r="F172" s="297"/>
      <c r="G172" s="297"/>
      <c r="H172" s="297"/>
      <c r="I172" s="297"/>
      <c r="J172" s="297"/>
      <c r="K172" s="297"/>
      <c r="L172" s="297"/>
      <c r="M172" s="297"/>
      <c r="N172" s="469"/>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hidden="1" outlineLevel="1">
      <c r="B173" s="520"/>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hidden="1" outlineLevel="1">
      <c r="A174" s="522">
        <v>43</v>
      </c>
      <c r="B174" s="520"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hidden="1"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hidden="1" outlineLevel="1">
      <c r="B176" s="520"/>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hidden="1" outlineLevel="1">
      <c r="A177" s="522">
        <v>44</v>
      </c>
      <c r="B177" s="520"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hidden="1"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hidden="1" outlineLevel="1">
      <c r="B179" s="520"/>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hidden="1" outlineLevel="1">
      <c r="A180" s="522">
        <v>45</v>
      </c>
      <c r="B180" s="520"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hidden="1"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hidden="1" outlineLevel="1">
      <c r="B182" s="520"/>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hidden="1" outlineLevel="1">
      <c r="A183" s="522">
        <v>46</v>
      </c>
      <c r="B183" s="520"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hidden="1"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hidden="1" outlineLevel="1">
      <c r="B185" s="520"/>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hidden="1" outlineLevel="1">
      <c r="A186" s="522">
        <v>47</v>
      </c>
      <c r="B186" s="520"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hidden="1"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hidden="1" outlineLevel="1">
      <c r="B188" s="520"/>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hidden="1" outlineLevel="1">
      <c r="A189" s="522">
        <v>48</v>
      </c>
      <c r="B189" s="520"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hidden="1"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hidden="1" outlineLevel="1">
      <c r="B191" s="520"/>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hidden="1" outlineLevel="1">
      <c r="A192" s="522">
        <v>49</v>
      </c>
      <c r="B192" s="520"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hidden="1"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hidden="1"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ollapsed="1">
      <c r="B195" s="329" t="s">
        <v>272</v>
      </c>
      <c r="C195" s="331"/>
      <c r="D195" s="331">
        <f>SUM(D38:D193)</f>
        <v>1948797.0277958044</v>
      </c>
      <c r="E195" s="331"/>
      <c r="F195" s="331"/>
      <c r="G195" s="331"/>
      <c r="H195" s="331"/>
      <c r="I195" s="331"/>
      <c r="J195" s="331"/>
      <c r="K195" s="331"/>
      <c r="L195" s="331"/>
      <c r="M195" s="331"/>
      <c r="N195" s="331"/>
      <c r="O195" s="331">
        <f>SUM(O38:O193)</f>
        <v>289.55022507678569</v>
      </c>
      <c r="P195" s="331"/>
      <c r="Q195" s="331"/>
      <c r="R195" s="331"/>
      <c r="S195" s="331"/>
      <c r="T195" s="331"/>
      <c r="U195" s="331"/>
      <c r="V195" s="331"/>
      <c r="W195" s="331"/>
      <c r="X195" s="331"/>
      <c r="Y195" s="331">
        <f>IF(Y36="kWh",SUMPRODUCT(D38:D193,Y38:Y193))</f>
        <v>588649.05488399032</v>
      </c>
      <c r="Z195" s="331">
        <f>IF(Z36="kWh",SUMPRODUCT(D38:D193,Z38:Z193))</f>
        <v>933254.88101221051</v>
      </c>
      <c r="AA195" s="331">
        <f>IF(AA36="kw",SUMPRODUCT(N38:N193,O38:O193,AA38:AA193),SUMPRODUCT(D38:D193,AA38:AA193))</f>
        <v>698.47713941617394</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1345003</v>
      </c>
      <c r="Z196" s="394">
        <f>HLOOKUP(Z35,'2. LRAMVA Threshold'!$B$42:$Q$53,7,FALSE)</f>
        <v>543085</v>
      </c>
      <c r="AA196" s="394">
        <f>HLOOKUP(AA35,'2. LRAMVA Threshold'!$B$42:$Q$53,7,FALSE)</f>
        <v>10671</v>
      </c>
      <c r="AB196" s="394">
        <f>HLOOKUP(AB35,'2. LRAMVA Threshold'!$B$42:$Q$53,7,FALSE)</f>
        <v>196</v>
      </c>
      <c r="AC196" s="394">
        <f>HLOOKUP(AC35,'2. LRAMVA Threshold'!$B$42:$Q$53,7,FALSE)</f>
        <v>4684</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1"/>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1.9800000000000002E-2</v>
      </c>
      <c r="Z198" s="343">
        <f>HLOOKUP(Z$35,'3.  Distribution Rates'!$C$122:$P$133,7,FALSE)</f>
        <v>1.34E-2</v>
      </c>
      <c r="AA198" s="343">
        <f>HLOOKUP(AA$35,'3.  Distribution Rates'!$C$122:$P$133,7,FALSE)</f>
        <v>3.1553</v>
      </c>
      <c r="AB198" s="343">
        <f>HLOOKUP(AB$35,'3.  Distribution Rates'!$C$122:$P$133,7,FALSE)</f>
        <v>14.715299999999999</v>
      </c>
      <c r="AC198" s="343">
        <f>HLOOKUP(AC$35,'3.  Distribution Rates'!$C$122:$P$133,7,FALSE)</f>
        <v>1.1599999999999999E-2</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4620.5087774989552</v>
      </c>
      <c r="Z199" s="380">
        <f>'4.  2011-2014 LRAM'!Z138*Z198</f>
        <v>3115.9555229576486</v>
      </c>
      <c r="AA199" s="380">
        <f>'4.  2011-2014 LRAM'!AA138*AA198</f>
        <v>1653.0111852</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29">
        <f>SUM(Y199:AL199)</f>
        <v>9389.4754856566033</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3602.747318375657</v>
      </c>
      <c r="Z200" s="380">
        <f>'4.  2011-2014 LRAM'!Z267*Z198</f>
        <v>16094.575117688983</v>
      </c>
      <c r="AA200" s="380">
        <f>'4.  2011-2014 LRAM'!AA267*AA198</f>
        <v>1403.1623088807366</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29">
        <f>SUM(Y200:AL200)</f>
        <v>21100.484744945374</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3516.0847836333292</v>
      </c>
      <c r="Z201" s="380">
        <f>'4.  2011-2014 LRAM'!Z396*Z198</f>
        <v>17258.15916934234</v>
      </c>
      <c r="AA201" s="380">
        <f>'4.  2011-2014 LRAM'!AA396*AA198</f>
        <v>892.79092830318575</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29">
        <f>SUM(Y201:AL201)</f>
        <v>21667.034881278854</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11457.021600468599</v>
      </c>
      <c r="Z202" s="380">
        <f>'4.  2011-2014 LRAM'!Z526*Z198</f>
        <v>18896.199325091635</v>
      </c>
      <c r="AA202" s="380">
        <f>'4.  2011-2014 LRAM'!AA526*AA198</f>
        <v>2263.4236272239727</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29">
        <f>SUM(Y202:AL202)</f>
        <v>32616.644552784208</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11655.251286703009</v>
      </c>
      <c r="Z203" s="380">
        <f t="shared" ref="Z203:AL203" si="553">Z195*Z198</f>
        <v>12505.615405563622</v>
      </c>
      <c r="AA203" s="380">
        <f t="shared" si="553"/>
        <v>2203.9049179998538</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29">
        <f>SUM(Y203:AL203)</f>
        <v>26364.771610266485</v>
      </c>
    </row>
    <row r="204" spans="2:39" ht="15.75">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34851.613766679548</v>
      </c>
      <c r="Z204" s="348">
        <f>SUM(Z199:Z203)</f>
        <v>67870.504540644222</v>
      </c>
      <c r="AA204" s="348">
        <f t="shared" ref="AA204:AE204" si="554">SUM(AA199:AA203)</f>
        <v>8416.2929676077474</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111138.41127493152</v>
      </c>
    </row>
    <row r="205" spans="2:39" ht="15.75">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26631.059400000002</v>
      </c>
      <c r="Z205" s="349">
        <f t="shared" ref="Z205:AE205" si="556">Z196*Z198</f>
        <v>7277.3389999999999</v>
      </c>
      <c r="AA205" s="349">
        <f t="shared" si="556"/>
        <v>33670.206299999998</v>
      </c>
      <c r="AB205" s="349">
        <f t="shared" si="556"/>
        <v>2884.1987999999997</v>
      </c>
      <c r="AC205" s="349">
        <f t="shared" si="556"/>
        <v>54.334399999999995</v>
      </c>
      <c r="AD205" s="349">
        <f t="shared" si="556"/>
        <v>0</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70517.137900000002</v>
      </c>
    </row>
    <row r="206" spans="2:39" ht="15.75">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40621.273374931523</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578989.81832256762</v>
      </c>
      <c r="Z208" s="293">
        <f>SUMPRODUCT(E38:E193,Z38:Z193)</f>
        <v>933253.88101221051</v>
      </c>
      <c r="AA208" s="293">
        <f>IF(AA36="kw",SUMPRODUCT(N38:N193,P38:P193,AA38:AA193),SUMPRODUCT(E38:E193,AA38:AA193))</f>
        <v>698.47713941617394</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578377.51123180834</v>
      </c>
      <c r="Z209" s="293">
        <f>SUMPRODUCT(F38:F193,Z38:Z193)</f>
        <v>933255.48996955121</v>
      </c>
      <c r="AA209" s="293">
        <f>IF(AA36="kw",SUMPRODUCT(N38:N193,Q38:Q193,AA38:AA193),SUMPRODUCT(F38:F193,AA38:AA193))</f>
        <v>698.47713941617394</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577660.79559471598</v>
      </c>
      <c r="Z210" s="293">
        <f>SUMPRODUCT(G38:G193,Z38:Z193)</f>
        <v>961951.56425002974</v>
      </c>
      <c r="AA210" s="293">
        <f>IF(AA36="kw",SUMPRODUCT(N38:N193,R38:R193,AA38:AA193),SUMPRODUCT(G38:G193,AA38:AA193))</f>
        <v>708.13858926140801</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572253.95823375299</v>
      </c>
      <c r="Z211" s="293">
        <f>SUMPRODUCT(H38:H193,Z38:Z193)</f>
        <v>961951.56425002974</v>
      </c>
      <c r="AA211" s="293">
        <f>IF(AA36="kw",SUMPRODUCT(N38:N193,S38:S193,AA38:AA193),SUMPRODUCT(H38:H193,AA38:AA193))</f>
        <v>708.13858926140801</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566149.33176084189</v>
      </c>
      <c r="Z212" s="328">
        <f>SUMPRODUCT(I38:I193,Z38:Z193)</f>
        <v>961951.56425002974</v>
      </c>
      <c r="AA212" s="328">
        <f>IF(AA36="kw",SUMPRODUCT(N38:N193,T38:T193,AA38:AA193),SUMPRODUCT(I38:I193,AA38:AA193))</f>
        <v>708.13858926140801</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592</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274</v>
      </c>
      <c r="C216" s="283"/>
      <c r="D216" s="590" t="s">
        <v>528</v>
      </c>
      <c r="E216" s="255"/>
      <c r="F216" s="590"/>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70" t="s">
        <v>212</v>
      </c>
      <c r="C217" s="872" t="s">
        <v>33</v>
      </c>
      <c r="D217" s="286" t="s">
        <v>424</v>
      </c>
      <c r="E217" s="874" t="s">
        <v>210</v>
      </c>
      <c r="F217" s="875"/>
      <c r="G217" s="875"/>
      <c r="H217" s="875"/>
      <c r="I217" s="875"/>
      <c r="J217" s="875"/>
      <c r="K217" s="875"/>
      <c r="L217" s="875"/>
      <c r="M217" s="876"/>
      <c r="N217" s="880" t="s">
        <v>214</v>
      </c>
      <c r="O217" s="286" t="s">
        <v>425</v>
      </c>
      <c r="P217" s="874" t="s">
        <v>213</v>
      </c>
      <c r="Q217" s="875"/>
      <c r="R217" s="875"/>
      <c r="S217" s="875"/>
      <c r="T217" s="875"/>
      <c r="U217" s="875"/>
      <c r="V217" s="875"/>
      <c r="W217" s="875"/>
      <c r="X217" s="876"/>
      <c r="Y217" s="877" t="s">
        <v>244</v>
      </c>
      <c r="Z217" s="878"/>
      <c r="AA217" s="878"/>
      <c r="AB217" s="878"/>
      <c r="AC217" s="878"/>
      <c r="AD217" s="878"/>
      <c r="AE217" s="878"/>
      <c r="AF217" s="878"/>
      <c r="AG217" s="878"/>
      <c r="AH217" s="878"/>
      <c r="AI217" s="878"/>
      <c r="AJ217" s="878"/>
      <c r="AK217" s="878"/>
      <c r="AL217" s="878"/>
      <c r="AM217" s="879"/>
    </row>
    <row r="218" spans="1:39" ht="60.75" customHeight="1">
      <c r="B218" s="871"/>
      <c r="C218" s="873"/>
      <c r="D218" s="287">
        <v>2016</v>
      </c>
      <c r="E218" s="287">
        <v>2017</v>
      </c>
      <c r="F218" s="287">
        <v>2018</v>
      </c>
      <c r="G218" s="287">
        <v>2019</v>
      </c>
      <c r="H218" s="287">
        <v>2020</v>
      </c>
      <c r="I218" s="287">
        <v>2021</v>
      </c>
      <c r="J218" s="287">
        <v>2022</v>
      </c>
      <c r="K218" s="287">
        <v>2023</v>
      </c>
      <c r="L218" s="287">
        <v>2024</v>
      </c>
      <c r="M218" s="287">
        <v>2025</v>
      </c>
      <c r="N218" s="881"/>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GS&gt;50 kW</v>
      </c>
      <c r="AB218" s="287" t="str">
        <f>'1.  LRAMVA Summary'!G50</f>
        <v>Streetlights</v>
      </c>
      <c r="AC218" s="287" t="str">
        <f>'1.  LRAMVA Summary'!H50</f>
        <v>Unmetered Scattered Load</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18"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KWh</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hidden="1" outlineLevel="1">
      <c r="B220" s="290"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hidden="1" outlineLevel="1">
      <c r="A221" s="522">
        <v>1</v>
      </c>
      <c r="B221" s="520" t="s">
        <v>95</v>
      </c>
      <c r="C221" s="293" t="s">
        <v>25</v>
      </c>
      <c r="D221" s="297" t="s">
        <v>708</v>
      </c>
      <c r="E221" s="297" t="s">
        <v>708</v>
      </c>
      <c r="F221" s="297" t="s">
        <v>708</v>
      </c>
      <c r="G221" s="297" t="s">
        <v>708</v>
      </c>
      <c r="H221" s="297" t="s">
        <v>708</v>
      </c>
      <c r="I221" s="297" t="s">
        <v>708</v>
      </c>
      <c r="J221" s="297" t="s">
        <v>708</v>
      </c>
      <c r="K221" s="297" t="s">
        <v>708</v>
      </c>
      <c r="L221" s="297" t="s">
        <v>708</v>
      </c>
      <c r="M221" s="297" t="s">
        <v>708</v>
      </c>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hidden="1" outlineLevel="1">
      <c r="B222" s="296" t="s">
        <v>290</v>
      </c>
      <c r="C222" s="293" t="s">
        <v>164</v>
      </c>
      <c r="D222" s="297" t="s">
        <v>708</v>
      </c>
      <c r="E222" s="297" t="s">
        <v>708</v>
      </c>
      <c r="F222" s="297" t="s">
        <v>708</v>
      </c>
      <c r="G222" s="297" t="s">
        <v>708</v>
      </c>
      <c r="H222" s="297" t="s">
        <v>708</v>
      </c>
      <c r="I222" s="297" t="s">
        <v>708</v>
      </c>
      <c r="J222" s="297" t="s">
        <v>708</v>
      </c>
      <c r="K222" s="297" t="s">
        <v>708</v>
      </c>
      <c r="L222" s="297" t="s">
        <v>708</v>
      </c>
      <c r="M222" s="297" t="s">
        <v>708</v>
      </c>
      <c r="N222" s="469"/>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hidden="1"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hidden="1" outlineLevel="1">
      <c r="A224" s="522">
        <v>2</v>
      </c>
      <c r="B224" s="520"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hidden="1" outlineLevel="1">
      <c r="B225" s="296" t="s">
        <v>290</v>
      </c>
      <c r="C225" s="293" t="s">
        <v>164</v>
      </c>
      <c r="D225" s="297"/>
      <c r="E225" s="297"/>
      <c r="F225" s="297"/>
      <c r="G225" s="297"/>
      <c r="H225" s="297"/>
      <c r="I225" s="297"/>
      <c r="J225" s="297"/>
      <c r="K225" s="297"/>
      <c r="L225" s="297"/>
      <c r="M225" s="297"/>
      <c r="N225" s="469"/>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hidden="1"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hidden="1" outlineLevel="1">
      <c r="A227" s="522">
        <v>3</v>
      </c>
      <c r="B227" s="520"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hidden="1" outlineLevel="1">
      <c r="B228" s="296" t="s">
        <v>290</v>
      </c>
      <c r="C228" s="293" t="s">
        <v>164</v>
      </c>
      <c r="D228" s="297"/>
      <c r="E228" s="297"/>
      <c r="F228" s="297"/>
      <c r="G228" s="297"/>
      <c r="H228" s="297"/>
      <c r="I228" s="297"/>
      <c r="J228" s="297"/>
      <c r="K228" s="297"/>
      <c r="L228" s="297"/>
      <c r="M228" s="297"/>
      <c r="N228" s="469"/>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hidden="1"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hidden="1" outlineLevel="1">
      <c r="A230" s="522">
        <v>4</v>
      </c>
      <c r="B230" s="520"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hidden="1" outlineLevel="1">
      <c r="B231" s="296" t="s">
        <v>290</v>
      </c>
      <c r="C231" s="293" t="s">
        <v>164</v>
      </c>
      <c r="D231" s="297"/>
      <c r="E231" s="297"/>
      <c r="F231" s="297"/>
      <c r="G231" s="297"/>
      <c r="H231" s="297"/>
      <c r="I231" s="297"/>
      <c r="J231" s="297"/>
      <c r="K231" s="297"/>
      <c r="L231" s="297"/>
      <c r="M231" s="297"/>
      <c r="N231" s="469"/>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hidden="1"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hidden="1" outlineLevel="1">
      <c r="A233" s="522">
        <v>5</v>
      </c>
      <c r="B233" s="520"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hidden="1" outlineLevel="1">
      <c r="B234" s="296" t="s">
        <v>290</v>
      </c>
      <c r="C234" s="293" t="s">
        <v>164</v>
      </c>
      <c r="D234" s="297"/>
      <c r="E234" s="297"/>
      <c r="F234" s="297"/>
      <c r="G234" s="297"/>
      <c r="H234" s="297"/>
      <c r="I234" s="297"/>
      <c r="J234" s="297"/>
      <c r="K234" s="297"/>
      <c r="L234" s="297"/>
      <c r="M234" s="297"/>
      <c r="N234" s="469"/>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hidden="1"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hidden="1" outlineLevel="1">
      <c r="B236" s="321"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hidden="1" outlineLevel="1">
      <c r="A237" s="522">
        <v>6</v>
      </c>
      <c r="B237" s="520"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hidden="1"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hidden="1"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hidden="1" outlineLevel="1">
      <c r="A240" s="522">
        <v>7</v>
      </c>
      <c r="B240" s="520"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hidden="1"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hidden="1"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hidden="1" outlineLevel="1">
      <c r="A243" s="522">
        <v>8</v>
      </c>
      <c r="B243" s="520"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hidden="1"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hidden="1"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hidden="1" outlineLevel="1">
      <c r="A246" s="522">
        <v>9</v>
      </c>
      <c r="B246" s="520"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hidden="1"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hidden="1"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hidden="1" outlineLevel="1">
      <c r="A249" s="522">
        <v>10</v>
      </c>
      <c r="B249" s="520"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hidden="1"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hidden="1"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hidden="1"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hidden="1" outlineLevel="1">
      <c r="A253" s="522">
        <v>11</v>
      </c>
      <c r="B253" s="520"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hidden="1"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hidden="1"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hidden="1" outlineLevel="1">
      <c r="A256" s="522">
        <v>12</v>
      </c>
      <c r="B256" s="520"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hidden="1"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hidden="1"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hidden="1" outlineLevel="1">
      <c r="A259" s="522">
        <v>13</v>
      </c>
      <c r="B259" s="520"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hidden="1"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hidden="1"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hidden="1"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hidden="1" outlineLevel="1">
      <c r="A263" s="522">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hidden="1"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hidden="1" outlineLevel="1">
      <c r="A265" s="523"/>
      <c r="B265" s="317"/>
      <c r="C265" s="307"/>
      <c r="D265" s="293"/>
      <c r="E265" s="293"/>
      <c r="F265" s="293"/>
      <c r="G265" s="293"/>
      <c r="H265" s="293"/>
      <c r="I265" s="293"/>
      <c r="J265" s="293"/>
      <c r="K265" s="293"/>
      <c r="L265" s="293"/>
      <c r="M265" s="293"/>
      <c r="N265" s="469"/>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0"/>
    </row>
    <row r="266" spans="1:40" s="311" customFormat="1" ht="15.75" hidden="1" outlineLevel="1">
      <c r="A266" s="523"/>
      <c r="B266" s="290"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7"/>
      <c r="AN266" s="631"/>
    </row>
    <row r="267" spans="1:40" hidden="1" outlineLevel="1">
      <c r="A267" s="522">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hidden="1"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hidden="1"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hidden="1" outlineLevel="1">
      <c r="A270" s="522">
        <v>16</v>
      </c>
      <c r="B270" s="326"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hidden="1" outlineLevel="1">
      <c r="A271" s="522"/>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hidden="1" outlineLevel="1">
      <c r="A272" s="522"/>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hidden="1" outlineLevel="1">
      <c r="B273" s="519" t="s">
        <v>498</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hidden="1" outlineLevel="1">
      <c r="A274" s="522">
        <v>17</v>
      </c>
      <c r="B274" s="520"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hidden="1"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hidden="1"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ht="30" hidden="1" outlineLevel="1">
      <c r="A277" s="522">
        <v>18</v>
      </c>
      <c r="B277" s="520" t="s">
        <v>692</v>
      </c>
      <c r="C277" s="293" t="s">
        <v>25</v>
      </c>
      <c r="D277" s="297">
        <v>535</v>
      </c>
      <c r="E277" s="297">
        <v>535</v>
      </c>
      <c r="F277" s="297">
        <v>535</v>
      </c>
      <c r="G277" s="297">
        <v>535</v>
      </c>
      <c r="H277" s="297">
        <v>535</v>
      </c>
      <c r="I277" s="297">
        <v>535</v>
      </c>
      <c r="J277" s="297">
        <v>535</v>
      </c>
      <c r="K277" s="297">
        <v>535</v>
      </c>
      <c r="L277" s="297">
        <v>535</v>
      </c>
      <c r="M277" s="297">
        <v>535</v>
      </c>
      <c r="N277" s="297">
        <v>0</v>
      </c>
      <c r="O277" s="297">
        <v>0</v>
      </c>
      <c r="P277" s="297">
        <v>0</v>
      </c>
      <c r="Q277" s="297">
        <v>0</v>
      </c>
      <c r="R277" s="297">
        <v>0</v>
      </c>
      <c r="S277" s="297">
        <v>0</v>
      </c>
      <c r="T277" s="297">
        <v>0</v>
      </c>
      <c r="U277" s="297">
        <v>0</v>
      </c>
      <c r="V277" s="297">
        <v>0</v>
      </c>
      <c r="W277" s="297">
        <v>0</v>
      </c>
      <c r="X277" s="297">
        <v>0</v>
      </c>
      <c r="Y277" s="428"/>
      <c r="Z277" s="412"/>
      <c r="AA277" s="412"/>
      <c r="AB277" s="412"/>
      <c r="AC277" s="412"/>
      <c r="AD277" s="412"/>
      <c r="AE277" s="412"/>
      <c r="AF277" s="417"/>
      <c r="AG277" s="417"/>
      <c r="AH277" s="417"/>
      <c r="AI277" s="417"/>
      <c r="AJ277" s="417"/>
      <c r="AK277" s="417"/>
      <c r="AL277" s="417"/>
      <c r="AM277" s="298">
        <f>SUM(Y277:AL277)</f>
        <v>0</v>
      </c>
    </row>
    <row r="278" spans="1:39" hidden="1" outlineLevel="1">
      <c r="B278" s="296" t="s">
        <v>290</v>
      </c>
      <c r="C278" s="293" t="s">
        <v>164</v>
      </c>
      <c r="D278" s="297">
        <v>0</v>
      </c>
      <c r="E278" s="297">
        <v>0</v>
      </c>
      <c r="F278" s="297">
        <v>0</v>
      </c>
      <c r="G278" s="297">
        <v>0</v>
      </c>
      <c r="H278" s="297">
        <v>0</v>
      </c>
      <c r="I278" s="297">
        <v>0</v>
      </c>
      <c r="J278" s="297">
        <v>0</v>
      </c>
      <c r="K278" s="297">
        <v>0</v>
      </c>
      <c r="L278" s="297">
        <v>0</v>
      </c>
      <c r="M278" s="297">
        <v>0</v>
      </c>
      <c r="N278" s="297">
        <f>N277</f>
        <v>0</v>
      </c>
      <c r="O278" s="297">
        <v>0</v>
      </c>
      <c r="P278" s="297">
        <v>0</v>
      </c>
      <c r="Q278" s="297">
        <v>0</v>
      </c>
      <c r="R278" s="297">
        <v>0</v>
      </c>
      <c r="S278" s="297">
        <v>0</v>
      </c>
      <c r="T278" s="297">
        <v>0</v>
      </c>
      <c r="U278" s="297">
        <v>0</v>
      </c>
      <c r="V278" s="297">
        <v>0</v>
      </c>
      <c r="W278" s="297">
        <v>0</v>
      </c>
      <c r="X278" s="297">
        <v>0</v>
      </c>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hidden="1"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hidden="1" outlineLevel="1">
      <c r="A280" s="522">
        <v>19</v>
      </c>
      <c r="B280" s="520" t="s">
        <v>110</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hidden="1"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308"/>
    </row>
    <row r="282" spans="1:39" hidden="1"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25"/>
      <c r="Z282" s="426"/>
      <c r="AA282" s="426"/>
      <c r="AB282" s="426"/>
      <c r="AC282" s="426"/>
      <c r="AD282" s="426"/>
      <c r="AE282" s="426"/>
      <c r="AF282" s="426"/>
      <c r="AG282" s="426"/>
      <c r="AH282" s="426"/>
      <c r="AI282" s="426"/>
      <c r="AJ282" s="426"/>
      <c r="AK282" s="426"/>
      <c r="AL282" s="426"/>
      <c r="AM282" s="299"/>
    </row>
    <row r="283" spans="1:39" hidden="1" outlineLevel="1">
      <c r="A283" s="522">
        <v>20</v>
      </c>
      <c r="B283" s="520" t="s">
        <v>112</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hidden="1"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Y283</f>
        <v>0</v>
      </c>
      <c r="Z284" s="413">
        <f t="shared" ref="Z284:AL284" si="745">Z283</f>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299"/>
    </row>
    <row r="285" spans="1:39" hidden="1" outlineLevel="1">
      <c r="B285" s="324"/>
      <c r="C285" s="293"/>
      <c r="D285" s="293"/>
      <c r="E285" s="293"/>
      <c r="F285" s="293"/>
      <c r="G285" s="293"/>
      <c r="H285" s="293"/>
      <c r="I285" s="293"/>
      <c r="J285" s="293"/>
      <c r="K285" s="293"/>
      <c r="L285" s="293"/>
      <c r="M285" s="293"/>
      <c r="N285" s="293"/>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idden="1" outlineLevel="1">
      <c r="A286" s="522">
        <v>21</v>
      </c>
      <c r="B286" s="520" t="s">
        <v>111</v>
      </c>
      <c r="C286" s="293" t="s">
        <v>25</v>
      </c>
      <c r="D286" s="297"/>
      <c r="E286" s="297"/>
      <c r="F286" s="297"/>
      <c r="G286" s="297"/>
      <c r="H286" s="297"/>
      <c r="I286" s="297"/>
      <c r="J286" s="297"/>
      <c r="K286" s="297"/>
      <c r="L286" s="297"/>
      <c r="M286" s="297"/>
      <c r="N286" s="297">
        <v>0</v>
      </c>
      <c r="O286" s="297"/>
      <c r="P286" s="297"/>
      <c r="Q286" s="297"/>
      <c r="R286" s="297"/>
      <c r="S286" s="297"/>
      <c r="T286" s="297"/>
      <c r="U286" s="297"/>
      <c r="V286" s="297"/>
      <c r="W286" s="297"/>
      <c r="X286" s="297"/>
      <c r="Y286" s="428"/>
      <c r="Z286" s="412"/>
      <c r="AA286" s="412"/>
      <c r="AB286" s="412"/>
      <c r="AC286" s="412"/>
      <c r="AD286" s="412"/>
      <c r="AE286" s="412"/>
      <c r="AF286" s="417"/>
      <c r="AG286" s="417"/>
      <c r="AH286" s="417"/>
      <c r="AI286" s="417"/>
      <c r="AJ286" s="417"/>
      <c r="AK286" s="417"/>
      <c r="AL286" s="417"/>
      <c r="AM286" s="298">
        <f>SUM(Y286:AL286)</f>
        <v>0</v>
      </c>
    </row>
    <row r="287" spans="1:39" hidden="1" outlineLevel="1">
      <c r="B287" s="296" t="s">
        <v>290</v>
      </c>
      <c r="C287" s="293" t="s">
        <v>164</v>
      </c>
      <c r="D287" s="297"/>
      <c r="E287" s="297"/>
      <c r="F287" s="297"/>
      <c r="G287" s="297"/>
      <c r="H287" s="297"/>
      <c r="I287" s="297"/>
      <c r="J287" s="297"/>
      <c r="K287" s="297"/>
      <c r="L287" s="297"/>
      <c r="M287" s="297"/>
      <c r="N287" s="297">
        <f>N286</f>
        <v>0</v>
      </c>
      <c r="O287" s="297"/>
      <c r="P287" s="297"/>
      <c r="Q287" s="297"/>
      <c r="R287" s="297"/>
      <c r="S287" s="297"/>
      <c r="T287" s="297"/>
      <c r="U287" s="297"/>
      <c r="V287" s="297"/>
      <c r="W287" s="297"/>
      <c r="X287" s="297"/>
      <c r="Y287" s="413">
        <f t="shared" ref="Y287:AL287" si="746">Y286</f>
        <v>0</v>
      </c>
      <c r="Z287" s="413">
        <f t="shared" si="746"/>
        <v>0</v>
      </c>
      <c r="AA287" s="413">
        <f t="shared" si="746"/>
        <v>0</v>
      </c>
      <c r="AB287" s="413">
        <f t="shared" si="746"/>
        <v>0</v>
      </c>
      <c r="AC287" s="413">
        <f t="shared" si="746"/>
        <v>0</v>
      </c>
      <c r="AD287" s="413">
        <f t="shared" si="746"/>
        <v>0</v>
      </c>
      <c r="AE287" s="413">
        <f t="shared" si="746"/>
        <v>0</v>
      </c>
      <c r="AF287" s="413">
        <f t="shared" si="746"/>
        <v>0</v>
      </c>
      <c r="AG287" s="413">
        <f t="shared" si="746"/>
        <v>0</v>
      </c>
      <c r="AH287" s="413">
        <f t="shared" si="746"/>
        <v>0</v>
      </c>
      <c r="AI287" s="413">
        <f t="shared" si="746"/>
        <v>0</v>
      </c>
      <c r="AJ287" s="413">
        <f t="shared" si="746"/>
        <v>0</v>
      </c>
      <c r="AK287" s="413">
        <f t="shared" si="746"/>
        <v>0</v>
      </c>
      <c r="AL287" s="413">
        <f t="shared" si="746"/>
        <v>0</v>
      </c>
      <c r="AM287" s="308"/>
    </row>
    <row r="288" spans="1:39" ht="15.75" hidden="1" outlineLevel="1">
      <c r="B288" s="325"/>
      <c r="C288" s="302"/>
      <c r="D288" s="293"/>
      <c r="E288" s="293"/>
      <c r="F288" s="293"/>
      <c r="G288" s="293"/>
      <c r="H288" s="293"/>
      <c r="I288" s="293"/>
      <c r="J288" s="293"/>
      <c r="K288" s="293"/>
      <c r="L288" s="293"/>
      <c r="M288" s="293"/>
      <c r="N288" s="302"/>
      <c r="O288" s="293"/>
      <c r="P288" s="293"/>
      <c r="Q288" s="293"/>
      <c r="R288" s="293"/>
      <c r="S288" s="293"/>
      <c r="T288" s="293"/>
      <c r="U288" s="293"/>
      <c r="V288" s="293"/>
      <c r="W288" s="293"/>
      <c r="X288" s="293"/>
      <c r="Y288" s="414"/>
      <c r="Z288" s="414"/>
      <c r="AA288" s="414"/>
      <c r="AB288" s="414"/>
      <c r="AC288" s="414"/>
      <c r="AD288" s="414"/>
      <c r="AE288" s="414"/>
      <c r="AF288" s="414"/>
      <c r="AG288" s="414"/>
      <c r="AH288" s="414"/>
      <c r="AI288" s="414"/>
      <c r="AJ288" s="414"/>
      <c r="AK288" s="414"/>
      <c r="AL288" s="414"/>
      <c r="AM288" s="308"/>
    </row>
    <row r="289" spans="1:39" ht="15.75" hidden="1" outlineLevel="1">
      <c r="B289" s="518" t="s">
        <v>505</v>
      </c>
      <c r="C289" s="293"/>
      <c r="D289" s="293"/>
      <c r="E289" s="293"/>
      <c r="F289" s="293"/>
      <c r="G289" s="293"/>
      <c r="H289" s="293"/>
      <c r="I289" s="293"/>
      <c r="J289" s="293"/>
      <c r="K289" s="293"/>
      <c r="L289" s="293"/>
      <c r="M289" s="293"/>
      <c r="N289" s="293"/>
      <c r="O289" s="293"/>
      <c r="P289" s="293"/>
      <c r="Q289" s="293"/>
      <c r="R289" s="293"/>
      <c r="S289" s="293"/>
      <c r="T289" s="293"/>
      <c r="U289" s="293"/>
      <c r="V289" s="293"/>
      <c r="W289" s="293"/>
      <c r="X289" s="293"/>
      <c r="Y289" s="424"/>
      <c r="Z289" s="427"/>
      <c r="AA289" s="427"/>
      <c r="AB289" s="427"/>
      <c r="AC289" s="427"/>
      <c r="AD289" s="427"/>
      <c r="AE289" s="427"/>
      <c r="AF289" s="427"/>
      <c r="AG289" s="427"/>
      <c r="AH289" s="427"/>
      <c r="AI289" s="427"/>
      <c r="AJ289" s="427"/>
      <c r="AK289" s="427"/>
      <c r="AL289" s="427"/>
      <c r="AM289" s="308"/>
    </row>
    <row r="290" spans="1:39" ht="15.75" hidden="1" outlineLevel="1">
      <c r="B290" s="290" t="s">
        <v>501</v>
      </c>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idden="1" outlineLevel="1">
      <c r="A291" s="522">
        <v>22</v>
      </c>
      <c r="B291" s="520" t="s">
        <v>114</v>
      </c>
      <c r="C291" s="293" t="s">
        <v>25</v>
      </c>
      <c r="D291" s="297">
        <v>1213321.5909365378</v>
      </c>
      <c r="E291" s="297">
        <v>1213321.5909365378</v>
      </c>
      <c r="F291" s="297">
        <v>1213321.5909365378</v>
      </c>
      <c r="G291" s="297">
        <v>1213321.5909365378</v>
      </c>
      <c r="H291" s="297">
        <v>1213321.5909365378</v>
      </c>
      <c r="I291" s="297">
        <v>1213321.5909365378</v>
      </c>
      <c r="J291" s="297">
        <v>1213321.5909365378</v>
      </c>
      <c r="K291" s="297">
        <v>1213158.4068729002</v>
      </c>
      <c r="L291" s="297">
        <v>1213158.4068729002</v>
      </c>
      <c r="M291" s="297">
        <v>1208247.2430350757</v>
      </c>
      <c r="N291" s="293"/>
      <c r="O291" s="297">
        <v>78.899288230727407</v>
      </c>
      <c r="P291" s="297">
        <v>78.899288230727407</v>
      </c>
      <c r="Q291" s="297">
        <v>78.899288230727407</v>
      </c>
      <c r="R291" s="297">
        <v>78.899288230727407</v>
      </c>
      <c r="S291" s="297">
        <v>78.899288230727407</v>
      </c>
      <c r="T291" s="297">
        <v>78.899288230727407</v>
      </c>
      <c r="U291" s="297">
        <v>78.899288230727407</v>
      </c>
      <c r="V291" s="297">
        <v>78.897821942814602</v>
      </c>
      <c r="W291" s="297">
        <v>78.897821942814602</v>
      </c>
      <c r="X291" s="297">
        <v>78.589512341895571</v>
      </c>
      <c r="Y291" s="412">
        <v>1</v>
      </c>
      <c r="Z291" s="412">
        <v>0</v>
      </c>
      <c r="AA291" s="412">
        <v>0</v>
      </c>
      <c r="AB291" s="412"/>
      <c r="AC291" s="412"/>
      <c r="AD291" s="412"/>
      <c r="AE291" s="412"/>
      <c r="AF291" s="412"/>
      <c r="AG291" s="412"/>
      <c r="AH291" s="412"/>
      <c r="AI291" s="412"/>
      <c r="AJ291" s="412"/>
      <c r="AK291" s="412"/>
      <c r="AL291" s="412"/>
      <c r="AM291" s="298">
        <f>SUM(Y291:AL291)</f>
        <v>1</v>
      </c>
    </row>
    <row r="292" spans="1:39" hidden="1" outlineLevel="1">
      <c r="B292" s="296" t="s">
        <v>290</v>
      </c>
      <c r="C292" s="293" t="s">
        <v>164</v>
      </c>
      <c r="D292" s="297">
        <v>147557</v>
      </c>
      <c r="E292" s="297">
        <v>147557</v>
      </c>
      <c r="F292" s="297">
        <v>147557</v>
      </c>
      <c r="G292" s="297">
        <v>147557</v>
      </c>
      <c r="H292" s="297">
        <v>147557</v>
      </c>
      <c r="I292" s="297">
        <v>147557</v>
      </c>
      <c r="J292" s="297">
        <v>147557.54793424087</v>
      </c>
      <c r="K292" s="297">
        <v>147547.34893026351</v>
      </c>
      <c r="L292" s="297">
        <v>147547.34893026351</v>
      </c>
      <c r="M292" s="297">
        <v>147690.44855420786</v>
      </c>
      <c r="N292" s="293"/>
      <c r="O292" s="297">
        <v>9.3976989985703128</v>
      </c>
      <c r="P292" s="297">
        <v>9.3976989985703128</v>
      </c>
      <c r="Q292" s="297">
        <v>9.3976989985703128</v>
      </c>
      <c r="R292" s="297">
        <v>9.3976989985703128</v>
      </c>
      <c r="S292" s="297">
        <v>9.3976989985703128</v>
      </c>
      <c r="T292" s="297">
        <v>9.3976989985703128</v>
      </c>
      <c r="U292" s="297">
        <v>9.3976989985703128</v>
      </c>
      <c r="V292" s="297">
        <v>9.3976073555757633</v>
      </c>
      <c r="W292" s="297">
        <v>9.3976073555757633</v>
      </c>
      <c r="X292" s="297">
        <v>9.4065907634617218</v>
      </c>
      <c r="Y292" s="413">
        <f>Y291</f>
        <v>1</v>
      </c>
      <c r="Z292" s="413">
        <f t="shared" ref="Z292" si="747">Z291</f>
        <v>0</v>
      </c>
      <c r="AA292" s="413">
        <f t="shared" ref="AA292" si="748">AA291</f>
        <v>0</v>
      </c>
      <c r="AB292" s="413">
        <f t="shared" ref="AB292" si="749">AB291</f>
        <v>0</v>
      </c>
      <c r="AC292" s="413">
        <f t="shared" ref="AC292" si="750">AC291</f>
        <v>0</v>
      </c>
      <c r="AD292" s="413">
        <f t="shared" ref="AD292" si="751">AD291</f>
        <v>0</v>
      </c>
      <c r="AE292" s="413">
        <f t="shared" ref="AE292" si="752">AE291</f>
        <v>0</v>
      </c>
      <c r="AF292" s="413">
        <f t="shared" ref="AF292" si="753">AF291</f>
        <v>0</v>
      </c>
      <c r="AG292" s="413">
        <f t="shared" ref="AG292" si="754">AG291</f>
        <v>0</v>
      </c>
      <c r="AH292" s="413">
        <f t="shared" ref="AH292" si="755">AH291</f>
        <v>0</v>
      </c>
      <c r="AI292" s="413">
        <f t="shared" ref="AI292" si="756">AI291</f>
        <v>0</v>
      </c>
      <c r="AJ292" s="413">
        <f t="shared" ref="AJ292" si="757">AJ291</f>
        <v>0</v>
      </c>
      <c r="AK292" s="413">
        <f t="shared" ref="AK292" si="758">AK291</f>
        <v>0</v>
      </c>
      <c r="AL292" s="413">
        <f t="shared" ref="AL292" si="759">AL291</f>
        <v>0</v>
      </c>
      <c r="AM292" s="308"/>
    </row>
    <row r="293" spans="1:39" hidden="1"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hidden="1" outlineLevel="1">
      <c r="A294" s="522">
        <v>23</v>
      </c>
      <c r="B294" s="520" t="s">
        <v>115</v>
      </c>
      <c r="C294" s="293" t="s">
        <v>25</v>
      </c>
      <c r="D294" s="297">
        <v>165327.2000000001</v>
      </c>
      <c r="E294" s="297">
        <v>165327.2000000001</v>
      </c>
      <c r="F294" s="297">
        <v>165327.2000000001</v>
      </c>
      <c r="G294" s="297">
        <v>165327.2000000001</v>
      </c>
      <c r="H294" s="297">
        <v>165327.2000000001</v>
      </c>
      <c r="I294" s="297">
        <v>165327.2000000001</v>
      </c>
      <c r="J294" s="297">
        <v>165327.2000000001</v>
      </c>
      <c r="K294" s="297">
        <v>165327.2000000001</v>
      </c>
      <c r="L294" s="297">
        <v>165327.2000000001</v>
      </c>
      <c r="M294" s="297">
        <v>165327.2000000001</v>
      </c>
      <c r="N294" s="293"/>
      <c r="O294" s="297">
        <v>47.836400000000062</v>
      </c>
      <c r="P294" s="297">
        <v>47.836400000000062</v>
      </c>
      <c r="Q294" s="297">
        <v>47.836400000000062</v>
      </c>
      <c r="R294" s="297">
        <v>47.836400000000062</v>
      </c>
      <c r="S294" s="297">
        <v>47.836400000000062</v>
      </c>
      <c r="T294" s="297">
        <v>47.836400000000062</v>
      </c>
      <c r="U294" s="297">
        <v>47.836400000000062</v>
      </c>
      <c r="V294" s="297">
        <v>47.836400000000062</v>
      </c>
      <c r="W294" s="297">
        <v>47.836400000000062</v>
      </c>
      <c r="X294" s="297">
        <v>47.836400000000062</v>
      </c>
      <c r="Y294" s="412">
        <v>1</v>
      </c>
      <c r="Z294" s="412">
        <v>0</v>
      </c>
      <c r="AA294" s="412">
        <v>0</v>
      </c>
      <c r="AB294" s="412"/>
      <c r="AC294" s="412"/>
      <c r="AD294" s="412"/>
      <c r="AE294" s="412"/>
      <c r="AF294" s="412"/>
      <c r="AG294" s="412"/>
      <c r="AH294" s="412"/>
      <c r="AI294" s="412"/>
      <c r="AJ294" s="412"/>
      <c r="AK294" s="412"/>
      <c r="AL294" s="412"/>
      <c r="AM294" s="298">
        <f>SUM(Y294:AL294)</f>
        <v>1</v>
      </c>
    </row>
    <row r="295" spans="1:39" hidden="1" outlineLevel="1">
      <c r="B295" s="296" t="s">
        <v>290</v>
      </c>
      <c r="C295" s="293" t="s">
        <v>164</v>
      </c>
      <c r="D295" s="297">
        <v>989</v>
      </c>
      <c r="E295" s="297">
        <v>989</v>
      </c>
      <c r="F295" s="297">
        <v>989</v>
      </c>
      <c r="G295" s="297">
        <v>989</v>
      </c>
      <c r="H295" s="297">
        <v>989</v>
      </c>
      <c r="I295" s="297">
        <v>989</v>
      </c>
      <c r="J295" s="297">
        <v>988.56</v>
      </c>
      <c r="K295" s="297">
        <v>988.56</v>
      </c>
      <c r="L295" s="297">
        <v>988.56</v>
      </c>
      <c r="M295" s="297">
        <v>988.56</v>
      </c>
      <c r="N295" s="293"/>
      <c r="O295" s="297">
        <v>0.30599999999999999</v>
      </c>
      <c r="P295" s="297">
        <v>0.30599999999999999</v>
      </c>
      <c r="Q295" s="297">
        <v>0.30599999999999999</v>
      </c>
      <c r="R295" s="297">
        <v>0.30599999999999999</v>
      </c>
      <c r="S295" s="297">
        <v>0.30599999999999999</v>
      </c>
      <c r="T295" s="297">
        <v>0.30599999999999999</v>
      </c>
      <c r="U295" s="297">
        <v>0.30599999999999999</v>
      </c>
      <c r="V295" s="297">
        <v>0.30599999999999999</v>
      </c>
      <c r="W295" s="297">
        <v>0.30599999999999999</v>
      </c>
      <c r="X295" s="297">
        <v>0.30599999999999999</v>
      </c>
      <c r="Y295" s="413">
        <f>Y294</f>
        <v>1</v>
      </c>
      <c r="Z295" s="413">
        <f t="shared" ref="Z295" si="760">Z294</f>
        <v>0</v>
      </c>
      <c r="AA295" s="413">
        <f t="shared" ref="AA295" si="761">AA294</f>
        <v>0</v>
      </c>
      <c r="AB295" s="413">
        <f t="shared" ref="AB295" si="762">AB294</f>
        <v>0</v>
      </c>
      <c r="AC295" s="413">
        <f t="shared" ref="AC295" si="763">AC294</f>
        <v>0</v>
      </c>
      <c r="AD295" s="413">
        <f t="shared" ref="AD295" si="764">AD294</f>
        <v>0</v>
      </c>
      <c r="AE295" s="413">
        <f t="shared" ref="AE295" si="765">AE294</f>
        <v>0</v>
      </c>
      <c r="AF295" s="413">
        <f t="shared" ref="AF295" si="766">AF294</f>
        <v>0</v>
      </c>
      <c r="AG295" s="413">
        <f t="shared" ref="AG295" si="767">AG294</f>
        <v>0</v>
      </c>
      <c r="AH295" s="413">
        <f t="shared" ref="AH295" si="768">AH294</f>
        <v>0</v>
      </c>
      <c r="AI295" s="413">
        <f t="shared" ref="AI295" si="769">AI294</f>
        <v>0</v>
      </c>
      <c r="AJ295" s="413">
        <f t="shared" ref="AJ295" si="770">AJ294</f>
        <v>0</v>
      </c>
      <c r="AK295" s="413">
        <f t="shared" ref="AK295" si="771">AK294</f>
        <v>0</v>
      </c>
      <c r="AL295" s="413">
        <f t="shared" ref="AL295" si="772">AL294</f>
        <v>0</v>
      </c>
      <c r="AM295" s="308"/>
    </row>
    <row r="296" spans="1:39" hidden="1" outlineLevel="1">
      <c r="B296" s="296"/>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hidden="1" outlineLevel="1">
      <c r="A297" s="522">
        <v>24</v>
      </c>
      <c r="B297" s="520" t="s">
        <v>116</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idden="1"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73">Z297</f>
        <v>0</v>
      </c>
      <c r="AA298" s="413">
        <f t="shared" ref="AA298" si="774">AA297</f>
        <v>0</v>
      </c>
      <c r="AB298" s="413">
        <f t="shared" ref="AB298" si="775">AB297</f>
        <v>0</v>
      </c>
      <c r="AC298" s="413">
        <f t="shared" ref="AC298" si="776">AC297</f>
        <v>0</v>
      </c>
      <c r="AD298" s="413">
        <f t="shared" ref="AD298" si="777">AD297</f>
        <v>0</v>
      </c>
      <c r="AE298" s="413">
        <f t="shared" ref="AE298" si="778">AE297</f>
        <v>0</v>
      </c>
      <c r="AF298" s="413">
        <f t="shared" ref="AF298" si="779">AF297</f>
        <v>0</v>
      </c>
      <c r="AG298" s="413">
        <f t="shared" ref="AG298" si="780">AG297</f>
        <v>0</v>
      </c>
      <c r="AH298" s="413">
        <f t="shared" ref="AH298" si="781">AH297</f>
        <v>0</v>
      </c>
      <c r="AI298" s="413">
        <f t="shared" ref="AI298" si="782">AI297</f>
        <v>0</v>
      </c>
      <c r="AJ298" s="413">
        <f t="shared" ref="AJ298" si="783">AJ297</f>
        <v>0</v>
      </c>
      <c r="AK298" s="413">
        <f t="shared" ref="AK298" si="784">AK297</f>
        <v>0</v>
      </c>
      <c r="AL298" s="413">
        <f t="shared" ref="AL298" si="785">AL297</f>
        <v>0</v>
      </c>
      <c r="AM298" s="308"/>
    </row>
    <row r="299" spans="1:39" hidden="1" outlineLevel="1">
      <c r="B299" s="324"/>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24"/>
      <c r="Z299" s="427"/>
      <c r="AA299" s="427"/>
      <c r="AB299" s="427"/>
      <c r="AC299" s="427"/>
      <c r="AD299" s="427"/>
      <c r="AE299" s="427"/>
      <c r="AF299" s="427"/>
      <c r="AG299" s="427"/>
      <c r="AH299" s="427"/>
      <c r="AI299" s="427"/>
      <c r="AJ299" s="427"/>
      <c r="AK299" s="427"/>
      <c r="AL299" s="427"/>
      <c r="AM299" s="308"/>
    </row>
    <row r="300" spans="1:39" ht="30" hidden="1" outlineLevel="1">
      <c r="A300" s="522">
        <v>25</v>
      </c>
      <c r="B300" s="520" t="s">
        <v>117</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hidden="1" outlineLevel="1">
      <c r="B301" s="296" t="s">
        <v>290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 t="shared" ref="Z301" si="786">Z300</f>
        <v>0</v>
      </c>
      <c r="AA301" s="413">
        <f t="shared" ref="AA301" si="787">AA300</f>
        <v>0</v>
      </c>
      <c r="AB301" s="413">
        <f t="shared" ref="AB301" si="788">AB300</f>
        <v>0</v>
      </c>
      <c r="AC301" s="413">
        <f t="shared" ref="AC301" si="789">AC300</f>
        <v>0</v>
      </c>
      <c r="AD301" s="413">
        <f t="shared" ref="AD301" si="790">AD300</f>
        <v>0</v>
      </c>
      <c r="AE301" s="413">
        <f t="shared" ref="AE301" si="791">AE300</f>
        <v>0</v>
      </c>
      <c r="AF301" s="413">
        <f t="shared" ref="AF301" si="792">AF300</f>
        <v>0</v>
      </c>
      <c r="AG301" s="413">
        <f t="shared" ref="AG301" si="793">AG300</f>
        <v>0</v>
      </c>
      <c r="AH301" s="413">
        <f t="shared" ref="AH301" si="794">AH300</f>
        <v>0</v>
      </c>
      <c r="AI301" s="413">
        <f t="shared" ref="AI301" si="795">AI300</f>
        <v>0</v>
      </c>
      <c r="AJ301" s="413">
        <f t="shared" ref="AJ301" si="796">AJ300</f>
        <v>0</v>
      </c>
      <c r="AK301" s="413">
        <f t="shared" ref="AK301" si="797">AK300</f>
        <v>0</v>
      </c>
      <c r="AL301" s="413">
        <f t="shared" ref="AL301" si="798">AL300</f>
        <v>0</v>
      </c>
      <c r="AM301" s="308"/>
    </row>
    <row r="302" spans="1:39" hidden="1" outlineLevel="1">
      <c r="B302" s="296"/>
      <c r="C302" s="293"/>
      <c r="D302" s="293"/>
      <c r="E302" s="293"/>
      <c r="F302" s="293"/>
      <c r="G302" s="293"/>
      <c r="H302" s="293"/>
      <c r="I302" s="293"/>
      <c r="J302" s="293"/>
      <c r="K302" s="293"/>
      <c r="L302" s="293"/>
      <c r="M302" s="293"/>
      <c r="N302" s="293"/>
      <c r="O302" s="293"/>
      <c r="P302" s="293"/>
      <c r="Q302" s="293"/>
      <c r="R302" s="293"/>
      <c r="S302" s="293"/>
      <c r="T302" s="293"/>
      <c r="U302" s="293"/>
      <c r="V302" s="293"/>
      <c r="W302" s="293"/>
      <c r="X302" s="293"/>
      <c r="Y302" s="414"/>
      <c r="Z302" s="427"/>
      <c r="AA302" s="427"/>
      <c r="AB302" s="427"/>
      <c r="AC302" s="427"/>
      <c r="AD302" s="427"/>
      <c r="AE302" s="427"/>
      <c r="AF302" s="427"/>
      <c r="AG302" s="427"/>
      <c r="AH302" s="427"/>
      <c r="AI302" s="427"/>
      <c r="AJ302" s="427"/>
      <c r="AK302" s="427"/>
      <c r="AL302" s="427"/>
      <c r="AM302" s="308"/>
    </row>
    <row r="303" spans="1:39" ht="15.75" hidden="1" outlineLevel="1">
      <c r="B303" s="290" t="s">
        <v>502</v>
      </c>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hidden="1" outlineLevel="1">
      <c r="A304" s="522">
        <v>26</v>
      </c>
      <c r="B304" s="520" t="s">
        <v>118</v>
      </c>
      <c r="C304" s="293" t="s">
        <v>25</v>
      </c>
      <c r="D304" s="297">
        <v>13142.640539737338</v>
      </c>
      <c r="E304" s="297">
        <v>13142.640539737338</v>
      </c>
      <c r="F304" s="297">
        <v>13142.640539737338</v>
      </c>
      <c r="G304" s="297">
        <v>13142.640539737338</v>
      </c>
      <c r="H304" s="297">
        <v>13142.640539737338</v>
      </c>
      <c r="I304" s="297">
        <v>13142.640539737338</v>
      </c>
      <c r="J304" s="297">
        <v>13142.640539737338</v>
      </c>
      <c r="K304" s="297">
        <v>13142.640539737338</v>
      </c>
      <c r="L304" s="297">
        <v>13142.640539737338</v>
      </c>
      <c r="M304" s="297">
        <v>13142.640539737338</v>
      </c>
      <c r="N304" s="297">
        <v>12</v>
      </c>
      <c r="O304" s="297">
        <v>1.7149847194239736</v>
      </c>
      <c r="P304" s="297">
        <v>1.7149847194239736</v>
      </c>
      <c r="Q304" s="297">
        <v>1.7149847194239736</v>
      </c>
      <c r="R304" s="297">
        <v>1.7149847194239736</v>
      </c>
      <c r="S304" s="297">
        <v>1.7149847194239736</v>
      </c>
      <c r="T304" s="297">
        <v>1.7149847194239736</v>
      </c>
      <c r="U304" s="297">
        <v>1.7149847194239736</v>
      </c>
      <c r="V304" s="297">
        <v>1.7149847194239736</v>
      </c>
      <c r="W304" s="297">
        <v>1.7149847194239736</v>
      </c>
      <c r="X304" s="297">
        <v>1.7149847194239736</v>
      </c>
      <c r="Y304" s="412">
        <v>0</v>
      </c>
      <c r="Z304" s="412">
        <v>1</v>
      </c>
      <c r="AA304" s="412">
        <v>0</v>
      </c>
      <c r="AB304" s="412"/>
      <c r="AC304" s="412"/>
      <c r="AD304" s="412"/>
      <c r="AE304" s="412"/>
      <c r="AF304" s="412"/>
      <c r="AG304" s="417"/>
      <c r="AH304" s="417"/>
      <c r="AI304" s="417"/>
      <c r="AJ304" s="417"/>
      <c r="AK304" s="417"/>
      <c r="AL304" s="417"/>
      <c r="AM304" s="298">
        <f>SUM(Y304:AL304)</f>
        <v>1</v>
      </c>
    </row>
    <row r="305" spans="1:39" hidden="1" outlineLevel="1">
      <c r="B305" s="296" t="s">
        <v>290</v>
      </c>
      <c r="C305" s="293" t="s">
        <v>164</v>
      </c>
      <c r="D305" s="297" t="s">
        <v>708</v>
      </c>
      <c r="E305" s="297" t="s">
        <v>708</v>
      </c>
      <c r="F305" s="297" t="s">
        <v>708</v>
      </c>
      <c r="G305" s="297" t="s">
        <v>708</v>
      </c>
      <c r="H305" s="297" t="s">
        <v>708</v>
      </c>
      <c r="I305" s="297" t="s">
        <v>708</v>
      </c>
      <c r="J305" s="297" t="s">
        <v>708</v>
      </c>
      <c r="K305" s="297" t="s">
        <v>708</v>
      </c>
      <c r="L305" s="297" t="s">
        <v>708</v>
      </c>
      <c r="M305" s="297" t="s">
        <v>708</v>
      </c>
      <c r="N305" s="297">
        <f>N304</f>
        <v>12</v>
      </c>
      <c r="O305" s="297">
        <v>0</v>
      </c>
      <c r="P305" s="297">
        <v>0</v>
      </c>
      <c r="Q305" s="297">
        <v>0</v>
      </c>
      <c r="R305" s="297">
        <v>0</v>
      </c>
      <c r="S305" s="297">
        <v>0</v>
      </c>
      <c r="T305" s="297">
        <v>0</v>
      </c>
      <c r="U305" s="297">
        <v>0</v>
      </c>
      <c r="V305" s="297">
        <v>0</v>
      </c>
      <c r="W305" s="297">
        <v>0</v>
      </c>
      <c r="X305" s="297">
        <v>0</v>
      </c>
      <c r="Y305" s="413">
        <f>Y304</f>
        <v>0</v>
      </c>
      <c r="Z305" s="413">
        <f t="shared" ref="Z305" si="799">Z304</f>
        <v>1</v>
      </c>
      <c r="AA305" s="413">
        <f t="shared" ref="AA305" si="800">AA304</f>
        <v>0</v>
      </c>
      <c r="AB305" s="413">
        <f t="shared" ref="AB305" si="801">AB304</f>
        <v>0</v>
      </c>
      <c r="AC305" s="413">
        <f t="shared" ref="AC305" si="802">AC304</f>
        <v>0</v>
      </c>
      <c r="AD305" s="413">
        <f t="shared" ref="AD305" si="803">AD304</f>
        <v>0</v>
      </c>
      <c r="AE305" s="413">
        <f t="shared" ref="AE305" si="804">AE304</f>
        <v>0</v>
      </c>
      <c r="AF305" s="413">
        <f t="shared" ref="AF305" si="805">AF304</f>
        <v>0</v>
      </c>
      <c r="AG305" s="413">
        <f t="shared" ref="AG305" si="806">AG304</f>
        <v>0</v>
      </c>
      <c r="AH305" s="413">
        <f t="shared" ref="AH305" si="807">AH304</f>
        <v>0</v>
      </c>
      <c r="AI305" s="413">
        <f t="shared" ref="AI305" si="808">AI304</f>
        <v>0</v>
      </c>
      <c r="AJ305" s="413">
        <f t="shared" ref="AJ305" si="809">AJ304</f>
        <v>0</v>
      </c>
      <c r="AK305" s="413">
        <f t="shared" ref="AK305" si="810">AK304</f>
        <v>0</v>
      </c>
      <c r="AL305" s="413">
        <f t="shared" ref="AL305" si="811">AL304</f>
        <v>0</v>
      </c>
      <c r="AM305" s="308"/>
    </row>
    <row r="306" spans="1:39" hidden="1"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idden="1" outlineLevel="1">
      <c r="A307" s="522">
        <v>27</v>
      </c>
      <c r="B307" s="520" t="s">
        <v>119</v>
      </c>
      <c r="C307" s="293" t="s">
        <v>25</v>
      </c>
      <c r="D307" s="297">
        <v>685419.37317366723</v>
      </c>
      <c r="E307" s="297">
        <v>678724.47254545765</v>
      </c>
      <c r="F307" s="297">
        <v>678724.47254545765</v>
      </c>
      <c r="G307" s="297">
        <v>678724.47254545765</v>
      </c>
      <c r="H307" s="297">
        <v>678724.47254545765</v>
      </c>
      <c r="I307" s="297">
        <v>644707.39801255171</v>
      </c>
      <c r="J307" s="297">
        <v>644707.39801255171</v>
      </c>
      <c r="K307" s="297">
        <v>644707.39801255171</v>
      </c>
      <c r="L307" s="297">
        <v>644707.39801255171</v>
      </c>
      <c r="M307" s="297">
        <v>644707.39801255171</v>
      </c>
      <c r="N307" s="297">
        <v>12</v>
      </c>
      <c r="O307" s="297">
        <v>88.675643452987742</v>
      </c>
      <c r="P307" s="297">
        <v>86.977191344639024</v>
      </c>
      <c r="Q307" s="297">
        <v>86.977191344639024</v>
      </c>
      <c r="R307" s="297">
        <v>86.977191344639024</v>
      </c>
      <c r="S307" s="297">
        <v>86.977191344639024</v>
      </c>
      <c r="T307" s="297">
        <v>81.484276454079136</v>
      </c>
      <c r="U307" s="297">
        <v>81.484276454079136</v>
      </c>
      <c r="V307" s="297">
        <v>81.484276454079136</v>
      </c>
      <c r="W307" s="297">
        <v>81.484276454079136</v>
      </c>
      <c r="X307" s="297">
        <v>81.484276454079136</v>
      </c>
      <c r="Y307" s="412">
        <v>0</v>
      </c>
      <c r="Z307" s="412">
        <v>0.38343414452057756</v>
      </c>
      <c r="AA307" s="412">
        <v>0.61656585547942244</v>
      </c>
      <c r="AB307" s="412"/>
      <c r="AC307" s="412"/>
      <c r="AD307" s="412"/>
      <c r="AE307" s="412"/>
      <c r="AF307" s="412"/>
      <c r="AG307" s="417"/>
      <c r="AH307" s="417"/>
      <c r="AI307" s="417"/>
      <c r="AJ307" s="417"/>
      <c r="AK307" s="417"/>
      <c r="AL307" s="417"/>
      <c r="AM307" s="298">
        <f>SUM(Y307:AL307)</f>
        <v>1</v>
      </c>
    </row>
    <row r="308" spans="1:39" hidden="1" outlineLevel="1">
      <c r="B308" s="296" t="s">
        <v>290</v>
      </c>
      <c r="C308" s="293" t="s">
        <v>164</v>
      </c>
      <c r="D308" s="297">
        <v>178177</v>
      </c>
      <c r="E308" s="297">
        <v>184872</v>
      </c>
      <c r="F308" s="297">
        <v>184872</v>
      </c>
      <c r="G308" s="297">
        <v>184872</v>
      </c>
      <c r="H308" s="297">
        <v>184872</v>
      </c>
      <c r="I308" s="297">
        <v>184872</v>
      </c>
      <c r="J308" s="297">
        <v>184872.29286278464</v>
      </c>
      <c r="K308" s="297">
        <v>184872.29286278458</v>
      </c>
      <c r="L308" s="297">
        <v>184872.29286278458</v>
      </c>
      <c r="M308" s="297">
        <v>184872.29286278458</v>
      </c>
      <c r="N308" s="297">
        <f>N307</f>
        <v>12</v>
      </c>
      <c r="O308" s="297">
        <v>37.799412720574452</v>
      </c>
      <c r="P308" s="297">
        <v>39.497864828923177</v>
      </c>
      <c r="Q308" s="297">
        <v>39.497864828923177</v>
      </c>
      <c r="R308" s="297">
        <v>39.497864828923177</v>
      </c>
      <c r="S308" s="297">
        <v>39.497864828923177</v>
      </c>
      <c r="T308" s="297">
        <v>39.497864828923177</v>
      </c>
      <c r="U308" s="297">
        <v>39.497864828923177</v>
      </c>
      <c r="V308" s="297">
        <v>39.497864828923177</v>
      </c>
      <c r="W308" s="297">
        <v>39.497864828923177</v>
      </c>
      <c r="X308" s="297">
        <v>39.497864828923177</v>
      </c>
      <c r="Y308" s="413">
        <f>Y307</f>
        <v>0</v>
      </c>
      <c r="Z308" s="413">
        <f t="shared" ref="Z308" si="812">Z307</f>
        <v>0.38343414452057756</v>
      </c>
      <c r="AA308" s="413">
        <f t="shared" ref="AA308" si="813">AA307</f>
        <v>0.61656585547942244</v>
      </c>
      <c r="AB308" s="413">
        <f t="shared" ref="AB308" si="814">AB307</f>
        <v>0</v>
      </c>
      <c r="AC308" s="413">
        <f t="shared" ref="AC308" si="815">AC307</f>
        <v>0</v>
      </c>
      <c r="AD308" s="413">
        <f t="shared" ref="AD308" si="816">AD307</f>
        <v>0</v>
      </c>
      <c r="AE308" s="413">
        <f t="shared" ref="AE308" si="817">AE307</f>
        <v>0</v>
      </c>
      <c r="AF308" s="413">
        <f t="shared" ref="AF308" si="818">AF307</f>
        <v>0</v>
      </c>
      <c r="AG308" s="413">
        <f t="shared" ref="AG308" si="819">AG307</f>
        <v>0</v>
      </c>
      <c r="AH308" s="413">
        <f t="shared" ref="AH308" si="820">AH307</f>
        <v>0</v>
      </c>
      <c r="AI308" s="413">
        <f t="shared" ref="AI308" si="821">AI307</f>
        <v>0</v>
      </c>
      <c r="AJ308" s="413">
        <f t="shared" ref="AJ308" si="822">AJ307</f>
        <v>0</v>
      </c>
      <c r="AK308" s="413">
        <f t="shared" ref="AK308" si="823">AK307</f>
        <v>0</v>
      </c>
      <c r="AL308" s="413">
        <f t="shared" ref="AL308" si="824">AL307</f>
        <v>0</v>
      </c>
      <c r="AM308" s="308"/>
    </row>
    <row r="309" spans="1:39" hidden="1"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hidden="1" outlineLevel="1">
      <c r="A310" s="522">
        <v>28</v>
      </c>
      <c r="B310" s="520" t="s">
        <v>120</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hidden="1"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25">Z310</f>
        <v>0</v>
      </c>
      <c r="AA311" s="413">
        <f t="shared" ref="AA311" si="826">AA310</f>
        <v>0</v>
      </c>
      <c r="AB311" s="413">
        <f t="shared" ref="AB311" si="827">AB310</f>
        <v>0</v>
      </c>
      <c r="AC311" s="413">
        <f t="shared" ref="AC311" si="828">AC310</f>
        <v>0</v>
      </c>
      <c r="AD311" s="413">
        <f t="shared" ref="AD311" si="829">AD310</f>
        <v>0</v>
      </c>
      <c r="AE311" s="413">
        <f t="shared" ref="AE311" si="830">AE310</f>
        <v>0</v>
      </c>
      <c r="AF311" s="413">
        <f t="shared" ref="AF311" si="831">AF310</f>
        <v>0</v>
      </c>
      <c r="AG311" s="413">
        <f t="shared" ref="AG311" si="832">AG310</f>
        <v>0</v>
      </c>
      <c r="AH311" s="413">
        <f t="shared" ref="AH311" si="833">AH310</f>
        <v>0</v>
      </c>
      <c r="AI311" s="413">
        <f t="shared" ref="AI311" si="834">AI310</f>
        <v>0</v>
      </c>
      <c r="AJ311" s="413">
        <f t="shared" ref="AJ311" si="835">AJ310</f>
        <v>0</v>
      </c>
      <c r="AK311" s="413">
        <f t="shared" ref="AK311" si="836">AK310</f>
        <v>0</v>
      </c>
      <c r="AL311" s="413">
        <f t="shared" ref="AL311" si="837">AL310</f>
        <v>0</v>
      </c>
      <c r="AM311" s="308"/>
    </row>
    <row r="312" spans="1:39" hidden="1"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hidden="1" outlineLevel="1">
      <c r="A313" s="522">
        <v>29</v>
      </c>
      <c r="B313" s="520" t="s">
        <v>121</v>
      </c>
      <c r="C313" s="293" t="s">
        <v>25</v>
      </c>
      <c r="D313" s="297"/>
      <c r="E313" s="297"/>
      <c r="F313" s="297"/>
      <c r="G313" s="297"/>
      <c r="H313" s="297"/>
      <c r="I313" s="297"/>
      <c r="J313" s="297"/>
      <c r="K313" s="297"/>
      <c r="L313" s="297"/>
      <c r="M313" s="297"/>
      <c r="N313" s="297">
        <v>12</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hidden="1" outlineLevel="1">
      <c r="B314" s="296" t="s">
        <v>290</v>
      </c>
      <c r="C314" s="293" t="s">
        <v>164</v>
      </c>
      <c r="D314" s="297"/>
      <c r="E314" s="297"/>
      <c r="F314" s="297"/>
      <c r="G314" s="297"/>
      <c r="H314" s="297"/>
      <c r="I314" s="297"/>
      <c r="J314" s="297"/>
      <c r="K314" s="297"/>
      <c r="L314" s="297"/>
      <c r="M314" s="297"/>
      <c r="N314" s="297">
        <f>N313</f>
        <v>12</v>
      </c>
      <c r="O314" s="297"/>
      <c r="P314" s="297"/>
      <c r="Q314" s="297"/>
      <c r="R314" s="297"/>
      <c r="S314" s="297"/>
      <c r="T314" s="297"/>
      <c r="U314" s="297"/>
      <c r="V314" s="297"/>
      <c r="W314" s="297"/>
      <c r="X314" s="297"/>
      <c r="Y314" s="413">
        <f>Y313</f>
        <v>0</v>
      </c>
      <c r="Z314" s="413">
        <f t="shared" ref="Z314" si="838">Z313</f>
        <v>0</v>
      </c>
      <c r="AA314" s="413">
        <f t="shared" ref="AA314" si="839">AA313</f>
        <v>0</v>
      </c>
      <c r="AB314" s="413">
        <f t="shared" ref="AB314" si="840">AB313</f>
        <v>0</v>
      </c>
      <c r="AC314" s="413">
        <f t="shared" ref="AC314" si="841">AC313</f>
        <v>0</v>
      </c>
      <c r="AD314" s="413">
        <f t="shared" ref="AD314" si="842">AD313</f>
        <v>0</v>
      </c>
      <c r="AE314" s="413">
        <f t="shared" ref="AE314" si="843">AE313</f>
        <v>0</v>
      </c>
      <c r="AF314" s="413">
        <f t="shared" ref="AF314" si="844">AF313</f>
        <v>0</v>
      </c>
      <c r="AG314" s="413">
        <f t="shared" ref="AG314" si="845">AG313</f>
        <v>0</v>
      </c>
      <c r="AH314" s="413">
        <f t="shared" ref="AH314" si="846">AH313</f>
        <v>0</v>
      </c>
      <c r="AI314" s="413">
        <f t="shared" ref="AI314" si="847">AI313</f>
        <v>0</v>
      </c>
      <c r="AJ314" s="413">
        <f t="shared" ref="AJ314" si="848">AJ313</f>
        <v>0</v>
      </c>
      <c r="AK314" s="413">
        <f t="shared" ref="AK314" si="849">AK313</f>
        <v>0</v>
      </c>
      <c r="AL314" s="413">
        <f t="shared" ref="AL314" si="850">AL313</f>
        <v>0</v>
      </c>
      <c r="AM314" s="308"/>
    </row>
    <row r="315" spans="1:39" hidden="1"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hidden="1" outlineLevel="1">
      <c r="A316" s="522">
        <v>30</v>
      </c>
      <c r="B316" s="520" t="s">
        <v>122</v>
      </c>
      <c r="C316" s="293" t="s">
        <v>25</v>
      </c>
      <c r="D316" s="297"/>
      <c r="E316" s="297"/>
      <c r="F316" s="297"/>
      <c r="G316" s="297"/>
      <c r="H316" s="297"/>
      <c r="I316" s="297"/>
      <c r="J316" s="297"/>
      <c r="K316" s="297"/>
      <c r="L316" s="297"/>
      <c r="M316" s="297"/>
      <c r="N316" s="297">
        <v>3</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hidden="1" outlineLevel="1">
      <c r="B317" s="296" t="s">
        <v>290</v>
      </c>
      <c r="C317" s="293" t="s">
        <v>164</v>
      </c>
      <c r="D317" s="297"/>
      <c r="E317" s="297"/>
      <c r="F317" s="297"/>
      <c r="G317" s="297"/>
      <c r="H317" s="297"/>
      <c r="I317" s="297"/>
      <c r="J317" s="297"/>
      <c r="K317" s="297"/>
      <c r="L317" s="297"/>
      <c r="M317" s="297"/>
      <c r="N317" s="297">
        <f>N316</f>
        <v>3</v>
      </c>
      <c r="O317" s="297"/>
      <c r="P317" s="297"/>
      <c r="Q317" s="297"/>
      <c r="R317" s="297"/>
      <c r="S317" s="297"/>
      <c r="T317" s="297"/>
      <c r="U317" s="297"/>
      <c r="V317" s="297"/>
      <c r="W317" s="297"/>
      <c r="X317" s="297"/>
      <c r="Y317" s="413">
        <f>Y316</f>
        <v>0</v>
      </c>
      <c r="Z317" s="413">
        <f t="shared" ref="Z317" si="851">Z316</f>
        <v>0</v>
      </c>
      <c r="AA317" s="413">
        <f t="shared" ref="AA317" si="852">AA316</f>
        <v>0</v>
      </c>
      <c r="AB317" s="413">
        <f t="shared" ref="AB317" si="853">AB316</f>
        <v>0</v>
      </c>
      <c r="AC317" s="413">
        <f t="shared" ref="AC317" si="854">AC316</f>
        <v>0</v>
      </c>
      <c r="AD317" s="413">
        <f t="shared" ref="AD317" si="855">AD316</f>
        <v>0</v>
      </c>
      <c r="AE317" s="413">
        <f t="shared" ref="AE317" si="856">AE316</f>
        <v>0</v>
      </c>
      <c r="AF317" s="413">
        <f t="shared" ref="AF317" si="857">AF316</f>
        <v>0</v>
      </c>
      <c r="AG317" s="413">
        <f t="shared" ref="AG317" si="858">AG316</f>
        <v>0</v>
      </c>
      <c r="AH317" s="413">
        <f t="shared" ref="AH317" si="859">AH316</f>
        <v>0</v>
      </c>
      <c r="AI317" s="413">
        <f t="shared" ref="AI317" si="860">AI316</f>
        <v>0</v>
      </c>
      <c r="AJ317" s="413">
        <f t="shared" ref="AJ317" si="861">AJ316</f>
        <v>0</v>
      </c>
      <c r="AK317" s="413">
        <f t="shared" ref="AK317" si="862">AK316</f>
        <v>0</v>
      </c>
      <c r="AL317" s="413">
        <f t="shared" ref="AL317" si="863">AL316</f>
        <v>0</v>
      </c>
      <c r="AM317" s="308"/>
    </row>
    <row r="318" spans="1:39" hidden="1"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hidden="1" outlineLevel="1">
      <c r="A319" s="522">
        <v>31</v>
      </c>
      <c r="B319" s="520" t="s">
        <v>123</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hidden="1"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64">Z319</f>
        <v>0</v>
      </c>
      <c r="AA320" s="413">
        <f t="shared" ref="AA320" si="865">AA319</f>
        <v>0</v>
      </c>
      <c r="AB320" s="413">
        <f t="shared" ref="AB320" si="866">AB319</f>
        <v>0</v>
      </c>
      <c r="AC320" s="413">
        <f t="shared" ref="AC320" si="867">AC319</f>
        <v>0</v>
      </c>
      <c r="AD320" s="413">
        <f t="shared" ref="AD320" si="868">AD319</f>
        <v>0</v>
      </c>
      <c r="AE320" s="413">
        <f t="shared" ref="AE320" si="869">AE319</f>
        <v>0</v>
      </c>
      <c r="AF320" s="413">
        <f t="shared" ref="AF320" si="870">AF319</f>
        <v>0</v>
      </c>
      <c r="AG320" s="413">
        <f t="shared" ref="AG320" si="871">AG319</f>
        <v>0</v>
      </c>
      <c r="AH320" s="413">
        <f t="shared" ref="AH320" si="872">AH319</f>
        <v>0</v>
      </c>
      <c r="AI320" s="413">
        <f t="shared" ref="AI320" si="873">AI319</f>
        <v>0</v>
      </c>
      <c r="AJ320" s="413">
        <f t="shared" ref="AJ320" si="874">AJ319</f>
        <v>0</v>
      </c>
      <c r="AK320" s="413">
        <f t="shared" ref="AK320" si="875">AK319</f>
        <v>0</v>
      </c>
      <c r="AL320" s="413">
        <f t="shared" ref="AL320" si="876">AL319</f>
        <v>0</v>
      </c>
      <c r="AM320" s="308"/>
    </row>
    <row r="321" spans="1:39" hidden="1" outlineLevel="1">
      <c r="B321" s="296"/>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hidden="1" outlineLevel="1">
      <c r="A322" s="522">
        <v>32</v>
      </c>
      <c r="B322" s="520" t="s">
        <v>124</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hidden="1"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77">Z322</f>
        <v>0</v>
      </c>
      <c r="AA323" s="413">
        <f t="shared" ref="AA323" si="878">AA322</f>
        <v>0</v>
      </c>
      <c r="AB323" s="413">
        <f t="shared" ref="AB323" si="879">AB322</f>
        <v>0</v>
      </c>
      <c r="AC323" s="413">
        <f t="shared" ref="AC323" si="880">AC322</f>
        <v>0</v>
      </c>
      <c r="AD323" s="413">
        <f t="shared" ref="AD323" si="881">AD322</f>
        <v>0</v>
      </c>
      <c r="AE323" s="413">
        <f t="shared" ref="AE323" si="882">AE322</f>
        <v>0</v>
      </c>
      <c r="AF323" s="413">
        <f t="shared" ref="AF323" si="883">AF322</f>
        <v>0</v>
      </c>
      <c r="AG323" s="413">
        <f t="shared" ref="AG323" si="884">AG322</f>
        <v>0</v>
      </c>
      <c r="AH323" s="413">
        <f t="shared" ref="AH323" si="885">AH322</f>
        <v>0</v>
      </c>
      <c r="AI323" s="413">
        <f t="shared" ref="AI323" si="886">AI322</f>
        <v>0</v>
      </c>
      <c r="AJ323" s="413">
        <f t="shared" ref="AJ323" si="887">AJ322</f>
        <v>0</v>
      </c>
      <c r="AK323" s="413">
        <f t="shared" ref="AK323" si="888">AK322</f>
        <v>0</v>
      </c>
      <c r="AL323" s="413">
        <f t="shared" ref="AL323" si="889">AL322</f>
        <v>0</v>
      </c>
      <c r="AM323" s="308"/>
    </row>
    <row r="324" spans="1:39" hidden="1" outlineLevel="1">
      <c r="B324" s="520"/>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30" hidden="1" outlineLevel="1">
      <c r="A325" s="522">
        <v>33</v>
      </c>
      <c r="B325" s="520" t="s">
        <v>125</v>
      </c>
      <c r="C325" s="293" t="s">
        <v>25</v>
      </c>
      <c r="D325" s="297"/>
      <c r="E325" s="297"/>
      <c r="F325" s="297"/>
      <c r="G325" s="297"/>
      <c r="H325" s="297"/>
      <c r="I325" s="297"/>
      <c r="J325" s="297"/>
      <c r="K325" s="297"/>
      <c r="L325" s="297"/>
      <c r="M325" s="297"/>
      <c r="N325" s="297">
        <v>12</v>
      </c>
      <c r="O325" s="297"/>
      <c r="P325" s="297"/>
      <c r="Q325" s="297"/>
      <c r="R325" s="297"/>
      <c r="S325" s="297"/>
      <c r="T325" s="297"/>
      <c r="U325" s="297"/>
      <c r="V325" s="297"/>
      <c r="W325" s="297"/>
      <c r="X325" s="297"/>
      <c r="Y325" s="428"/>
      <c r="Z325" s="412"/>
      <c r="AA325" s="412"/>
      <c r="AB325" s="412"/>
      <c r="AC325" s="412"/>
      <c r="AD325" s="412"/>
      <c r="AE325" s="412"/>
      <c r="AF325" s="412"/>
      <c r="AG325" s="417"/>
      <c r="AH325" s="417"/>
      <c r="AI325" s="417"/>
      <c r="AJ325" s="417"/>
      <c r="AK325" s="417"/>
      <c r="AL325" s="417"/>
      <c r="AM325" s="298">
        <f>SUM(Y325:AL325)</f>
        <v>0</v>
      </c>
    </row>
    <row r="326" spans="1:39" hidden="1" outlineLevel="1">
      <c r="B326" s="296" t="s">
        <v>290</v>
      </c>
      <c r="C326" s="293" t="s">
        <v>164</v>
      </c>
      <c r="D326" s="297">
        <v>835</v>
      </c>
      <c r="E326" s="297">
        <v>835</v>
      </c>
      <c r="F326" s="297">
        <v>835</v>
      </c>
      <c r="G326" s="297">
        <v>835</v>
      </c>
      <c r="H326" s="297">
        <v>835</v>
      </c>
      <c r="I326" s="297">
        <v>835</v>
      </c>
      <c r="J326" s="297">
        <v>835.44588199999998</v>
      </c>
      <c r="K326" s="297">
        <v>835.44588199999998</v>
      </c>
      <c r="L326" s="297">
        <v>835.44588199999998</v>
      </c>
      <c r="M326" s="297">
        <v>835.44588199999998</v>
      </c>
      <c r="N326" s="297">
        <f>N325</f>
        <v>12</v>
      </c>
      <c r="O326" s="297">
        <v>0</v>
      </c>
      <c r="P326" s="297">
        <v>0</v>
      </c>
      <c r="Q326" s="297">
        <v>0</v>
      </c>
      <c r="R326" s="297">
        <v>0</v>
      </c>
      <c r="S326" s="297">
        <v>0</v>
      </c>
      <c r="T326" s="297">
        <v>0</v>
      </c>
      <c r="U326" s="297">
        <v>0</v>
      </c>
      <c r="V326" s="297">
        <v>0</v>
      </c>
      <c r="W326" s="297">
        <v>0</v>
      </c>
      <c r="X326" s="297">
        <v>0</v>
      </c>
      <c r="Y326" s="413">
        <f>Y325</f>
        <v>0</v>
      </c>
      <c r="Z326" s="413">
        <f t="shared" ref="Z326" si="890">Z325</f>
        <v>0</v>
      </c>
      <c r="AA326" s="413">
        <f t="shared" ref="AA326" si="891">AA325</f>
        <v>0</v>
      </c>
      <c r="AB326" s="413">
        <f t="shared" ref="AB326" si="892">AB325</f>
        <v>0</v>
      </c>
      <c r="AC326" s="413">
        <f t="shared" ref="AC326" si="893">AC325</f>
        <v>0</v>
      </c>
      <c r="AD326" s="413">
        <f t="shared" ref="AD326" si="894">AD325</f>
        <v>0</v>
      </c>
      <c r="AE326" s="413">
        <f t="shared" ref="AE326" si="895">AE325</f>
        <v>0</v>
      </c>
      <c r="AF326" s="413">
        <f t="shared" ref="AF326" si="896">AF325</f>
        <v>0</v>
      </c>
      <c r="AG326" s="413">
        <f t="shared" ref="AG326" si="897">AG325</f>
        <v>0</v>
      </c>
      <c r="AH326" s="413">
        <f t="shared" ref="AH326" si="898">AH325</f>
        <v>0</v>
      </c>
      <c r="AI326" s="413">
        <f t="shared" ref="AI326" si="899">AI325</f>
        <v>0</v>
      </c>
      <c r="AJ326" s="413">
        <f t="shared" ref="AJ326" si="900">AJ325</f>
        <v>0</v>
      </c>
      <c r="AK326" s="413">
        <f t="shared" ref="AK326" si="901">AK325</f>
        <v>0</v>
      </c>
      <c r="AL326" s="413">
        <f t="shared" ref="AL326" si="902">AL325</f>
        <v>0</v>
      </c>
      <c r="AM326" s="308"/>
    </row>
    <row r="327" spans="1:39" hidden="1" outlineLevel="1">
      <c r="B327" s="520"/>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414"/>
      <c r="Z327" s="427"/>
      <c r="AA327" s="427"/>
      <c r="AB327" s="427"/>
      <c r="AC327" s="427"/>
      <c r="AD327" s="427"/>
      <c r="AE327" s="427"/>
      <c r="AF327" s="427"/>
      <c r="AG327" s="427"/>
      <c r="AH327" s="427"/>
      <c r="AI327" s="427"/>
      <c r="AJ327" s="427"/>
      <c r="AK327" s="427"/>
      <c r="AL327" s="427"/>
      <c r="AM327" s="308"/>
    </row>
    <row r="328" spans="1:39" ht="15.75" hidden="1" outlineLevel="1">
      <c r="B328" s="290" t="s">
        <v>503</v>
      </c>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hidden="1" outlineLevel="1">
      <c r="A329" s="522">
        <v>34</v>
      </c>
      <c r="B329" s="520" t="s">
        <v>126</v>
      </c>
      <c r="C329" s="293" t="s">
        <v>25</v>
      </c>
      <c r="D329" s="297">
        <v>160425.60097554341</v>
      </c>
      <c r="E329" s="297">
        <v>160024.5185555107</v>
      </c>
      <c r="F329" s="297">
        <v>160024.5185555107</v>
      </c>
      <c r="G329" s="297">
        <v>138828.02697156524</v>
      </c>
      <c r="H329" s="297">
        <v>123298.61035753973</v>
      </c>
      <c r="I329" s="297">
        <v>123298.61035753973</v>
      </c>
      <c r="J329" s="297">
        <v>123298.61035753973</v>
      </c>
      <c r="K329" s="297">
        <v>123298.61035753973</v>
      </c>
      <c r="L329" s="297">
        <v>123298.61035753973</v>
      </c>
      <c r="M329" s="297">
        <v>123298.61035753973</v>
      </c>
      <c r="N329" s="297">
        <v>0</v>
      </c>
      <c r="O329" s="297">
        <v>22.108945842697246</v>
      </c>
      <c r="P329" s="297">
        <v>22.003026268235267</v>
      </c>
      <c r="Q329" s="297">
        <v>22.003026268235267</v>
      </c>
      <c r="R329" s="297">
        <v>18.360034843558086</v>
      </c>
      <c r="S329" s="297">
        <v>15.776239163500703</v>
      </c>
      <c r="T329" s="297">
        <v>15.776239163500703</v>
      </c>
      <c r="U329" s="297">
        <v>15.776239163500703</v>
      </c>
      <c r="V329" s="297">
        <v>15.776239163500703</v>
      </c>
      <c r="W329" s="297">
        <v>15.776239163500703</v>
      </c>
      <c r="X329" s="297">
        <v>15.776239163500703</v>
      </c>
      <c r="Y329" s="412">
        <v>0</v>
      </c>
      <c r="Z329" s="412">
        <v>1</v>
      </c>
      <c r="AA329" s="412">
        <v>0</v>
      </c>
      <c r="AB329" s="412"/>
      <c r="AC329" s="412"/>
      <c r="AD329" s="412"/>
      <c r="AE329" s="412"/>
      <c r="AF329" s="412"/>
      <c r="AG329" s="417"/>
      <c r="AH329" s="417"/>
      <c r="AI329" s="417"/>
      <c r="AJ329" s="417"/>
      <c r="AK329" s="417"/>
      <c r="AL329" s="417"/>
      <c r="AM329" s="298">
        <f>SUM(Y329:AL329)</f>
        <v>1</v>
      </c>
    </row>
    <row r="330" spans="1:39" hidden="1" outlineLevel="1">
      <c r="B330" s="296" t="s">
        <v>290</v>
      </c>
      <c r="C330" s="293" t="s">
        <v>164</v>
      </c>
      <c r="D330" s="297" t="s">
        <v>708</v>
      </c>
      <c r="E330" s="297" t="s">
        <v>708</v>
      </c>
      <c r="F330" s="297" t="s">
        <v>708</v>
      </c>
      <c r="G330" s="297" t="s">
        <v>708</v>
      </c>
      <c r="H330" s="297" t="s">
        <v>708</v>
      </c>
      <c r="I330" s="297" t="s">
        <v>708</v>
      </c>
      <c r="J330" s="297" t="s">
        <v>708</v>
      </c>
      <c r="K330" s="297" t="s">
        <v>708</v>
      </c>
      <c r="L330" s="297" t="s">
        <v>708</v>
      </c>
      <c r="M330" s="297" t="s">
        <v>708</v>
      </c>
      <c r="N330" s="297">
        <f>N329</f>
        <v>0</v>
      </c>
      <c r="O330" s="297">
        <v>0</v>
      </c>
      <c r="P330" s="297">
        <v>0</v>
      </c>
      <c r="Q330" s="297">
        <v>0</v>
      </c>
      <c r="R330" s="297">
        <v>0</v>
      </c>
      <c r="S330" s="297">
        <v>0</v>
      </c>
      <c r="T330" s="297">
        <v>0</v>
      </c>
      <c r="U330" s="297">
        <v>0</v>
      </c>
      <c r="V330" s="297">
        <v>0</v>
      </c>
      <c r="W330" s="297">
        <v>0</v>
      </c>
      <c r="X330" s="297">
        <v>0</v>
      </c>
      <c r="Y330" s="413">
        <f>Y329</f>
        <v>0</v>
      </c>
      <c r="Z330" s="413">
        <f t="shared" ref="Z330" si="903">Z329</f>
        <v>1</v>
      </c>
      <c r="AA330" s="413">
        <f t="shared" ref="AA330" si="904">AA329</f>
        <v>0</v>
      </c>
      <c r="AB330" s="413">
        <f t="shared" ref="AB330" si="905">AB329</f>
        <v>0</v>
      </c>
      <c r="AC330" s="413">
        <f t="shared" ref="AC330" si="906">AC329</f>
        <v>0</v>
      </c>
      <c r="AD330" s="413">
        <f t="shared" ref="AD330" si="907">AD329</f>
        <v>0</v>
      </c>
      <c r="AE330" s="413">
        <f t="shared" ref="AE330" si="908">AE329</f>
        <v>0</v>
      </c>
      <c r="AF330" s="413">
        <f t="shared" ref="AF330" si="909">AF329</f>
        <v>0</v>
      </c>
      <c r="AG330" s="413">
        <f t="shared" ref="AG330" si="910">AG329</f>
        <v>0</v>
      </c>
      <c r="AH330" s="413">
        <f t="shared" ref="AH330" si="911">AH329</f>
        <v>0</v>
      </c>
      <c r="AI330" s="413">
        <f t="shared" ref="AI330" si="912">AI329</f>
        <v>0</v>
      </c>
      <c r="AJ330" s="413">
        <f t="shared" ref="AJ330" si="913">AJ329</f>
        <v>0</v>
      </c>
      <c r="AK330" s="413">
        <f t="shared" ref="AK330" si="914">AK329</f>
        <v>0</v>
      </c>
      <c r="AL330" s="413">
        <f t="shared" ref="AL330" si="915">AL329</f>
        <v>0</v>
      </c>
      <c r="AM330" s="308"/>
    </row>
    <row r="331" spans="1:39" hidden="1" outlineLevel="1">
      <c r="B331" s="520"/>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hidden="1" outlineLevel="1">
      <c r="A332" s="522">
        <v>35</v>
      </c>
      <c r="B332" s="520" t="s">
        <v>127</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hidden="1"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16">Z332</f>
        <v>0</v>
      </c>
      <c r="AA333" s="413">
        <f t="shared" ref="AA333" si="917">AA332</f>
        <v>0</v>
      </c>
      <c r="AB333" s="413">
        <f t="shared" ref="AB333" si="918">AB332</f>
        <v>0</v>
      </c>
      <c r="AC333" s="413">
        <f t="shared" ref="AC333" si="919">AC332</f>
        <v>0</v>
      </c>
      <c r="AD333" s="413">
        <f t="shared" ref="AD333" si="920">AD332</f>
        <v>0</v>
      </c>
      <c r="AE333" s="413">
        <f t="shared" ref="AE333" si="921">AE332</f>
        <v>0</v>
      </c>
      <c r="AF333" s="413">
        <f t="shared" ref="AF333" si="922">AF332</f>
        <v>0</v>
      </c>
      <c r="AG333" s="413">
        <f t="shared" ref="AG333" si="923">AG332</f>
        <v>0</v>
      </c>
      <c r="AH333" s="413">
        <f t="shared" ref="AH333" si="924">AH332</f>
        <v>0</v>
      </c>
      <c r="AI333" s="413">
        <f t="shared" ref="AI333" si="925">AI332</f>
        <v>0</v>
      </c>
      <c r="AJ333" s="413">
        <f t="shared" ref="AJ333" si="926">AJ332</f>
        <v>0</v>
      </c>
      <c r="AK333" s="413">
        <f t="shared" ref="AK333" si="927">AK332</f>
        <v>0</v>
      </c>
      <c r="AL333" s="413">
        <f t="shared" ref="AL333" si="928">AL332</f>
        <v>0</v>
      </c>
      <c r="AM333" s="308"/>
    </row>
    <row r="334" spans="1:39" hidden="1" outlineLevel="1">
      <c r="B334" s="520"/>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idden="1" outlineLevel="1">
      <c r="A335" s="522">
        <v>36</v>
      </c>
      <c r="B335" s="520" t="s">
        <v>128</v>
      </c>
      <c r="C335" s="293" t="s">
        <v>25</v>
      </c>
      <c r="D335" s="297"/>
      <c r="E335" s="297"/>
      <c r="F335" s="297"/>
      <c r="G335" s="297"/>
      <c r="H335" s="297"/>
      <c r="I335" s="297"/>
      <c r="J335" s="297"/>
      <c r="K335" s="297"/>
      <c r="L335" s="297"/>
      <c r="M335" s="297"/>
      <c r="N335" s="297">
        <v>0</v>
      </c>
      <c r="O335" s="297"/>
      <c r="P335" s="297"/>
      <c r="Q335" s="297"/>
      <c r="R335" s="297"/>
      <c r="S335" s="297"/>
      <c r="T335" s="297"/>
      <c r="U335" s="297"/>
      <c r="V335" s="297"/>
      <c r="W335" s="297"/>
      <c r="X335" s="297"/>
      <c r="Y335" s="428">
        <v>1</v>
      </c>
      <c r="Z335" s="412"/>
      <c r="AA335" s="412"/>
      <c r="AB335" s="412"/>
      <c r="AC335" s="412"/>
      <c r="AD335" s="412"/>
      <c r="AE335" s="412"/>
      <c r="AF335" s="412"/>
      <c r="AG335" s="417"/>
      <c r="AH335" s="417"/>
      <c r="AI335" s="417"/>
      <c r="AJ335" s="417"/>
      <c r="AK335" s="417"/>
      <c r="AL335" s="417"/>
      <c r="AM335" s="298">
        <f>SUM(Y335:AL335)</f>
        <v>1</v>
      </c>
    </row>
    <row r="336" spans="1:39" hidden="1" outlineLevel="1">
      <c r="B336" s="296" t="s">
        <v>290</v>
      </c>
      <c r="C336" s="293" t="s">
        <v>164</v>
      </c>
      <c r="D336" s="297">
        <v>317142</v>
      </c>
      <c r="E336" s="297">
        <v>0</v>
      </c>
      <c r="F336" s="297">
        <v>0</v>
      </c>
      <c r="G336" s="297">
        <v>0</v>
      </c>
      <c r="H336" s="297">
        <v>0</v>
      </c>
      <c r="I336" s="297">
        <v>0</v>
      </c>
      <c r="J336" s="297">
        <v>0</v>
      </c>
      <c r="K336" s="297">
        <v>0</v>
      </c>
      <c r="L336" s="297">
        <v>0</v>
      </c>
      <c r="M336" s="297">
        <v>0</v>
      </c>
      <c r="N336" s="297">
        <f>N335</f>
        <v>0</v>
      </c>
      <c r="O336" s="297">
        <v>0</v>
      </c>
      <c r="P336" s="297">
        <v>0</v>
      </c>
      <c r="Q336" s="297">
        <v>0</v>
      </c>
      <c r="R336" s="297">
        <v>0</v>
      </c>
      <c r="S336" s="297">
        <v>0</v>
      </c>
      <c r="T336" s="297">
        <v>0</v>
      </c>
      <c r="U336" s="297">
        <v>0</v>
      </c>
      <c r="V336" s="297">
        <v>0</v>
      </c>
      <c r="W336" s="297">
        <v>0</v>
      </c>
      <c r="X336" s="297">
        <v>0</v>
      </c>
      <c r="Y336" s="413">
        <f>Y335</f>
        <v>1</v>
      </c>
      <c r="Z336" s="413">
        <f t="shared" ref="Z336" si="929">Z335</f>
        <v>0</v>
      </c>
      <c r="AA336" s="413">
        <f t="shared" ref="AA336" si="930">AA335</f>
        <v>0</v>
      </c>
      <c r="AB336" s="413">
        <f t="shared" ref="AB336" si="931">AB335</f>
        <v>0</v>
      </c>
      <c r="AC336" s="413">
        <f t="shared" ref="AC336" si="932">AC335</f>
        <v>0</v>
      </c>
      <c r="AD336" s="413">
        <f t="shared" ref="AD336" si="933">AD335</f>
        <v>0</v>
      </c>
      <c r="AE336" s="413">
        <f t="shared" ref="AE336" si="934">AE335</f>
        <v>0</v>
      </c>
      <c r="AF336" s="413">
        <f t="shared" ref="AF336" si="935">AF335</f>
        <v>0</v>
      </c>
      <c r="AG336" s="413">
        <f t="shared" ref="AG336" si="936">AG335</f>
        <v>0</v>
      </c>
      <c r="AH336" s="413">
        <f t="shared" ref="AH336" si="937">AH335</f>
        <v>0</v>
      </c>
      <c r="AI336" s="413">
        <f t="shared" ref="AI336" si="938">AI335</f>
        <v>0</v>
      </c>
      <c r="AJ336" s="413">
        <f t="shared" ref="AJ336" si="939">AJ335</f>
        <v>0</v>
      </c>
      <c r="AK336" s="413">
        <f t="shared" ref="AK336" si="940">AK335</f>
        <v>0</v>
      </c>
      <c r="AL336" s="413">
        <f t="shared" ref="AL336" si="941">AL335</f>
        <v>0</v>
      </c>
      <c r="AM336" s="308"/>
    </row>
    <row r="337" spans="1:39" hidden="1" outlineLevel="1">
      <c r="B337" s="296"/>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14"/>
      <c r="Z337" s="427"/>
      <c r="AA337" s="427"/>
      <c r="AB337" s="427"/>
      <c r="AC337" s="427"/>
      <c r="AD337" s="427"/>
      <c r="AE337" s="427"/>
      <c r="AF337" s="427"/>
      <c r="AG337" s="427"/>
      <c r="AH337" s="427"/>
      <c r="AI337" s="427"/>
      <c r="AJ337" s="427"/>
      <c r="AK337" s="427"/>
      <c r="AL337" s="427"/>
      <c r="AM337" s="308"/>
    </row>
    <row r="338" spans="1:39" ht="15.75" hidden="1" outlineLevel="1">
      <c r="B338" s="290" t="s">
        <v>504</v>
      </c>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45" hidden="1" outlineLevel="1">
      <c r="A339" s="522">
        <v>37</v>
      </c>
      <c r="B339" s="520" t="s">
        <v>129</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hidden="1"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42">Z339</f>
        <v>0</v>
      </c>
      <c r="AA340" s="413">
        <f t="shared" ref="AA340" si="943">AA339</f>
        <v>0</v>
      </c>
      <c r="AB340" s="413">
        <f t="shared" ref="AB340" si="944">AB339</f>
        <v>0</v>
      </c>
      <c r="AC340" s="413">
        <f t="shared" ref="AC340" si="945">AC339</f>
        <v>0</v>
      </c>
      <c r="AD340" s="413">
        <f t="shared" ref="AD340" si="946">AD339</f>
        <v>0</v>
      </c>
      <c r="AE340" s="413">
        <f t="shared" ref="AE340" si="947">AE339</f>
        <v>0</v>
      </c>
      <c r="AF340" s="413">
        <f t="shared" ref="AF340" si="948">AF339</f>
        <v>0</v>
      </c>
      <c r="AG340" s="413">
        <f t="shared" ref="AG340" si="949">AG339</f>
        <v>0</v>
      </c>
      <c r="AH340" s="413">
        <f t="shared" ref="AH340" si="950">AH339</f>
        <v>0</v>
      </c>
      <c r="AI340" s="413">
        <f t="shared" ref="AI340" si="951">AI339</f>
        <v>0</v>
      </c>
      <c r="AJ340" s="413">
        <f t="shared" ref="AJ340" si="952">AJ339</f>
        <v>0</v>
      </c>
      <c r="AK340" s="413">
        <f t="shared" ref="AK340" si="953">AK339</f>
        <v>0</v>
      </c>
      <c r="AL340" s="413">
        <f t="shared" ref="AL340" si="954">AL339</f>
        <v>0</v>
      </c>
      <c r="AM340" s="308"/>
    </row>
    <row r="341" spans="1:39" hidden="1" outlineLevel="1">
      <c r="B341" s="520"/>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ht="30" hidden="1" outlineLevel="1">
      <c r="A342" s="522">
        <v>38</v>
      </c>
      <c r="B342" s="520" t="s">
        <v>130</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hidden="1"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55">Z342</f>
        <v>0</v>
      </c>
      <c r="AA343" s="413">
        <f t="shared" ref="AA343" si="956">AA342</f>
        <v>0</v>
      </c>
      <c r="AB343" s="413">
        <f t="shared" ref="AB343" si="957">AB342</f>
        <v>0</v>
      </c>
      <c r="AC343" s="413">
        <f t="shared" ref="AC343" si="958">AC342</f>
        <v>0</v>
      </c>
      <c r="AD343" s="413">
        <f t="shared" ref="AD343" si="959">AD342</f>
        <v>0</v>
      </c>
      <c r="AE343" s="413">
        <f t="shared" ref="AE343" si="960">AE342</f>
        <v>0</v>
      </c>
      <c r="AF343" s="413">
        <f t="shared" ref="AF343" si="961">AF342</f>
        <v>0</v>
      </c>
      <c r="AG343" s="413">
        <f t="shared" ref="AG343" si="962">AG342</f>
        <v>0</v>
      </c>
      <c r="AH343" s="413">
        <f t="shared" ref="AH343" si="963">AH342</f>
        <v>0</v>
      </c>
      <c r="AI343" s="413">
        <f t="shared" ref="AI343" si="964">AI342</f>
        <v>0</v>
      </c>
      <c r="AJ343" s="413">
        <f t="shared" ref="AJ343" si="965">AJ342</f>
        <v>0</v>
      </c>
      <c r="AK343" s="413">
        <f t="shared" ref="AK343" si="966">AK342</f>
        <v>0</v>
      </c>
      <c r="AL343" s="413">
        <f t="shared" ref="AL343" si="967">AL342</f>
        <v>0</v>
      </c>
      <c r="AM343" s="308"/>
    </row>
    <row r="344" spans="1:39" hidden="1" outlineLevel="1">
      <c r="B344" s="520"/>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idden="1" outlineLevel="1">
      <c r="A345" s="522">
        <v>39</v>
      </c>
      <c r="B345" s="520" t="s">
        <v>131</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hidden="1"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68">Z345</f>
        <v>0</v>
      </c>
      <c r="AA346" s="413">
        <f t="shared" ref="AA346" si="969">AA345</f>
        <v>0</v>
      </c>
      <c r="AB346" s="413">
        <f t="shared" ref="AB346" si="970">AB345</f>
        <v>0</v>
      </c>
      <c r="AC346" s="413">
        <f t="shared" ref="AC346" si="971">AC345</f>
        <v>0</v>
      </c>
      <c r="AD346" s="413">
        <f t="shared" ref="AD346" si="972">AD345</f>
        <v>0</v>
      </c>
      <c r="AE346" s="413">
        <f t="shared" ref="AE346" si="973">AE345</f>
        <v>0</v>
      </c>
      <c r="AF346" s="413">
        <f t="shared" ref="AF346" si="974">AF345</f>
        <v>0</v>
      </c>
      <c r="AG346" s="413">
        <f t="shared" ref="AG346" si="975">AG345</f>
        <v>0</v>
      </c>
      <c r="AH346" s="413">
        <f t="shared" ref="AH346" si="976">AH345</f>
        <v>0</v>
      </c>
      <c r="AI346" s="413">
        <f t="shared" ref="AI346" si="977">AI345</f>
        <v>0</v>
      </c>
      <c r="AJ346" s="413">
        <f t="shared" ref="AJ346" si="978">AJ345</f>
        <v>0</v>
      </c>
      <c r="AK346" s="413">
        <f t="shared" ref="AK346" si="979">AK345</f>
        <v>0</v>
      </c>
      <c r="AL346" s="413">
        <f t="shared" ref="AL346" si="980">AL345</f>
        <v>0</v>
      </c>
      <c r="AM346" s="308"/>
    </row>
    <row r="347" spans="1:39" hidden="1" outlineLevel="1">
      <c r="B347" s="520"/>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hidden="1" outlineLevel="1">
      <c r="A348" s="522">
        <v>40</v>
      </c>
      <c r="B348" s="520" t="s">
        <v>132</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hidden="1"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81">Z348</f>
        <v>0</v>
      </c>
      <c r="AA349" s="413">
        <f t="shared" ref="AA349" si="982">AA348</f>
        <v>0</v>
      </c>
      <c r="AB349" s="413">
        <f t="shared" ref="AB349" si="983">AB348</f>
        <v>0</v>
      </c>
      <c r="AC349" s="413">
        <f t="shared" ref="AC349" si="984">AC348</f>
        <v>0</v>
      </c>
      <c r="AD349" s="413">
        <f t="shared" ref="AD349" si="985">AD348</f>
        <v>0</v>
      </c>
      <c r="AE349" s="413">
        <f t="shared" ref="AE349" si="986">AE348</f>
        <v>0</v>
      </c>
      <c r="AF349" s="413">
        <f t="shared" ref="AF349" si="987">AF348</f>
        <v>0</v>
      </c>
      <c r="AG349" s="413">
        <f t="shared" ref="AG349" si="988">AG348</f>
        <v>0</v>
      </c>
      <c r="AH349" s="413">
        <f t="shared" ref="AH349" si="989">AH348</f>
        <v>0</v>
      </c>
      <c r="AI349" s="413">
        <f t="shared" ref="AI349" si="990">AI348</f>
        <v>0</v>
      </c>
      <c r="AJ349" s="413">
        <f t="shared" ref="AJ349" si="991">AJ348</f>
        <v>0</v>
      </c>
      <c r="AK349" s="413">
        <f t="shared" ref="AK349" si="992">AK348</f>
        <v>0</v>
      </c>
      <c r="AL349" s="413">
        <f t="shared" ref="AL349" si="993">AL348</f>
        <v>0</v>
      </c>
      <c r="AM349" s="308"/>
    </row>
    <row r="350" spans="1:39" hidden="1" outlineLevel="1">
      <c r="B350" s="520"/>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30" hidden="1" outlineLevel="1">
      <c r="A351" s="522">
        <v>41</v>
      </c>
      <c r="B351" s="520" t="s">
        <v>133</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hidden="1"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994">Z351</f>
        <v>0</v>
      </c>
      <c r="AA352" s="413">
        <f t="shared" ref="AA352" si="995">AA351</f>
        <v>0</v>
      </c>
      <c r="AB352" s="413">
        <f t="shared" ref="AB352" si="996">AB351</f>
        <v>0</v>
      </c>
      <c r="AC352" s="413">
        <f t="shared" ref="AC352" si="997">AC351</f>
        <v>0</v>
      </c>
      <c r="AD352" s="413">
        <f t="shared" ref="AD352" si="998">AD351</f>
        <v>0</v>
      </c>
      <c r="AE352" s="413">
        <f t="shared" ref="AE352" si="999">AE351</f>
        <v>0</v>
      </c>
      <c r="AF352" s="413">
        <f t="shared" ref="AF352" si="1000">AF351</f>
        <v>0</v>
      </c>
      <c r="AG352" s="413">
        <f t="shared" ref="AG352" si="1001">AG351</f>
        <v>0</v>
      </c>
      <c r="AH352" s="413">
        <f t="shared" ref="AH352" si="1002">AH351</f>
        <v>0</v>
      </c>
      <c r="AI352" s="413">
        <f t="shared" ref="AI352" si="1003">AI351</f>
        <v>0</v>
      </c>
      <c r="AJ352" s="413">
        <f t="shared" ref="AJ352" si="1004">AJ351</f>
        <v>0</v>
      </c>
      <c r="AK352" s="413">
        <f t="shared" ref="AK352" si="1005">AK351</f>
        <v>0</v>
      </c>
      <c r="AL352" s="413">
        <f t="shared" ref="AL352" si="1006">AL351</f>
        <v>0</v>
      </c>
      <c r="AM352" s="308"/>
    </row>
    <row r="353" spans="1:39" hidden="1" outlineLevel="1">
      <c r="B353" s="520"/>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hidden="1" outlineLevel="1">
      <c r="A354" s="522">
        <v>42</v>
      </c>
      <c r="B354" s="520" t="s">
        <v>134</v>
      </c>
      <c r="C354" s="293" t="s">
        <v>25</v>
      </c>
      <c r="D354" s="297"/>
      <c r="E354" s="297"/>
      <c r="F354" s="297"/>
      <c r="G354" s="297"/>
      <c r="H354" s="297"/>
      <c r="I354" s="297"/>
      <c r="J354" s="297"/>
      <c r="K354" s="297"/>
      <c r="L354" s="297"/>
      <c r="M354" s="297"/>
      <c r="N354" s="297">
        <v>0</v>
      </c>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hidden="1" outlineLevel="1">
      <c r="B355" s="296" t="s">
        <v>290</v>
      </c>
      <c r="C355" s="293" t="s">
        <v>164</v>
      </c>
      <c r="D355" s="297"/>
      <c r="E355" s="297"/>
      <c r="F355" s="297"/>
      <c r="G355" s="297"/>
      <c r="H355" s="297"/>
      <c r="I355" s="297"/>
      <c r="J355" s="297"/>
      <c r="K355" s="297"/>
      <c r="L355" s="297"/>
      <c r="M355" s="297"/>
      <c r="N355" s="297">
        <f>N354</f>
        <v>0</v>
      </c>
      <c r="O355" s="297"/>
      <c r="P355" s="297"/>
      <c r="Q355" s="297"/>
      <c r="R355" s="297"/>
      <c r="S355" s="297"/>
      <c r="T355" s="297"/>
      <c r="U355" s="297"/>
      <c r="V355" s="297"/>
      <c r="W355" s="297"/>
      <c r="X355" s="297"/>
      <c r="Y355" s="413">
        <f>Y354</f>
        <v>0</v>
      </c>
      <c r="Z355" s="413">
        <f t="shared" ref="Z355" si="1007">Z354</f>
        <v>0</v>
      </c>
      <c r="AA355" s="413">
        <f t="shared" ref="AA355" si="1008">AA354</f>
        <v>0</v>
      </c>
      <c r="AB355" s="413">
        <f t="shared" ref="AB355" si="1009">AB354</f>
        <v>0</v>
      </c>
      <c r="AC355" s="413">
        <f t="shared" ref="AC355" si="1010">AC354</f>
        <v>0</v>
      </c>
      <c r="AD355" s="413">
        <f t="shared" ref="AD355" si="1011">AD354</f>
        <v>0</v>
      </c>
      <c r="AE355" s="413">
        <f t="shared" ref="AE355" si="1012">AE354</f>
        <v>0</v>
      </c>
      <c r="AF355" s="413">
        <f t="shared" ref="AF355" si="1013">AF354</f>
        <v>0</v>
      </c>
      <c r="AG355" s="413">
        <f t="shared" ref="AG355" si="1014">AG354</f>
        <v>0</v>
      </c>
      <c r="AH355" s="413">
        <f t="shared" ref="AH355" si="1015">AH354</f>
        <v>0</v>
      </c>
      <c r="AI355" s="413">
        <f t="shared" ref="AI355" si="1016">AI354</f>
        <v>0</v>
      </c>
      <c r="AJ355" s="413">
        <f t="shared" ref="AJ355" si="1017">AJ354</f>
        <v>0</v>
      </c>
      <c r="AK355" s="413">
        <f t="shared" ref="AK355" si="1018">AK354</f>
        <v>0</v>
      </c>
      <c r="AL355" s="413">
        <f t="shared" ref="AL355" si="1019">AL354</f>
        <v>0</v>
      </c>
      <c r="AM355" s="308"/>
    </row>
    <row r="356" spans="1:39" hidden="1" outlineLevel="1">
      <c r="B356" s="520"/>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45" hidden="1" outlineLevel="1">
      <c r="A357" s="522">
        <v>43</v>
      </c>
      <c r="B357" s="520" t="s">
        <v>135</v>
      </c>
      <c r="C357" s="293" t="s">
        <v>25</v>
      </c>
      <c r="D357" s="297"/>
      <c r="E357" s="297"/>
      <c r="F357" s="297"/>
      <c r="G357" s="297"/>
      <c r="H357" s="297"/>
      <c r="I357" s="297"/>
      <c r="J357" s="297"/>
      <c r="K357" s="297"/>
      <c r="L357" s="297"/>
      <c r="M357" s="297"/>
      <c r="N357" s="293"/>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hidden="1" outlineLevel="1">
      <c r="B358" s="296" t="s">
        <v>290</v>
      </c>
      <c r="C358" s="293" t="s">
        <v>164</v>
      </c>
      <c r="D358" s="297"/>
      <c r="E358" s="297"/>
      <c r="F358" s="297"/>
      <c r="G358" s="297"/>
      <c r="H358" s="297"/>
      <c r="I358" s="297"/>
      <c r="J358" s="297"/>
      <c r="K358" s="297"/>
      <c r="L358" s="297"/>
      <c r="M358" s="297"/>
      <c r="N358" s="469"/>
      <c r="O358" s="297"/>
      <c r="P358" s="297"/>
      <c r="Q358" s="297"/>
      <c r="R358" s="297"/>
      <c r="S358" s="297"/>
      <c r="T358" s="297"/>
      <c r="U358" s="297"/>
      <c r="V358" s="297"/>
      <c r="W358" s="297"/>
      <c r="X358" s="297"/>
      <c r="Y358" s="413">
        <f>Y357</f>
        <v>0</v>
      </c>
      <c r="Z358" s="413">
        <f t="shared" ref="Z358" si="1020">Z357</f>
        <v>0</v>
      </c>
      <c r="AA358" s="413">
        <f t="shared" ref="AA358" si="1021">AA357</f>
        <v>0</v>
      </c>
      <c r="AB358" s="413">
        <f t="shared" ref="AB358" si="1022">AB357</f>
        <v>0</v>
      </c>
      <c r="AC358" s="413">
        <f t="shared" ref="AC358" si="1023">AC357</f>
        <v>0</v>
      </c>
      <c r="AD358" s="413">
        <f t="shared" ref="AD358" si="1024">AD357</f>
        <v>0</v>
      </c>
      <c r="AE358" s="413">
        <f t="shared" ref="AE358" si="1025">AE357</f>
        <v>0</v>
      </c>
      <c r="AF358" s="413">
        <f t="shared" ref="AF358" si="1026">AF357</f>
        <v>0</v>
      </c>
      <c r="AG358" s="413">
        <f t="shared" ref="AG358" si="1027">AG357</f>
        <v>0</v>
      </c>
      <c r="AH358" s="413">
        <f t="shared" ref="AH358" si="1028">AH357</f>
        <v>0</v>
      </c>
      <c r="AI358" s="413">
        <f t="shared" ref="AI358" si="1029">AI357</f>
        <v>0</v>
      </c>
      <c r="AJ358" s="413">
        <f t="shared" ref="AJ358" si="1030">AJ357</f>
        <v>0</v>
      </c>
      <c r="AK358" s="413">
        <f t="shared" ref="AK358" si="1031">AK357</f>
        <v>0</v>
      </c>
      <c r="AL358" s="413">
        <f t="shared" ref="AL358" si="1032">AL357</f>
        <v>0</v>
      </c>
      <c r="AM358" s="308"/>
    </row>
    <row r="359" spans="1:39" hidden="1" outlineLevel="1">
      <c r="B359" s="520"/>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30" hidden="1" outlineLevel="1">
      <c r="A360" s="522">
        <v>44</v>
      </c>
      <c r="B360" s="520" t="s">
        <v>136</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hidden="1"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33">Z360</f>
        <v>0</v>
      </c>
      <c r="AA361" s="413">
        <f t="shared" ref="AA361" si="1034">AA360</f>
        <v>0</v>
      </c>
      <c r="AB361" s="413">
        <f t="shared" ref="AB361" si="1035">AB360</f>
        <v>0</v>
      </c>
      <c r="AC361" s="413">
        <f t="shared" ref="AC361" si="1036">AC360</f>
        <v>0</v>
      </c>
      <c r="AD361" s="413">
        <f t="shared" ref="AD361" si="1037">AD360</f>
        <v>0</v>
      </c>
      <c r="AE361" s="413">
        <f t="shared" ref="AE361" si="1038">AE360</f>
        <v>0</v>
      </c>
      <c r="AF361" s="413">
        <f t="shared" ref="AF361" si="1039">AF360</f>
        <v>0</v>
      </c>
      <c r="AG361" s="413">
        <f t="shared" ref="AG361" si="1040">AG360</f>
        <v>0</v>
      </c>
      <c r="AH361" s="413">
        <f t="shared" ref="AH361" si="1041">AH360</f>
        <v>0</v>
      </c>
      <c r="AI361" s="413">
        <f t="shared" ref="AI361" si="1042">AI360</f>
        <v>0</v>
      </c>
      <c r="AJ361" s="413">
        <f t="shared" ref="AJ361" si="1043">AJ360</f>
        <v>0</v>
      </c>
      <c r="AK361" s="413">
        <f t="shared" ref="AK361" si="1044">AK360</f>
        <v>0</v>
      </c>
      <c r="AL361" s="413">
        <f t="shared" ref="AL361" si="1045">AL360</f>
        <v>0</v>
      </c>
      <c r="AM361" s="308"/>
    </row>
    <row r="362" spans="1:39" hidden="1" outlineLevel="1">
      <c r="B362" s="520"/>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45" hidden="1" outlineLevel="1">
      <c r="A363" s="522">
        <v>45</v>
      </c>
      <c r="B363" s="520" t="s">
        <v>137</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hidden="1"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46">Z363</f>
        <v>0</v>
      </c>
      <c r="AA364" s="413">
        <f t="shared" ref="AA364" si="1047">AA363</f>
        <v>0</v>
      </c>
      <c r="AB364" s="413">
        <f t="shared" ref="AB364" si="1048">AB363</f>
        <v>0</v>
      </c>
      <c r="AC364" s="413">
        <f t="shared" ref="AC364" si="1049">AC363</f>
        <v>0</v>
      </c>
      <c r="AD364" s="413">
        <f t="shared" ref="AD364" si="1050">AD363</f>
        <v>0</v>
      </c>
      <c r="AE364" s="413">
        <f t="shared" ref="AE364" si="1051">AE363</f>
        <v>0</v>
      </c>
      <c r="AF364" s="413">
        <f t="shared" ref="AF364" si="1052">AF363</f>
        <v>0</v>
      </c>
      <c r="AG364" s="413">
        <f t="shared" ref="AG364" si="1053">AG363</f>
        <v>0</v>
      </c>
      <c r="AH364" s="413">
        <f t="shared" ref="AH364" si="1054">AH363</f>
        <v>0</v>
      </c>
      <c r="AI364" s="413">
        <f t="shared" ref="AI364" si="1055">AI363</f>
        <v>0</v>
      </c>
      <c r="AJ364" s="413">
        <f t="shared" ref="AJ364" si="1056">AJ363</f>
        <v>0</v>
      </c>
      <c r="AK364" s="413">
        <f t="shared" ref="AK364" si="1057">AK363</f>
        <v>0</v>
      </c>
      <c r="AL364" s="413">
        <f t="shared" ref="AL364" si="1058">AL363</f>
        <v>0</v>
      </c>
      <c r="AM364" s="308"/>
    </row>
    <row r="365" spans="1:39" hidden="1" outlineLevel="1">
      <c r="B365" s="520"/>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hidden="1" outlineLevel="1">
      <c r="A366" s="522">
        <v>46</v>
      </c>
      <c r="B366" s="520" t="s">
        <v>138</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hidden="1"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59">Z366</f>
        <v>0</v>
      </c>
      <c r="AA367" s="413">
        <f t="shared" ref="AA367" si="1060">AA366</f>
        <v>0</v>
      </c>
      <c r="AB367" s="413">
        <f t="shared" ref="AB367" si="1061">AB366</f>
        <v>0</v>
      </c>
      <c r="AC367" s="413">
        <f t="shared" ref="AC367" si="1062">AC366</f>
        <v>0</v>
      </c>
      <c r="AD367" s="413">
        <f t="shared" ref="AD367" si="1063">AD366</f>
        <v>0</v>
      </c>
      <c r="AE367" s="413">
        <f t="shared" ref="AE367" si="1064">AE366</f>
        <v>0</v>
      </c>
      <c r="AF367" s="413">
        <f t="shared" ref="AF367" si="1065">AF366</f>
        <v>0</v>
      </c>
      <c r="AG367" s="413">
        <f t="shared" ref="AG367" si="1066">AG366</f>
        <v>0</v>
      </c>
      <c r="AH367" s="413">
        <f t="shared" ref="AH367" si="1067">AH366</f>
        <v>0</v>
      </c>
      <c r="AI367" s="413">
        <f t="shared" ref="AI367" si="1068">AI366</f>
        <v>0</v>
      </c>
      <c r="AJ367" s="413">
        <f t="shared" ref="AJ367" si="1069">AJ366</f>
        <v>0</v>
      </c>
      <c r="AK367" s="413">
        <f t="shared" ref="AK367" si="1070">AK366</f>
        <v>0</v>
      </c>
      <c r="AL367" s="413">
        <f t="shared" ref="AL367" si="1071">AL366</f>
        <v>0</v>
      </c>
      <c r="AM367" s="308"/>
    </row>
    <row r="368" spans="1:39" hidden="1" outlineLevel="1">
      <c r="B368" s="520"/>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hidden="1" outlineLevel="1">
      <c r="A369" s="522">
        <v>47</v>
      </c>
      <c r="B369" s="520" t="s">
        <v>139</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hidden="1"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72">Z369</f>
        <v>0</v>
      </c>
      <c r="AA370" s="413">
        <f t="shared" ref="AA370" si="1073">AA369</f>
        <v>0</v>
      </c>
      <c r="AB370" s="413">
        <f t="shared" ref="AB370" si="1074">AB369</f>
        <v>0</v>
      </c>
      <c r="AC370" s="413">
        <f t="shared" ref="AC370" si="1075">AC369</f>
        <v>0</v>
      </c>
      <c r="AD370" s="413">
        <f t="shared" ref="AD370" si="1076">AD369</f>
        <v>0</v>
      </c>
      <c r="AE370" s="413">
        <f t="shared" ref="AE370" si="1077">AE369</f>
        <v>0</v>
      </c>
      <c r="AF370" s="413">
        <f t="shared" ref="AF370" si="1078">AF369</f>
        <v>0</v>
      </c>
      <c r="AG370" s="413">
        <f t="shared" ref="AG370" si="1079">AG369</f>
        <v>0</v>
      </c>
      <c r="AH370" s="413">
        <f t="shared" ref="AH370" si="1080">AH369</f>
        <v>0</v>
      </c>
      <c r="AI370" s="413">
        <f t="shared" ref="AI370" si="1081">AI369</f>
        <v>0</v>
      </c>
      <c r="AJ370" s="413">
        <f t="shared" ref="AJ370" si="1082">AJ369</f>
        <v>0</v>
      </c>
      <c r="AK370" s="413">
        <f t="shared" ref="AK370" si="1083">AK369</f>
        <v>0</v>
      </c>
      <c r="AL370" s="413">
        <f t="shared" ref="AL370" si="1084">AL369</f>
        <v>0</v>
      </c>
      <c r="AM370" s="308"/>
    </row>
    <row r="371" spans="1:42" hidden="1" outlineLevel="1">
      <c r="B371" s="520"/>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30" hidden="1" outlineLevel="1">
      <c r="A372" s="522">
        <v>48</v>
      </c>
      <c r="B372" s="520" t="s">
        <v>140</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hidden="1"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85">Z372</f>
        <v>0</v>
      </c>
      <c r="AA373" s="413">
        <f t="shared" ref="AA373" si="1086">AA372</f>
        <v>0</v>
      </c>
      <c r="AB373" s="413">
        <f t="shared" ref="AB373" si="1087">AB372</f>
        <v>0</v>
      </c>
      <c r="AC373" s="413">
        <f t="shared" ref="AC373" si="1088">AC372</f>
        <v>0</v>
      </c>
      <c r="AD373" s="413">
        <f t="shared" ref="AD373" si="1089">AD372</f>
        <v>0</v>
      </c>
      <c r="AE373" s="413">
        <f t="shared" ref="AE373" si="1090">AE372</f>
        <v>0</v>
      </c>
      <c r="AF373" s="413">
        <f t="shared" ref="AF373" si="1091">AF372</f>
        <v>0</v>
      </c>
      <c r="AG373" s="413">
        <f t="shared" ref="AG373" si="1092">AG372</f>
        <v>0</v>
      </c>
      <c r="AH373" s="413">
        <f t="shared" ref="AH373" si="1093">AH372</f>
        <v>0</v>
      </c>
      <c r="AI373" s="413">
        <f t="shared" ref="AI373" si="1094">AI372</f>
        <v>0</v>
      </c>
      <c r="AJ373" s="413">
        <f t="shared" ref="AJ373" si="1095">AJ372</f>
        <v>0</v>
      </c>
      <c r="AK373" s="413">
        <f t="shared" ref="AK373" si="1096">AK372</f>
        <v>0</v>
      </c>
      <c r="AL373" s="413">
        <f t="shared" ref="AL373" si="1097">AL372</f>
        <v>0</v>
      </c>
      <c r="AM373" s="308"/>
    </row>
    <row r="374" spans="1:42" hidden="1" outlineLevel="1">
      <c r="B374" s="520"/>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45" hidden="1" outlineLevel="1">
      <c r="A375" s="522">
        <v>49</v>
      </c>
      <c r="B375" s="520" t="s">
        <v>141</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hidden="1"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098">Z375</f>
        <v>0</v>
      </c>
      <c r="AA376" s="413">
        <f t="shared" ref="AA376" si="1099">AA375</f>
        <v>0</v>
      </c>
      <c r="AB376" s="413">
        <f t="shared" ref="AB376" si="1100">AB375</f>
        <v>0</v>
      </c>
      <c r="AC376" s="413">
        <f t="shared" ref="AC376" si="1101">AC375</f>
        <v>0</v>
      </c>
      <c r="AD376" s="413">
        <f t="shared" ref="AD376" si="1102">AD375</f>
        <v>0</v>
      </c>
      <c r="AE376" s="413">
        <f t="shared" ref="AE376" si="1103">AE375</f>
        <v>0</v>
      </c>
      <c r="AF376" s="413">
        <f t="shared" ref="AF376" si="1104">AF375</f>
        <v>0</v>
      </c>
      <c r="AG376" s="413">
        <f t="shared" ref="AG376" si="1105">AG375</f>
        <v>0</v>
      </c>
      <c r="AH376" s="413">
        <f t="shared" ref="AH376" si="1106">AH375</f>
        <v>0</v>
      </c>
      <c r="AI376" s="413">
        <f t="shared" ref="AI376" si="1107">AI375</f>
        <v>0</v>
      </c>
      <c r="AJ376" s="413">
        <f t="shared" ref="AJ376" si="1108">AJ375</f>
        <v>0</v>
      </c>
      <c r="AK376" s="413">
        <f t="shared" ref="AK376" si="1109">AK375</f>
        <v>0</v>
      </c>
      <c r="AL376" s="413">
        <f t="shared" ref="AL376" si="1110">AL375</f>
        <v>0</v>
      </c>
      <c r="AM376" s="308"/>
    </row>
    <row r="377" spans="1:42" hidden="1" outlineLevel="1">
      <c r="B377" s="520"/>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27"/>
      <c r="AA377" s="427"/>
      <c r="AB377" s="427"/>
      <c r="AC377" s="427"/>
      <c r="AD377" s="427"/>
      <c r="AE377" s="427"/>
      <c r="AF377" s="427"/>
      <c r="AG377" s="427"/>
      <c r="AH377" s="427"/>
      <c r="AI377" s="427"/>
      <c r="AJ377" s="427"/>
      <c r="AK377" s="427"/>
      <c r="AL377" s="427"/>
      <c r="AM377" s="308"/>
    </row>
    <row r="378" spans="1:42" ht="30" hidden="1" outlineLevel="1">
      <c r="A378" s="522">
        <v>50</v>
      </c>
      <c r="B378" s="520" t="s">
        <v>142</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28"/>
      <c r="Z378" s="412"/>
      <c r="AA378" s="412"/>
      <c r="AB378" s="412"/>
      <c r="AC378" s="412"/>
      <c r="AD378" s="412"/>
      <c r="AE378" s="412"/>
      <c r="AF378" s="412"/>
      <c r="AG378" s="417"/>
      <c r="AH378" s="417"/>
      <c r="AI378" s="417"/>
      <c r="AJ378" s="417"/>
      <c r="AK378" s="417"/>
      <c r="AL378" s="417"/>
      <c r="AM378" s="298">
        <f>SUM(Y378:AL378)</f>
        <v>0</v>
      </c>
    </row>
    <row r="379" spans="1:42" hidden="1" outlineLevel="1">
      <c r="B379" s="296" t="s">
        <v>290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 si="1111">Z378</f>
        <v>0</v>
      </c>
      <c r="AA379" s="413">
        <f t="shared" ref="AA379" si="1112">AA378</f>
        <v>0</v>
      </c>
      <c r="AB379" s="413">
        <f t="shared" ref="AB379" si="1113">AB378</f>
        <v>0</v>
      </c>
      <c r="AC379" s="413">
        <f t="shared" ref="AC379" si="1114">AC378</f>
        <v>0</v>
      </c>
      <c r="AD379" s="413">
        <f t="shared" ref="AD379" si="1115">AD378</f>
        <v>0</v>
      </c>
      <c r="AE379" s="413">
        <f t="shared" ref="AE379" si="1116">AE378</f>
        <v>0</v>
      </c>
      <c r="AF379" s="413">
        <f t="shared" ref="AF379" si="1117">AF378</f>
        <v>0</v>
      </c>
      <c r="AG379" s="413">
        <f t="shared" ref="AG379" si="1118">AG378</f>
        <v>0</v>
      </c>
      <c r="AH379" s="413">
        <f t="shared" ref="AH379" si="1119">AH378</f>
        <v>0</v>
      </c>
      <c r="AI379" s="413">
        <f t="shared" ref="AI379" si="1120">AI378</f>
        <v>0</v>
      </c>
      <c r="AJ379" s="413">
        <f t="shared" ref="AJ379" si="1121">AJ378</f>
        <v>0</v>
      </c>
      <c r="AK379" s="413">
        <f t="shared" ref="AK379" si="1122">AK378</f>
        <v>0</v>
      </c>
      <c r="AL379" s="413">
        <f t="shared" ref="AL379" si="1123">AL378</f>
        <v>0</v>
      </c>
      <c r="AM379" s="308"/>
    </row>
    <row r="380" spans="1:42" hidden="1" outlineLevel="1">
      <c r="B380" s="439"/>
      <c r="C380" s="307"/>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303"/>
      <c r="Z380" s="303"/>
      <c r="AA380" s="303"/>
      <c r="AB380" s="303"/>
      <c r="AC380" s="303"/>
      <c r="AD380" s="303"/>
      <c r="AE380" s="303"/>
      <c r="AF380" s="303"/>
      <c r="AG380" s="303"/>
      <c r="AH380" s="303"/>
      <c r="AI380" s="303"/>
      <c r="AJ380" s="303"/>
      <c r="AK380" s="303"/>
      <c r="AL380" s="303"/>
      <c r="AM380" s="308"/>
    </row>
    <row r="381" spans="1:42" ht="15.75" collapsed="1">
      <c r="B381" s="329" t="s">
        <v>275</v>
      </c>
      <c r="C381" s="331"/>
      <c r="D381" s="331">
        <f>SUM(D221:D379)</f>
        <v>2882871.4056254858</v>
      </c>
      <c r="E381" s="331"/>
      <c r="F381" s="331"/>
      <c r="G381" s="331"/>
      <c r="H381" s="331"/>
      <c r="I381" s="331"/>
      <c r="J381" s="331"/>
      <c r="K381" s="331"/>
      <c r="L381" s="331"/>
      <c r="M381" s="331"/>
      <c r="N381" s="331"/>
      <c r="O381" s="331">
        <f>SUM(O221:O379)</f>
        <v>286.73837396498118</v>
      </c>
      <c r="P381" s="331"/>
      <c r="Q381" s="331"/>
      <c r="R381" s="331"/>
      <c r="S381" s="331"/>
      <c r="T381" s="331"/>
      <c r="U381" s="331"/>
      <c r="V381" s="331"/>
      <c r="W381" s="331"/>
      <c r="X381" s="331"/>
      <c r="Y381" s="331">
        <f>IF(Y219="kWh",SUMPRODUCT(D221:D379,Y221:Y379))</f>
        <v>1844336.790936538</v>
      </c>
      <c r="Z381" s="331">
        <f>IF(Z219="kWh",SUMPRODUCT(D221:D379,Z221:Z379))</f>
        <v>504700.57807419926</v>
      </c>
      <c r="AA381" s="331">
        <f>IF(AA219="kw",SUMPRODUCT(N221:N379,O221:O379,AA221:AA379),SUMPRODUCT(D221:D379,AA221:AA379))</f>
        <v>935.76241447752466</v>
      </c>
      <c r="AB381" s="331">
        <f>IF(AB219="kw",SUMPRODUCT(N221:N379,O221:O379,AB221:AB379),SUMPRODUCT(D221:D379,AB221:AB379))</f>
        <v>0</v>
      </c>
      <c r="AC381" s="331">
        <f>IF(AC219="kw",SUMPRODUCT(N221:N379,O221:O379,AC221:AC379),SUMPRODUCT(D221:D379,AC221:AC379))</f>
        <v>0</v>
      </c>
      <c r="AD381" s="331">
        <f>IF(AD219="kw",SUMPRODUCT(N221:N379,O221:O379,AD221:AD379),SUMPRODUCT(D221:D379,AD221:AD379))</f>
        <v>0</v>
      </c>
      <c r="AE381" s="331">
        <f>IF(AE219="kw",SUMPRODUCT(N221:N379,O221:O379,AE221:AE379),SUMPRODUCT(D221:D379,AE221:AE379))</f>
        <v>0</v>
      </c>
      <c r="AF381" s="331">
        <f>IF(AF219="kw",SUMPRODUCT(N221:N379,O221:O379,AF221:AF379),SUMPRODUCT(D221:D379,AF221:AF379))</f>
        <v>0</v>
      </c>
      <c r="AG381" s="331">
        <f>IF(AG219="kw",SUMPRODUCT(N221:N379,O221:O379,AG221:AG379),SUMPRODUCT(D221:D379,AG221:AG379))</f>
        <v>0</v>
      </c>
      <c r="AH381" s="331">
        <f>IF(AH219="kw",SUMPRODUCT(N221:N379,O221:O379,AH221:AH379),SUMPRODUCT(D221:D379,AH221:AH379))</f>
        <v>0</v>
      </c>
      <c r="AI381" s="331">
        <f>IF(AI219="kw",SUMPRODUCT(N221:N379,O221:O379,AI221:AI379),SUMPRODUCT(D221:D379,AI221:AI379))</f>
        <v>0</v>
      </c>
      <c r="AJ381" s="331">
        <f>IF(AJ219="kw",SUMPRODUCT(N221:N379,O221:O379,AJ221:AJ379),SUMPRODUCT(D221:D379,AJ221:AJ379))</f>
        <v>0</v>
      </c>
      <c r="AK381" s="331">
        <f>IF(AK219="kw",SUMPRODUCT(N221:N379,O221:O379,AK221:AK379),SUMPRODUCT(D221:D379,AK221:AK379))</f>
        <v>0</v>
      </c>
      <c r="AL381" s="331">
        <f>IF(AL219="kw",SUMPRODUCT(N221:N379,O221:O379,AL221:AL379),SUMPRODUCT(D221:D379,AL221:AL379))</f>
        <v>0</v>
      </c>
      <c r="AM381" s="332"/>
    </row>
    <row r="382" spans="1:42" ht="15.75">
      <c r="B382" s="393" t="s">
        <v>276</v>
      </c>
      <c r="C382" s="394"/>
      <c r="D382" s="394"/>
      <c r="E382" s="394"/>
      <c r="F382" s="394"/>
      <c r="G382" s="394"/>
      <c r="H382" s="394"/>
      <c r="I382" s="394"/>
      <c r="J382" s="394"/>
      <c r="K382" s="394"/>
      <c r="L382" s="394"/>
      <c r="M382" s="394"/>
      <c r="N382" s="394"/>
      <c r="O382" s="394"/>
      <c r="P382" s="394"/>
      <c r="Q382" s="394"/>
      <c r="R382" s="394"/>
      <c r="S382" s="394"/>
      <c r="T382" s="394"/>
      <c r="U382" s="394"/>
      <c r="V382" s="394"/>
      <c r="W382" s="394"/>
      <c r="X382" s="394"/>
      <c r="Y382" s="394">
        <f>HLOOKUP(Y218,'2. LRAMVA Threshold'!$B$42:$Q$53,8,FALSE)</f>
        <v>1345003</v>
      </c>
      <c r="Z382" s="394">
        <f>HLOOKUP(Z218,'2. LRAMVA Threshold'!$B$42:$Q$53,8,FALSE)</f>
        <v>543085</v>
      </c>
      <c r="AA382" s="394">
        <f>HLOOKUP(AA218,'2. LRAMVA Threshold'!$B$42:$Q$53,8,FALSE)</f>
        <v>10671</v>
      </c>
      <c r="AB382" s="394">
        <f>HLOOKUP(AB218,'2. LRAMVA Threshold'!$B$42:$Q$53,8,FALSE)</f>
        <v>196</v>
      </c>
      <c r="AC382" s="394">
        <f>HLOOKUP(AC218,'2. LRAMVA Threshold'!$B$42:$Q$53,8,FALSE)</f>
        <v>4684</v>
      </c>
      <c r="AD382" s="394">
        <f>HLOOKUP(AD218,'2. LRAMVA Threshold'!$B$42:$Q$53,8,FALSE)</f>
        <v>0</v>
      </c>
      <c r="AE382" s="394">
        <f>HLOOKUP(AE218,'2. LRAMVA Threshold'!$B$42:$Q$53,8,FALSE)</f>
        <v>0</v>
      </c>
      <c r="AF382" s="394">
        <f>HLOOKUP(AF218,'2. LRAMVA Threshold'!$B$42:$Q$53,8,FALSE)</f>
        <v>0</v>
      </c>
      <c r="AG382" s="394">
        <f>HLOOKUP(AG218,'2. LRAMVA Threshold'!$B$42:$Q$53,8,FALSE)</f>
        <v>0</v>
      </c>
      <c r="AH382" s="394">
        <f>HLOOKUP(AH218,'2. LRAMVA Threshold'!$B$42:$Q$53,8,FALSE)</f>
        <v>0</v>
      </c>
      <c r="AI382" s="394">
        <f>HLOOKUP(AI218,'2. LRAMVA Threshold'!$B$42:$Q$53,8,FALSE)</f>
        <v>0</v>
      </c>
      <c r="AJ382" s="394">
        <f>HLOOKUP(AJ218,'2. LRAMVA Threshold'!$B$42:$Q$53,8,FALSE)</f>
        <v>0</v>
      </c>
      <c r="AK382" s="394">
        <f>HLOOKUP(AK218,'2. LRAMVA Threshold'!$B$42:$Q$53,8,FALSE)</f>
        <v>0</v>
      </c>
      <c r="AL382" s="394">
        <f>HLOOKUP(AL218,'2. LRAMVA Threshold'!$B$42:$Q$53,8,FALSE)</f>
        <v>0</v>
      </c>
      <c r="AM382" s="395"/>
    </row>
    <row r="383" spans="1:42">
      <c r="B383" s="396"/>
      <c r="C383" s="434"/>
      <c r="D383" s="435"/>
      <c r="E383" s="435"/>
      <c r="F383" s="435"/>
      <c r="G383" s="435"/>
      <c r="H383" s="435"/>
      <c r="I383" s="435"/>
      <c r="J383" s="435"/>
      <c r="K383" s="435"/>
      <c r="L383" s="435"/>
      <c r="M383" s="435"/>
      <c r="N383" s="435"/>
      <c r="O383" s="436"/>
      <c r="P383" s="435"/>
      <c r="Q383" s="435"/>
      <c r="R383" s="435"/>
      <c r="S383" s="437"/>
      <c r="T383" s="437"/>
      <c r="U383" s="437"/>
      <c r="V383" s="437"/>
      <c r="W383" s="435"/>
      <c r="X383" s="435"/>
      <c r="Y383" s="438"/>
      <c r="Z383" s="438"/>
      <c r="AA383" s="438"/>
      <c r="AB383" s="438"/>
      <c r="AC383" s="438"/>
      <c r="AD383" s="438"/>
      <c r="AE383" s="438"/>
      <c r="AF383" s="401"/>
      <c r="AG383" s="401"/>
      <c r="AH383" s="401"/>
      <c r="AI383" s="401"/>
      <c r="AJ383" s="401"/>
      <c r="AK383" s="401"/>
      <c r="AL383" s="401"/>
      <c r="AM383" s="402"/>
    </row>
    <row r="384" spans="1:42">
      <c r="B384" s="326" t="s">
        <v>277</v>
      </c>
      <c r="C384" s="340"/>
      <c r="D384" s="340"/>
      <c r="E384" s="378"/>
      <c r="F384" s="378"/>
      <c r="G384" s="378"/>
      <c r="H384" s="378"/>
      <c r="I384" s="378"/>
      <c r="J384" s="378"/>
      <c r="K384" s="378"/>
      <c r="L384" s="378"/>
      <c r="M384" s="378"/>
      <c r="N384" s="378"/>
      <c r="O384" s="293"/>
      <c r="P384" s="342"/>
      <c r="Q384" s="342"/>
      <c r="R384" s="342"/>
      <c r="S384" s="341"/>
      <c r="T384" s="341"/>
      <c r="U384" s="341"/>
      <c r="V384" s="341"/>
      <c r="W384" s="342"/>
      <c r="X384" s="342"/>
      <c r="Y384" s="343">
        <f>HLOOKUP(Y$35,'3.  Distribution Rates'!$C$122:$P$133,8,FALSE)</f>
        <v>1.6899999999999998E-2</v>
      </c>
      <c r="Z384" s="343">
        <f>HLOOKUP(Z$35,'3.  Distribution Rates'!$C$122:$P$133,8,FALSE)</f>
        <v>1.37E-2</v>
      </c>
      <c r="AA384" s="343">
        <f>HLOOKUP(AA$35,'3.  Distribution Rates'!$C$122:$P$133,8,FALSE)</f>
        <v>3.2206000000000001</v>
      </c>
      <c r="AB384" s="343">
        <f>HLOOKUP(AB$35,'3.  Distribution Rates'!$C$122:$P$133,8,FALSE)</f>
        <v>15.076599999999999</v>
      </c>
      <c r="AC384" s="343">
        <f>HLOOKUP(AC$35,'3.  Distribution Rates'!$C$122:$P$133,8,FALSE)</f>
        <v>1.18E-2</v>
      </c>
      <c r="AD384" s="343">
        <f>HLOOKUP(AD$35,'3.  Distribution Rates'!$C$122:$P$133,8,FALSE)</f>
        <v>0</v>
      </c>
      <c r="AE384" s="343">
        <f>HLOOKUP(AE$35,'3.  Distribution Rates'!$C$122:$P$133,8,FALSE)</f>
        <v>0</v>
      </c>
      <c r="AF384" s="343">
        <f>HLOOKUP(AF$35,'3.  Distribution Rates'!$C$122:$P$133,8,FALSE)</f>
        <v>0</v>
      </c>
      <c r="AG384" s="343">
        <f>HLOOKUP(AG$35,'3.  Distribution Rates'!$C$122:$P$133,8,FALSE)</f>
        <v>0</v>
      </c>
      <c r="AH384" s="343">
        <f>HLOOKUP(AH$35,'3.  Distribution Rates'!$C$122:$P$133,8,FALSE)</f>
        <v>0</v>
      </c>
      <c r="AI384" s="343">
        <f>HLOOKUP(AI$35,'3.  Distribution Rates'!$C$122:$P$133,8,FALSE)</f>
        <v>0</v>
      </c>
      <c r="AJ384" s="343">
        <f>HLOOKUP(AJ$35,'3.  Distribution Rates'!$C$122:$P$133,8,FALSE)</f>
        <v>0</v>
      </c>
      <c r="AK384" s="343">
        <f>HLOOKUP(AK$35,'3.  Distribution Rates'!$C$122:$P$133,8,FALSE)</f>
        <v>0</v>
      </c>
      <c r="AL384" s="343">
        <f>HLOOKUP(AL$35,'3.  Distribution Rates'!$C$122:$P$133,8,FALSE)</f>
        <v>0</v>
      </c>
      <c r="AM384" s="379"/>
      <c r="AN384" s="343"/>
      <c r="AO384" s="343"/>
      <c r="AP384" s="343"/>
    </row>
    <row r="385" spans="2:39">
      <c r="B385" s="326" t="s">
        <v>278</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LRAM'!Y139*Y384</f>
        <v>3052.7077384717682</v>
      </c>
      <c r="Z385" s="380">
        <f>'4.  2011-2014 LRAM'!Z139*Z384</f>
        <v>3185.7157212328198</v>
      </c>
      <c r="AA385" s="380">
        <f>'4.  2011-2014 LRAM'!AA139*AA384</f>
        <v>1687.2208104000001</v>
      </c>
      <c r="AB385" s="380">
        <f>'4.  2011-2014 LRAM'!AB139*AB384</f>
        <v>0</v>
      </c>
      <c r="AC385" s="380">
        <f>'4.  2011-2014 LRAM'!AC139*AC384</f>
        <v>0</v>
      </c>
      <c r="AD385" s="380">
        <f>'4.  2011-2014 LRAM'!AD139*AD384</f>
        <v>0</v>
      </c>
      <c r="AE385" s="380">
        <f>'4.  2011-2014 LRAM'!AE139*AE384</f>
        <v>0</v>
      </c>
      <c r="AF385" s="380">
        <f>'4.  2011-2014 LRAM'!AF139*AF384</f>
        <v>0</v>
      </c>
      <c r="AG385" s="380">
        <f>'4.  2011-2014 LRAM'!AG139*AG384</f>
        <v>0</v>
      </c>
      <c r="AH385" s="380">
        <f>'4.  2011-2014 LRAM'!AH139*AH384</f>
        <v>0</v>
      </c>
      <c r="AI385" s="380">
        <f>'4.  2011-2014 LRAM'!AI139*AI384</f>
        <v>0</v>
      </c>
      <c r="AJ385" s="380">
        <f>'4.  2011-2014 LRAM'!AJ139*AJ384</f>
        <v>0</v>
      </c>
      <c r="AK385" s="380">
        <f>'4.  2011-2014 LRAM'!AK139*AK384</f>
        <v>0</v>
      </c>
      <c r="AL385" s="380">
        <f>'4.  2011-2014 LRAM'!AL139*AL384</f>
        <v>0</v>
      </c>
      <c r="AM385" s="629">
        <f t="shared" ref="AM385:AM390" si="1124">SUM(Y385:AL385)</f>
        <v>7925.644270104588</v>
      </c>
    </row>
    <row r="386" spans="2:39">
      <c r="B386" s="326" t="s">
        <v>279</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'4.  2011-2014 LRAM'!Y268*Y384</f>
        <v>2731.0897968211975</v>
      </c>
      <c r="Z386" s="380">
        <f>'4.  2011-2014 LRAM'!Z268*Z384</f>
        <v>16454.90142629396</v>
      </c>
      <c r="AA386" s="380">
        <f>'4.  2011-2014 LRAM'!AA268*AA384</f>
        <v>1432.2012271357085</v>
      </c>
      <c r="AB386" s="380">
        <f>'4.  2011-2014 LRAM'!AB268*AB384</f>
        <v>0</v>
      </c>
      <c r="AC386" s="380">
        <f>'4.  2011-2014 LRAM'!AC268*AC384</f>
        <v>0</v>
      </c>
      <c r="AD386" s="380">
        <f>'4.  2011-2014 LRAM'!AD268*AD384</f>
        <v>0</v>
      </c>
      <c r="AE386" s="380">
        <f>'4.  2011-2014 LRAM'!AE268*AE384</f>
        <v>0</v>
      </c>
      <c r="AF386" s="380">
        <f>'4.  2011-2014 LRAM'!AF268*AF384</f>
        <v>0</v>
      </c>
      <c r="AG386" s="380">
        <f>'4.  2011-2014 LRAM'!AG268*AG384</f>
        <v>0</v>
      </c>
      <c r="AH386" s="380">
        <f>'4.  2011-2014 LRAM'!AH268*AH384</f>
        <v>0</v>
      </c>
      <c r="AI386" s="380">
        <f>'4.  2011-2014 LRAM'!AI268*AI384</f>
        <v>0</v>
      </c>
      <c r="AJ386" s="380">
        <f>'4.  2011-2014 LRAM'!AJ268*AJ384</f>
        <v>0</v>
      </c>
      <c r="AK386" s="380">
        <f>'4.  2011-2014 LRAM'!AK268*AK384</f>
        <v>0</v>
      </c>
      <c r="AL386" s="380">
        <f>'4.  2011-2014 LRAM'!AL268*AL384</f>
        <v>0</v>
      </c>
      <c r="AM386" s="629">
        <f t="shared" si="1124"/>
        <v>20618.192450250866</v>
      </c>
    </row>
    <row r="387" spans="2:39">
      <c r="B387" s="326" t="s">
        <v>280</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'4.  2011-2014 LRAM'!Y397*Y384</f>
        <v>2883.6579071001083</v>
      </c>
      <c r="Z387" s="380">
        <f>'4.  2011-2014 LRAM'!Z397*Z384</f>
        <v>16293.105889958782</v>
      </c>
      <c r="AA387" s="380">
        <f>'4.  2011-2014 LRAM'!AA397*AA384</f>
        <v>911.26753833018734</v>
      </c>
      <c r="AB387" s="380">
        <f>'4.  2011-2014 LRAM'!AB397*AB384</f>
        <v>0</v>
      </c>
      <c r="AC387" s="380">
        <f>'4.  2011-2014 LRAM'!AC397*AC384</f>
        <v>0</v>
      </c>
      <c r="AD387" s="380">
        <f>'4.  2011-2014 LRAM'!AD397*AD384</f>
        <v>0</v>
      </c>
      <c r="AE387" s="380">
        <f>'4.  2011-2014 LRAM'!AE397*AE384</f>
        <v>0</v>
      </c>
      <c r="AF387" s="380">
        <f>'4.  2011-2014 LRAM'!AF397*AF384</f>
        <v>0</v>
      </c>
      <c r="AG387" s="380">
        <f>'4.  2011-2014 LRAM'!AG397*AG384</f>
        <v>0</v>
      </c>
      <c r="AH387" s="380">
        <f>'4.  2011-2014 LRAM'!AH397*AH384</f>
        <v>0</v>
      </c>
      <c r="AI387" s="380">
        <f>'4.  2011-2014 LRAM'!AI397*AI384</f>
        <v>0</v>
      </c>
      <c r="AJ387" s="380">
        <f>'4.  2011-2014 LRAM'!AJ397*AJ384</f>
        <v>0</v>
      </c>
      <c r="AK387" s="380">
        <f>'4.  2011-2014 LRAM'!AK397*AK384</f>
        <v>0</v>
      </c>
      <c r="AL387" s="380">
        <f>'4.  2011-2014 LRAM'!AL397*AL384</f>
        <v>0</v>
      </c>
      <c r="AM387" s="629">
        <f t="shared" si="1124"/>
        <v>20088.031335389078</v>
      </c>
    </row>
    <row r="388" spans="2:39">
      <c r="B388" s="326" t="s">
        <v>281</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'4.  2011-2014 LRAM'!Y527*Y384</f>
        <v>9245.1736083323831</v>
      </c>
      <c r="Z388" s="380">
        <f>'4.  2011-2014 LRAM'!Z527*Z384</f>
        <v>14872.908551039387</v>
      </c>
      <c r="AA388" s="380">
        <f>'4.  2011-2014 LRAM'!AA527*AA384</f>
        <v>2310.2659442327281</v>
      </c>
      <c r="AB388" s="380">
        <f>'4.  2011-2014 LRAM'!AB527*AB384</f>
        <v>0</v>
      </c>
      <c r="AC388" s="380">
        <f>'4.  2011-2014 LRAM'!AC527*AC384</f>
        <v>0</v>
      </c>
      <c r="AD388" s="380">
        <f>'4.  2011-2014 LRAM'!AD527*AD384</f>
        <v>0</v>
      </c>
      <c r="AE388" s="380">
        <f>'4.  2011-2014 LRAM'!AE527*AE384</f>
        <v>0</v>
      </c>
      <c r="AF388" s="380">
        <f>'4.  2011-2014 LRAM'!AF527*AF384</f>
        <v>0</v>
      </c>
      <c r="AG388" s="380">
        <f>'4.  2011-2014 LRAM'!AG527*AG384</f>
        <v>0</v>
      </c>
      <c r="AH388" s="380">
        <f>'4.  2011-2014 LRAM'!AH527*AH384</f>
        <v>0</v>
      </c>
      <c r="AI388" s="380">
        <f>'4.  2011-2014 LRAM'!AI527*AI384</f>
        <v>0</v>
      </c>
      <c r="AJ388" s="380">
        <f>'4.  2011-2014 LRAM'!AJ527*AJ384</f>
        <v>0</v>
      </c>
      <c r="AK388" s="380">
        <f>'4.  2011-2014 LRAM'!AK527*AK384</f>
        <v>0</v>
      </c>
      <c r="AL388" s="380">
        <f>'4.  2011-2014 LRAM'!AL527*AL384</f>
        <v>0</v>
      </c>
      <c r="AM388" s="629">
        <f t="shared" si="1124"/>
        <v>26428.348103604498</v>
      </c>
    </row>
    <row r="389" spans="2:39">
      <c r="B389" s="326" t="s">
        <v>282</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25">Y208*Y384</f>
        <v>9784.9279296513923</v>
      </c>
      <c r="Z389" s="380">
        <f t="shared" si="1125"/>
        <v>12785.578169867284</v>
      </c>
      <c r="AA389" s="380">
        <f t="shared" si="1125"/>
        <v>2249.5154752037297</v>
      </c>
      <c r="AB389" s="380">
        <f t="shared" si="1125"/>
        <v>0</v>
      </c>
      <c r="AC389" s="380">
        <f t="shared" si="1125"/>
        <v>0</v>
      </c>
      <c r="AD389" s="380">
        <f t="shared" si="1125"/>
        <v>0</v>
      </c>
      <c r="AE389" s="380">
        <f t="shared" si="1125"/>
        <v>0</v>
      </c>
      <c r="AF389" s="380">
        <f t="shared" si="1125"/>
        <v>0</v>
      </c>
      <c r="AG389" s="380">
        <f t="shared" si="1125"/>
        <v>0</v>
      </c>
      <c r="AH389" s="380">
        <f t="shared" si="1125"/>
        <v>0</v>
      </c>
      <c r="AI389" s="380">
        <f t="shared" si="1125"/>
        <v>0</v>
      </c>
      <c r="AJ389" s="380">
        <f t="shared" si="1125"/>
        <v>0</v>
      </c>
      <c r="AK389" s="380">
        <f t="shared" si="1125"/>
        <v>0</v>
      </c>
      <c r="AL389" s="380">
        <f t="shared" si="1125"/>
        <v>0</v>
      </c>
      <c r="AM389" s="629">
        <f t="shared" si="1124"/>
        <v>24820.021574722407</v>
      </c>
    </row>
    <row r="390" spans="2:39">
      <c r="B390" s="326" t="s">
        <v>291</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Y381*Y384</f>
        <v>31169.291766827489</v>
      </c>
      <c r="Z390" s="380">
        <f t="shared" ref="Z390:AL390" si="1126">Z381*Z384</f>
        <v>6914.3979196165301</v>
      </c>
      <c r="AA390" s="380">
        <f t="shared" si="1126"/>
        <v>3013.716432066316</v>
      </c>
      <c r="AB390" s="380">
        <f t="shared" si="1126"/>
        <v>0</v>
      </c>
      <c r="AC390" s="380">
        <f t="shared" si="1126"/>
        <v>0</v>
      </c>
      <c r="AD390" s="380">
        <f t="shared" si="1126"/>
        <v>0</v>
      </c>
      <c r="AE390" s="380">
        <f t="shared" si="1126"/>
        <v>0</v>
      </c>
      <c r="AF390" s="380">
        <f t="shared" si="1126"/>
        <v>0</v>
      </c>
      <c r="AG390" s="380">
        <f t="shared" si="1126"/>
        <v>0</v>
      </c>
      <c r="AH390" s="380">
        <f t="shared" si="1126"/>
        <v>0</v>
      </c>
      <c r="AI390" s="380">
        <f t="shared" si="1126"/>
        <v>0</v>
      </c>
      <c r="AJ390" s="380">
        <f t="shared" si="1126"/>
        <v>0</v>
      </c>
      <c r="AK390" s="380">
        <f t="shared" si="1126"/>
        <v>0</v>
      </c>
      <c r="AL390" s="380">
        <f t="shared" si="1126"/>
        <v>0</v>
      </c>
      <c r="AM390" s="629">
        <f t="shared" si="1124"/>
        <v>41097.406118510335</v>
      </c>
    </row>
    <row r="391" spans="2:39" ht="15.75">
      <c r="B391" s="351" t="s">
        <v>283</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SUM(Y385:Y390)</f>
        <v>58866.848747204342</v>
      </c>
      <c r="Z391" s="348">
        <f t="shared" ref="Z391:AE391" si="1127">SUM(Z385:Z390)</f>
        <v>70506.607678008761</v>
      </c>
      <c r="AA391" s="348">
        <f t="shared" si="1127"/>
        <v>11604.187427368668</v>
      </c>
      <c r="AB391" s="348">
        <f t="shared" si="1127"/>
        <v>0</v>
      </c>
      <c r="AC391" s="348">
        <f t="shared" si="1127"/>
        <v>0</v>
      </c>
      <c r="AD391" s="348">
        <f t="shared" si="1127"/>
        <v>0</v>
      </c>
      <c r="AE391" s="348">
        <f t="shared" si="1127"/>
        <v>0</v>
      </c>
      <c r="AF391" s="348">
        <f>SUM(AF385:AF390)</f>
        <v>0</v>
      </c>
      <c r="AG391" s="348">
        <f t="shared" ref="AG391:AL391" si="1128">SUM(AG385:AG390)</f>
        <v>0</v>
      </c>
      <c r="AH391" s="348">
        <f t="shared" si="1128"/>
        <v>0</v>
      </c>
      <c r="AI391" s="348">
        <f t="shared" si="1128"/>
        <v>0</v>
      </c>
      <c r="AJ391" s="348">
        <f t="shared" si="1128"/>
        <v>0</v>
      </c>
      <c r="AK391" s="348">
        <f t="shared" si="1128"/>
        <v>0</v>
      </c>
      <c r="AL391" s="348">
        <f t="shared" si="1128"/>
        <v>0</v>
      </c>
      <c r="AM391" s="409">
        <f>SUM(AM385:AM390)</f>
        <v>140977.64385258179</v>
      </c>
    </row>
    <row r="392" spans="2:39" ht="15.75">
      <c r="B392" s="351" t="s">
        <v>284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Y382*Y384</f>
        <v>22730.550699999996</v>
      </c>
      <c r="Z392" s="349">
        <f t="shared" ref="Z392:AE392" si="1129">Z382*Z384</f>
        <v>7440.2645000000002</v>
      </c>
      <c r="AA392" s="349">
        <f t="shared" si="1129"/>
        <v>34367.022600000004</v>
      </c>
      <c r="AB392" s="349">
        <f t="shared" si="1129"/>
        <v>2955.0135999999998</v>
      </c>
      <c r="AC392" s="349">
        <f t="shared" si="1129"/>
        <v>55.2712</v>
      </c>
      <c r="AD392" s="349">
        <f t="shared" si="1129"/>
        <v>0</v>
      </c>
      <c r="AE392" s="349">
        <f t="shared" si="1129"/>
        <v>0</v>
      </c>
      <c r="AF392" s="349">
        <f>AF382*AF384</f>
        <v>0</v>
      </c>
      <c r="AG392" s="349">
        <f t="shared" ref="AG392:AL392" si="1130">AG382*AG384</f>
        <v>0</v>
      </c>
      <c r="AH392" s="349">
        <f t="shared" si="1130"/>
        <v>0</v>
      </c>
      <c r="AI392" s="349">
        <f t="shared" si="1130"/>
        <v>0</v>
      </c>
      <c r="AJ392" s="349">
        <f t="shared" si="1130"/>
        <v>0</v>
      </c>
      <c r="AK392" s="349">
        <f t="shared" si="1130"/>
        <v>0</v>
      </c>
      <c r="AL392" s="349">
        <f t="shared" si="1130"/>
        <v>0</v>
      </c>
      <c r="AM392" s="409">
        <f>SUM(Y392:AL392)</f>
        <v>67548.122600000002</v>
      </c>
    </row>
    <row r="393" spans="2:39" ht="15.75">
      <c r="B393" s="351" t="s">
        <v>285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53"/>
      <c r="Z393" s="353"/>
      <c r="AA393" s="353"/>
      <c r="AB393" s="353"/>
      <c r="AC393" s="353"/>
      <c r="AD393" s="353"/>
      <c r="AE393" s="353"/>
      <c r="AF393" s="353"/>
      <c r="AG393" s="353"/>
      <c r="AH393" s="353"/>
      <c r="AI393" s="353"/>
      <c r="AJ393" s="353"/>
      <c r="AK393" s="353"/>
      <c r="AL393" s="353"/>
      <c r="AM393" s="409">
        <f>AM391-AM392</f>
        <v>73429.521252581791</v>
      </c>
    </row>
    <row r="394" spans="2:39">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354"/>
      <c r="Z394" s="354"/>
      <c r="AA394" s="354"/>
      <c r="AB394" s="354"/>
      <c r="AC394" s="354"/>
      <c r="AD394" s="354"/>
      <c r="AE394" s="354"/>
      <c r="AF394" s="354"/>
      <c r="AG394" s="354"/>
      <c r="AH394" s="354"/>
      <c r="AI394" s="354"/>
      <c r="AJ394" s="354"/>
      <c r="AK394" s="354"/>
      <c r="AL394" s="354"/>
      <c r="AM394" s="350"/>
    </row>
    <row r="395" spans="2:39">
      <c r="B395" s="441" t="s">
        <v>286</v>
      </c>
      <c r="C395" s="306"/>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SUMPRODUCT(E221:E379,Y221:Y379)</f>
        <v>1527194.790936538</v>
      </c>
      <c r="Z395" s="293">
        <f>SUMPRODUCT(E221:E379,Z221:Z379)</f>
        <v>504299.53375670407</v>
      </c>
      <c r="AA395" s="293">
        <f t="shared" ref="AA395:AL395" si="1131">IF(AA219="kw",SUMPRODUCT($N$221:$N$379,$P$221:$P$379,AA221:AA379),SUMPRODUCT($E$221:$E$379,AA221:AA379))</f>
        <v>935.76241447752454</v>
      </c>
      <c r="AB395" s="293">
        <f t="shared" si="1131"/>
        <v>0</v>
      </c>
      <c r="AC395" s="293">
        <f t="shared" si="1131"/>
        <v>0</v>
      </c>
      <c r="AD395" s="293">
        <f t="shared" si="1131"/>
        <v>0</v>
      </c>
      <c r="AE395" s="293">
        <f t="shared" si="1131"/>
        <v>0</v>
      </c>
      <c r="AF395" s="293">
        <f t="shared" si="1131"/>
        <v>0</v>
      </c>
      <c r="AG395" s="293">
        <f t="shared" si="1131"/>
        <v>0</v>
      </c>
      <c r="AH395" s="293">
        <f t="shared" si="1131"/>
        <v>0</v>
      </c>
      <c r="AI395" s="293">
        <f t="shared" si="1131"/>
        <v>0</v>
      </c>
      <c r="AJ395" s="293">
        <f t="shared" si="1131"/>
        <v>0</v>
      </c>
      <c r="AK395" s="293">
        <f t="shared" si="1131"/>
        <v>0</v>
      </c>
      <c r="AL395" s="293">
        <f t="shared" si="1131"/>
        <v>0</v>
      </c>
      <c r="AM395" s="350"/>
    </row>
    <row r="396" spans="2:39">
      <c r="B396" s="441" t="s">
        <v>287</v>
      </c>
      <c r="C396" s="306"/>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SUMPRODUCT(F221:F379,Y221:Y379)</f>
        <v>1527194.790936538</v>
      </c>
      <c r="Z396" s="293">
        <f>SUMPRODUCT(F221:F379,Z221:Z379)</f>
        <v>504299.53375670407</v>
      </c>
      <c r="AA396" s="293">
        <f t="shared" ref="AA396:AL396" si="1132">IF(AA219="kw",SUMPRODUCT($N$221:$N$379,$Q$221:$Q$379,AA221:AA379),SUMPRODUCT($F$221:$F$379,AA221:AA379))</f>
        <v>935.76241447752454</v>
      </c>
      <c r="AB396" s="293">
        <f t="shared" si="1132"/>
        <v>0</v>
      </c>
      <c r="AC396" s="293">
        <f t="shared" si="1132"/>
        <v>0</v>
      </c>
      <c r="AD396" s="293">
        <f t="shared" si="1132"/>
        <v>0</v>
      </c>
      <c r="AE396" s="293">
        <f t="shared" si="1132"/>
        <v>0</v>
      </c>
      <c r="AF396" s="293">
        <f t="shared" si="1132"/>
        <v>0</v>
      </c>
      <c r="AG396" s="293">
        <f t="shared" si="1132"/>
        <v>0</v>
      </c>
      <c r="AH396" s="293">
        <f t="shared" si="1132"/>
        <v>0</v>
      </c>
      <c r="AI396" s="293">
        <f t="shared" si="1132"/>
        <v>0</v>
      </c>
      <c r="AJ396" s="293">
        <f t="shared" si="1132"/>
        <v>0</v>
      </c>
      <c r="AK396" s="293">
        <f t="shared" si="1132"/>
        <v>0</v>
      </c>
      <c r="AL396" s="293">
        <f t="shared" si="1132"/>
        <v>0</v>
      </c>
      <c r="AM396" s="339"/>
    </row>
    <row r="397" spans="2:39">
      <c r="B397" s="441" t="s">
        <v>288</v>
      </c>
      <c r="C397" s="306"/>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SUMPRODUCT(G221:G379,Y221:Y379)</f>
        <v>1527194.790936538</v>
      </c>
      <c r="Z397" s="293">
        <f>SUMPRODUCT(G221:G379,Z221:Z379)</f>
        <v>483103.04217275861</v>
      </c>
      <c r="AA397" s="293">
        <f t="shared" ref="AA397:AL397" si="1133">IF(AA219="kw",SUMPRODUCT($N$221:$N$379,$R$221:$R$379,AA221:AA379),SUMPRODUCT($G$221:$G$379,AA221:AA379))</f>
        <v>935.76241447752454</v>
      </c>
      <c r="AB397" s="293">
        <f t="shared" si="1133"/>
        <v>0</v>
      </c>
      <c r="AC397" s="293">
        <f t="shared" si="1133"/>
        <v>0</v>
      </c>
      <c r="AD397" s="293">
        <f t="shared" si="1133"/>
        <v>0</v>
      </c>
      <c r="AE397" s="293">
        <f t="shared" si="1133"/>
        <v>0</v>
      </c>
      <c r="AF397" s="293">
        <f t="shared" si="1133"/>
        <v>0</v>
      </c>
      <c r="AG397" s="293">
        <f t="shared" si="1133"/>
        <v>0</v>
      </c>
      <c r="AH397" s="293">
        <f t="shared" si="1133"/>
        <v>0</v>
      </c>
      <c r="AI397" s="293">
        <f t="shared" si="1133"/>
        <v>0</v>
      </c>
      <c r="AJ397" s="293">
        <f t="shared" si="1133"/>
        <v>0</v>
      </c>
      <c r="AK397" s="293">
        <f t="shared" si="1133"/>
        <v>0</v>
      </c>
      <c r="AL397" s="293">
        <f t="shared" si="1133"/>
        <v>0</v>
      </c>
      <c r="AM397" s="339"/>
    </row>
    <row r="398" spans="2:39">
      <c r="B398" s="442" t="s">
        <v>289</v>
      </c>
      <c r="C398" s="366"/>
      <c r="D398" s="386"/>
      <c r="E398" s="386"/>
      <c r="F398" s="386"/>
      <c r="G398" s="386"/>
      <c r="H398" s="386"/>
      <c r="I398" s="386"/>
      <c r="J398" s="386"/>
      <c r="K398" s="386"/>
      <c r="L398" s="386"/>
      <c r="M398" s="386"/>
      <c r="N398" s="386"/>
      <c r="O398" s="385"/>
      <c r="P398" s="386"/>
      <c r="Q398" s="386"/>
      <c r="R398" s="386"/>
      <c r="S398" s="366"/>
      <c r="T398" s="387"/>
      <c r="U398" s="387"/>
      <c r="V398" s="386"/>
      <c r="W398" s="386"/>
      <c r="X398" s="387"/>
      <c r="Y398" s="328">
        <f>SUMPRODUCT(H221:H379,Y221:Y379)</f>
        <v>1527194.790936538</v>
      </c>
      <c r="Z398" s="328">
        <f>SUMPRODUCT(H221:H379,Z221:Z379)</f>
        <v>467573.62555873307</v>
      </c>
      <c r="AA398" s="328">
        <f t="shared" ref="AA398:AL398" si="1134">IF(AA219="kw",SUMPRODUCT($N$221:$N$379,$S$221:$S$379,AA221:AA379),SUMPRODUCT($H$221:$H$379,AA221:AA379))</f>
        <v>935.76241447752454</v>
      </c>
      <c r="AB398" s="328">
        <f t="shared" si="1134"/>
        <v>0</v>
      </c>
      <c r="AC398" s="328">
        <f t="shared" si="1134"/>
        <v>0</v>
      </c>
      <c r="AD398" s="328">
        <f t="shared" si="1134"/>
        <v>0</v>
      </c>
      <c r="AE398" s="328">
        <f t="shared" si="1134"/>
        <v>0</v>
      </c>
      <c r="AF398" s="328">
        <f t="shared" si="1134"/>
        <v>0</v>
      </c>
      <c r="AG398" s="328">
        <f t="shared" si="1134"/>
        <v>0</v>
      </c>
      <c r="AH398" s="328">
        <f t="shared" si="1134"/>
        <v>0</v>
      </c>
      <c r="AI398" s="328">
        <f t="shared" si="1134"/>
        <v>0</v>
      </c>
      <c r="AJ398" s="328">
        <f t="shared" si="1134"/>
        <v>0</v>
      </c>
      <c r="AK398" s="328">
        <f t="shared" si="1134"/>
        <v>0</v>
      </c>
      <c r="AL398" s="328">
        <f t="shared" si="1134"/>
        <v>0</v>
      </c>
      <c r="AM398" s="388"/>
    </row>
    <row r="399" spans="2:39" ht="21" customHeight="1">
      <c r="B399" s="370" t="s">
        <v>592</v>
      </c>
      <c r="C399" s="389"/>
      <c r="D399" s="390"/>
      <c r="E399" s="390"/>
      <c r="F399" s="390"/>
      <c r="G399" s="390"/>
      <c r="H399" s="390"/>
      <c r="I399" s="390"/>
      <c r="J399" s="390"/>
      <c r="K399" s="390"/>
      <c r="L399" s="390"/>
      <c r="M399" s="390"/>
      <c r="N399" s="390"/>
      <c r="O399" s="390"/>
      <c r="P399" s="390"/>
      <c r="Q399" s="390"/>
      <c r="R399" s="390"/>
      <c r="S399" s="373"/>
      <c r="T399" s="374"/>
      <c r="U399" s="390"/>
      <c r="V399" s="390"/>
      <c r="W399" s="390"/>
      <c r="X399" s="390"/>
      <c r="Y399" s="411"/>
      <c r="Z399" s="411"/>
      <c r="AA399" s="411"/>
      <c r="AB399" s="411"/>
      <c r="AC399" s="411"/>
      <c r="AD399" s="411"/>
      <c r="AE399" s="411"/>
      <c r="AF399" s="411"/>
      <c r="AG399" s="411"/>
      <c r="AH399" s="411"/>
      <c r="AI399" s="411"/>
      <c r="AJ399" s="411"/>
      <c r="AK399" s="411"/>
      <c r="AL399" s="411"/>
      <c r="AM399" s="391"/>
    </row>
    <row r="402" spans="1:39" ht="15.75">
      <c r="B402" s="282" t="s">
        <v>292</v>
      </c>
      <c r="C402" s="283"/>
      <c r="D402" s="590" t="s">
        <v>528</v>
      </c>
      <c r="E402" s="255"/>
      <c r="F402" s="592"/>
      <c r="G402" s="255"/>
      <c r="H402" s="255"/>
      <c r="I402" s="255"/>
      <c r="J402" s="255"/>
      <c r="K402" s="255"/>
      <c r="L402" s="255"/>
      <c r="M402" s="255"/>
      <c r="N402" s="255"/>
      <c r="O402" s="283"/>
      <c r="P402" s="255"/>
      <c r="Q402" s="255"/>
      <c r="R402" s="255"/>
      <c r="S402" s="255"/>
      <c r="T402" s="255"/>
      <c r="U402" s="255"/>
      <c r="V402" s="255"/>
      <c r="W402" s="255"/>
      <c r="X402" s="255"/>
      <c r="Y402" s="272"/>
      <c r="Z402" s="269"/>
      <c r="AA402" s="269"/>
      <c r="AB402" s="269"/>
      <c r="AC402" s="269"/>
      <c r="AD402" s="269"/>
      <c r="AE402" s="269"/>
      <c r="AF402" s="269"/>
      <c r="AG402" s="269"/>
      <c r="AH402" s="269"/>
      <c r="AI402" s="269"/>
      <c r="AJ402" s="269"/>
      <c r="AK402" s="269"/>
      <c r="AL402" s="269"/>
      <c r="AM402" s="284"/>
    </row>
    <row r="403" spans="1:39" ht="33.75" customHeight="1">
      <c r="B403" s="870" t="s">
        <v>212</v>
      </c>
      <c r="C403" s="872" t="s">
        <v>33</v>
      </c>
      <c r="D403" s="286" t="s">
        <v>424</v>
      </c>
      <c r="E403" s="874" t="s">
        <v>210</v>
      </c>
      <c r="F403" s="875"/>
      <c r="G403" s="875"/>
      <c r="H403" s="875"/>
      <c r="I403" s="875"/>
      <c r="J403" s="875"/>
      <c r="K403" s="875"/>
      <c r="L403" s="875"/>
      <c r="M403" s="876"/>
      <c r="N403" s="880" t="s">
        <v>214</v>
      </c>
      <c r="O403" s="286" t="s">
        <v>425</v>
      </c>
      <c r="P403" s="874" t="s">
        <v>213</v>
      </c>
      <c r="Q403" s="875"/>
      <c r="R403" s="875"/>
      <c r="S403" s="875"/>
      <c r="T403" s="875"/>
      <c r="U403" s="875"/>
      <c r="V403" s="875"/>
      <c r="W403" s="875"/>
      <c r="X403" s="876"/>
      <c r="Y403" s="877" t="s">
        <v>244</v>
      </c>
      <c r="Z403" s="878"/>
      <c r="AA403" s="878"/>
      <c r="AB403" s="878"/>
      <c r="AC403" s="878"/>
      <c r="AD403" s="878"/>
      <c r="AE403" s="878"/>
      <c r="AF403" s="878"/>
      <c r="AG403" s="878"/>
      <c r="AH403" s="878"/>
      <c r="AI403" s="878"/>
      <c r="AJ403" s="878"/>
      <c r="AK403" s="878"/>
      <c r="AL403" s="878"/>
      <c r="AM403" s="879"/>
    </row>
    <row r="404" spans="1:39" ht="61.5" customHeight="1">
      <c r="B404" s="871"/>
      <c r="C404" s="873"/>
      <c r="D404" s="287">
        <v>2017</v>
      </c>
      <c r="E404" s="287">
        <v>2018</v>
      </c>
      <c r="F404" s="287">
        <v>2019</v>
      </c>
      <c r="G404" s="287">
        <v>2020</v>
      </c>
      <c r="H404" s="287">
        <v>2021</v>
      </c>
      <c r="I404" s="287">
        <v>2022</v>
      </c>
      <c r="J404" s="287">
        <v>2023</v>
      </c>
      <c r="K404" s="287">
        <v>2024</v>
      </c>
      <c r="L404" s="287">
        <v>2025</v>
      </c>
      <c r="M404" s="287">
        <v>2026</v>
      </c>
      <c r="N404" s="881"/>
      <c r="O404" s="287">
        <v>2017</v>
      </c>
      <c r="P404" s="287">
        <v>2018</v>
      </c>
      <c r="Q404" s="287">
        <v>2019</v>
      </c>
      <c r="R404" s="287">
        <v>2020</v>
      </c>
      <c r="S404" s="287">
        <v>2021</v>
      </c>
      <c r="T404" s="287">
        <v>2022</v>
      </c>
      <c r="U404" s="287">
        <v>2023</v>
      </c>
      <c r="V404" s="287">
        <v>2024</v>
      </c>
      <c r="W404" s="287">
        <v>2025</v>
      </c>
      <c r="X404" s="287">
        <v>2026</v>
      </c>
      <c r="Y404" s="287" t="str">
        <f>'1.  LRAMVA Summary'!D50</f>
        <v>Residential</v>
      </c>
      <c r="Z404" s="287" t="str">
        <f>'1.  LRAMVA Summary'!E50</f>
        <v>GS&lt;50 kW</v>
      </c>
      <c r="AA404" s="287" t="str">
        <f>'1.  LRAMVA Summary'!F50</f>
        <v>GS&gt;50 kW</v>
      </c>
      <c r="AB404" s="287" t="str">
        <f>'1.  LRAMVA Summary'!G50</f>
        <v>Streetlights</v>
      </c>
      <c r="AC404" s="287" t="str">
        <f>'1.  LRAMVA Summary'!H50</f>
        <v>Unmetered Scattered Load</v>
      </c>
      <c r="AD404" s="287" t="str">
        <f>'1.  LRAMVA Summary'!I50</f>
        <v/>
      </c>
      <c r="AE404" s="287" t="str">
        <f>'1.  LRAMVA Summary'!J50</f>
        <v/>
      </c>
      <c r="AF404" s="287" t="str">
        <f>'1.  LRAMVA Summary'!K50</f>
        <v/>
      </c>
      <c r="AG404" s="287" t="str">
        <f>'1.  LRAMVA Summary'!L50</f>
        <v/>
      </c>
      <c r="AH404" s="287" t="str">
        <f>'1.  LRAMVA Summary'!M50</f>
        <v/>
      </c>
      <c r="AI404" s="287" t="str">
        <f>'1.  LRAMVA Summary'!N50</f>
        <v/>
      </c>
      <c r="AJ404" s="287" t="str">
        <f>'1.  LRAMVA Summary'!O50</f>
        <v/>
      </c>
      <c r="AK404" s="287" t="str">
        <f>'1.  LRAMVA Summary'!P50</f>
        <v/>
      </c>
      <c r="AL404" s="287" t="str">
        <f>'1.  LRAMVA Summary'!Q50</f>
        <v/>
      </c>
      <c r="AM404" s="289" t="str">
        <f>'1.  LRAMVA Summary'!R50</f>
        <v>Total</v>
      </c>
    </row>
    <row r="405" spans="1:39" ht="15.75" customHeight="1">
      <c r="A405" s="532"/>
      <c r="B405" s="524" t="s">
        <v>506</v>
      </c>
      <c r="C405" s="291"/>
      <c r="D405" s="291"/>
      <c r="E405" s="291"/>
      <c r="F405" s="291"/>
      <c r="G405" s="291"/>
      <c r="H405" s="291"/>
      <c r="I405" s="291"/>
      <c r="J405" s="291"/>
      <c r="K405" s="291"/>
      <c r="L405" s="291"/>
      <c r="M405" s="291"/>
      <c r="N405" s="292"/>
      <c r="O405" s="291"/>
      <c r="P405" s="291"/>
      <c r="Q405" s="291"/>
      <c r="R405" s="291"/>
      <c r="S405" s="291"/>
      <c r="T405" s="291"/>
      <c r="U405" s="291"/>
      <c r="V405" s="291"/>
      <c r="W405" s="291"/>
      <c r="X405" s="291"/>
      <c r="Y405" s="293" t="str">
        <f>'1.  LRAMVA Summary'!D51</f>
        <v>kWh</v>
      </c>
      <c r="Z405" s="293" t="str">
        <f>'1.  LRAMVA Summary'!E51</f>
        <v>kWh</v>
      </c>
      <c r="AA405" s="293" t="str">
        <f>'1.  LRAMVA Summary'!F51</f>
        <v>kW</v>
      </c>
      <c r="AB405" s="293" t="str">
        <f>'1.  LRAMVA Summary'!G51</f>
        <v>kW</v>
      </c>
      <c r="AC405" s="293" t="str">
        <f>'1.  LRAMVA Summary'!H51</f>
        <v>KWh</v>
      </c>
      <c r="AD405" s="293">
        <f>'1.  LRAMVA Summary'!I51</f>
        <v>0</v>
      </c>
      <c r="AE405" s="293">
        <f>'1.  LRAMVA Summary'!J51</f>
        <v>0</v>
      </c>
      <c r="AF405" s="293">
        <f>'1.  LRAMVA Summary'!K51</f>
        <v>0</v>
      </c>
      <c r="AG405" s="293">
        <f>'1.  LRAMVA Summary'!L51</f>
        <v>0</v>
      </c>
      <c r="AH405" s="293">
        <f>'1.  LRAMVA Summary'!M51</f>
        <v>0</v>
      </c>
      <c r="AI405" s="293">
        <f>'1.  LRAMVA Summary'!N51</f>
        <v>0</v>
      </c>
      <c r="AJ405" s="293">
        <f>'1.  LRAMVA Summary'!O51</f>
        <v>0</v>
      </c>
      <c r="AK405" s="293">
        <f>'1.  LRAMVA Summary'!P51</f>
        <v>0</v>
      </c>
      <c r="AL405" s="293">
        <f>'1.  LRAMVA Summary'!Q51</f>
        <v>0</v>
      </c>
      <c r="AM405" s="294"/>
    </row>
    <row r="406" spans="1:39" ht="15.75" hidden="1" outlineLevel="1">
      <c r="A406" s="532"/>
      <c r="B406" s="504" t="s">
        <v>499</v>
      </c>
      <c r="C406" s="291"/>
      <c r="D406" s="291"/>
      <c r="E406" s="291"/>
      <c r="F406" s="291"/>
      <c r="G406" s="291"/>
      <c r="H406" s="291"/>
      <c r="I406" s="291"/>
      <c r="J406" s="291"/>
      <c r="K406" s="291"/>
      <c r="L406" s="291"/>
      <c r="M406" s="291"/>
      <c r="N406" s="292"/>
      <c r="O406" s="291"/>
      <c r="P406" s="291"/>
      <c r="Q406" s="291"/>
      <c r="R406" s="291"/>
      <c r="S406" s="291"/>
      <c r="T406" s="291"/>
      <c r="U406" s="291"/>
      <c r="V406" s="291"/>
      <c r="W406" s="291"/>
      <c r="X406" s="291"/>
      <c r="Y406" s="293"/>
      <c r="Z406" s="293"/>
      <c r="AA406" s="293"/>
      <c r="AB406" s="293"/>
      <c r="AC406" s="293"/>
      <c r="AD406" s="293"/>
      <c r="AE406" s="293"/>
      <c r="AF406" s="293"/>
      <c r="AG406" s="293"/>
      <c r="AH406" s="293"/>
      <c r="AI406" s="293"/>
      <c r="AJ406" s="293"/>
      <c r="AK406" s="293"/>
      <c r="AL406" s="293"/>
      <c r="AM406" s="294"/>
    </row>
    <row r="407" spans="1:39" hidden="1" outlineLevel="1">
      <c r="A407" s="532">
        <v>1</v>
      </c>
      <c r="B407" s="430" t="s">
        <v>95</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2"/>
      <c r="B408" s="433" t="s">
        <v>309</v>
      </c>
      <c r="C408" s="293" t="s">
        <v>164</v>
      </c>
      <c r="D408" s="297"/>
      <c r="E408" s="297"/>
      <c r="F408" s="297"/>
      <c r="G408" s="297"/>
      <c r="H408" s="297"/>
      <c r="I408" s="297"/>
      <c r="J408" s="297"/>
      <c r="K408" s="297"/>
      <c r="L408" s="297"/>
      <c r="M408" s="297"/>
      <c r="N408" s="469"/>
      <c r="O408" s="297"/>
      <c r="P408" s="297"/>
      <c r="Q408" s="297"/>
      <c r="R408" s="297"/>
      <c r="S408" s="297"/>
      <c r="T408" s="297"/>
      <c r="U408" s="297"/>
      <c r="V408" s="297"/>
      <c r="W408" s="297"/>
      <c r="X408" s="297"/>
      <c r="Y408" s="413">
        <f>Y407</f>
        <v>0</v>
      </c>
      <c r="Z408" s="413">
        <f t="shared" ref="Z408" si="1135">Z407</f>
        <v>0</v>
      </c>
      <c r="AA408" s="413">
        <f t="shared" ref="AA408" si="1136">AA407</f>
        <v>0</v>
      </c>
      <c r="AB408" s="413">
        <f t="shared" ref="AB408" si="1137">AB407</f>
        <v>0</v>
      </c>
      <c r="AC408" s="413">
        <f t="shared" ref="AC408" si="1138">AC407</f>
        <v>0</v>
      </c>
      <c r="AD408" s="413">
        <f t="shared" ref="AD408" si="1139">AD407</f>
        <v>0</v>
      </c>
      <c r="AE408" s="413">
        <f t="shared" ref="AE408" si="1140">AE407</f>
        <v>0</v>
      </c>
      <c r="AF408" s="413">
        <f t="shared" ref="AF408" si="1141">AF407</f>
        <v>0</v>
      </c>
      <c r="AG408" s="413">
        <f t="shared" ref="AG408" si="1142">AG407</f>
        <v>0</v>
      </c>
      <c r="AH408" s="413">
        <f t="shared" ref="AH408" si="1143">AH407</f>
        <v>0</v>
      </c>
      <c r="AI408" s="413">
        <f t="shared" ref="AI408" si="1144">AI407</f>
        <v>0</v>
      </c>
      <c r="AJ408" s="413">
        <f t="shared" ref="AJ408" si="1145">AJ407</f>
        <v>0</v>
      </c>
      <c r="AK408" s="413">
        <f t="shared" ref="AK408" si="1146">AK407</f>
        <v>0</v>
      </c>
      <c r="AL408" s="413">
        <f t="shared" ref="AL408" si="1147">AL407</f>
        <v>0</v>
      </c>
      <c r="AM408" s="299"/>
    </row>
    <row r="409" spans="1:39" ht="15.75" hidden="1" outlineLevel="1">
      <c r="A409" s="532"/>
      <c r="B409" s="525"/>
      <c r="C409" s="301"/>
      <c r="D409" s="301"/>
      <c r="E409" s="301"/>
      <c r="F409" s="301"/>
      <c r="G409" s="301"/>
      <c r="H409" s="301"/>
      <c r="I409" s="301"/>
      <c r="J409" s="301"/>
      <c r="K409" s="301"/>
      <c r="L409" s="301"/>
      <c r="M409" s="301"/>
      <c r="N409" s="302"/>
      <c r="O409" s="301"/>
      <c r="P409" s="301"/>
      <c r="Q409" s="301"/>
      <c r="R409" s="301"/>
      <c r="S409" s="301"/>
      <c r="T409" s="301"/>
      <c r="U409" s="301"/>
      <c r="V409" s="301"/>
      <c r="W409" s="301"/>
      <c r="X409" s="301"/>
      <c r="Y409" s="414"/>
      <c r="Z409" s="415"/>
      <c r="AA409" s="415"/>
      <c r="AB409" s="415"/>
      <c r="AC409" s="415"/>
      <c r="AD409" s="415"/>
      <c r="AE409" s="415"/>
      <c r="AF409" s="415"/>
      <c r="AG409" s="415"/>
      <c r="AH409" s="415"/>
      <c r="AI409" s="415"/>
      <c r="AJ409" s="415"/>
      <c r="AK409" s="415"/>
      <c r="AL409" s="415"/>
      <c r="AM409" s="304"/>
    </row>
    <row r="410" spans="1:39" hidden="1" outlineLevel="1">
      <c r="A410" s="532">
        <v>2</v>
      </c>
      <c r="B410" s="430" t="s">
        <v>96</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2"/>
      <c r="B411" s="433" t="s">
        <v>309</v>
      </c>
      <c r="C411" s="293" t="s">
        <v>164</v>
      </c>
      <c r="D411" s="297"/>
      <c r="E411" s="297"/>
      <c r="F411" s="297"/>
      <c r="G411" s="297"/>
      <c r="H411" s="297"/>
      <c r="I411" s="297"/>
      <c r="J411" s="297"/>
      <c r="K411" s="297"/>
      <c r="L411" s="297"/>
      <c r="M411" s="297"/>
      <c r="N411" s="469"/>
      <c r="O411" s="297"/>
      <c r="P411" s="297"/>
      <c r="Q411" s="297"/>
      <c r="R411" s="297"/>
      <c r="S411" s="297"/>
      <c r="T411" s="297"/>
      <c r="U411" s="297"/>
      <c r="V411" s="297"/>
      <c r="W411" s="297"/>
      <c r="X411" s="297"/>
      <c r="Y411" s="413">
        <f>Y410</f>
        <v>0</v>
      </c>
      <c r="Z411" s="413">
        <f t="shared" ref="Z411" si="1148">Z410</f>
        <v>0</v>
      </c>
      <c r="AA411" s="413">
        <f t="shared" ref="AA411" si="1149">AA410</f>
        <v>0</v>
      </c>
      <c r="AB411" s="413">
        <f t="shared" ref="AB411" si="1150">AB410</f>
        <v>0</v>
      </c>
      <c r="AC411" s="413">
        <f t="shared" ref="AC411" si="1151">AC410</f>
        <v>0</v>
      </c>
      <c r="AD411" s="413">
        <f t="shared" ref="AD411" si="1152">AD410</f>
        <v>0</v>
      </c>
      <c r="AE411" s="413">
        <f t="shared" ref="AE411" si="1153">AE410</f>
        <v>0</v>
      </c>
      <c r="AF411" s="413">
        <f t="shared" ref="AF411" si="1154">AF410</f>
        <v>0</v>
      </c>
      <c r="AG411" s="413">
        <f t="shared" ref="AG411" si="1155">AG410</f>
        <v>0</v>
      </c>
      <c r="AH411" s="413">
        <f t="shared" ref="AH411" si="1156">AH410</f>
        <v>0</v>
      </c>
      <c r="AI411" s="413">
        <f t="shared" ref="AI411" si="1157">AI410</f>
        <v>0</v>
      </c>
      <c r="AJ411" s="413">
        <f t="shared" ref="AJ411" si="1158">AJ410</f>
        <v>0</v>
      </c>
      <c r="AK411" s="413">
        <f t="shared" ref="AK411" si="1159">AK410</f>
        <v>0</v>
      </c>
      <c r="AL411" s="413">
        <f t="shared" ref="AL411" si="1160">AL410</f>
        <v>0</v>
      </c>
      <c r="AM411" s="299"/>
    </row>
    <row r="412" spans="1:39" ht="15.75" hidden="1" outlineLevel="1">
      <c r="A412" s="532"/>
      <c r="B412" s="525"/>
      <c r="C412" s="301"/>
      <c r="D412" s="306"/>
      <c r="E412" s="306"/>
      <c r="F412" s="306"/>
      <c r="G412" s="306"/>
      <c r="H412" s="306"/>
      <c r="I412" s="306"/>
      <c r="J412" s="306"/>
      <c r="K412" s="306"/>
      <c r="L412" s="306"/>
      <c r="M412" s="306"/>
      <c r="N412" s="302"/>
      <c r="O412" s="306"/>
      <c r="P412" s="306"/>
      <c r="Q412" s="306"/>
      <c r="R412" s="306"/>
      <c r="S412" s="306"/>
      <c r="T412" s="306"/>
      <c r="U412" s="306"/>
      <c r="V412" s="306"/>
      <c r="W412" s="306"/>
      <c r="X412" s="306"/>
      <c r="Y412" s="414"/>
      <c r="Z412" s="415"/>
      <c r="AA412" s="415"/>
      <c r="AB412" s="415"/>
      <c r="AC412" s="415"/>
      <c r="AD412" s="415"/>
      <c r="AE412" s="415"/>
      <c r="AF412" s="415"/>
      <c r="AG412" s="415"/>
      <c r="AH412" s="415"/>
      <c r="AI412" s="415"/>
      <c r="AJ412" s="415"/>
      <c r="AK412" s="415"/>
      <c r="AL412" s="415"/>
      <c r="AM412" s="304"/>
    </row>
    <row r="413" spans="1:39" hidden="1" outlineLevel="1">
      <c r="A413" s="532">
        <v>3</v>
      </c>
      <c r="B413" s="430" t="s">
        <v>97</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2"/>
      <c r="B414" s="433" t="s">
        <v>309</v>
      </c>
      <c r="C414" s="293" t="s">
        <v>164</v>
      </c>
      <c r="D414" s="297"/>
      <c r="E414" s="297"/>
      <c r="F414" s="297"/>
      <c r="G414" s="297"/>
      <c r="H414" s="297"/>
      <c r="I414" s="297"/>
      <c r="J414" s="297"/>
      <c r="K414" s="297"/>
      <c r="L414" s="297"/>
      <c r="M414" s="297"/>
      <c r="N414" s="469"/>
      <c r="O414" s="297"/>
      <c r="P414" s="297"/>
      <c r="Q414" s="297"/>
      <c r="R414" s="297"/>
      <c r="S414" s="297"/>
      <c r="T414" s="297"/>
      <c r="U414" s="297"/>
      <c r="V414" s="297"/>
      <c r="W414" s="297"/>
      <c r="X414" s="297"/>
      <c r="Y414" s="413">
        <f>Y413</f>
        <v>0</v>
      </c>
      <c r="Z414" s="413">
        <f t="shared" ref="Z414" si="1161">Z413</f>
        <v>0</v>
      </c>
      <c r="AA414" s="413">
        <f t="shared" ref="AA414" si="1162">AA413</f>
        <v>0</v>
      </c>
      <c r="AB414" s="413">
        <f t="shared" ref="AB414" si="1163">AB413</f>
        <v>0</v>
      </c>
      <c r="AC414" s="413">
        <f t="shared" ref="AC414" si="1164">AC413</f>
        <v>0</v>
      </c>
      <c r="AD414" s="413">
        <f t="shared" ref="AD414" si="1165">AD413</f>
        <v>0</v>
      </c>
      <c r="AE414" s="413">
        <f t="shared" ref="AE414" si="1166">AE413</f>
        <v>0</v>
      </c>
      <c r="AF414" s="413">
        <f t="shared" ref="AF414" si="1167">AF413</f>
        <v>0</v>
      </c>
      <c r="AG414" s="413">
        <f t="shared" ref="AG414" si="1168">AG413</f>
        <v>0</v>
      </c>
      <c r="AH414" s="413">
        <f t="shared" ref="AH414" si="1169">AH413</f>
        <v>0</v>
      </c>
      <c r="AI414" s="413">
        <f t="shared" ref="AI414" si="1170">AI413</f>
        <v>0</v>
      </c>
      <c r="AJ414" s="413">
        <f t="shared" ref="AJ414" si="1171">AJ413</f>
        <v>0</v>
      </c>
      <c r="AK414" s="413">
        <f t="shared" ref="AK414" si="1172">AK413</f>
        <v>0</v>
      </c>
      <c r="AL414" s="413">
        <f t="shared" ref="AL414" si="1173">AL413</f>
        <v>0</v>
      </c>
      <c r="AM414" s="299"/>
    </row>
    <row r="415" spans="1:39" hidden="1" outlineLevel="1">
      <c r="A415" s="532"/>
      <c r="B415" s="433"/>
      <c r="C415" s="307"/>
      <c r="D415" s="293"/>
      <c r="E415" s="293"/>
      <c r="F415" s="293"/>
      <c r="G415" s="293"/>
      <c r="H415" s="293"/>
      <c r="I415" s="293"/>
      <c r="J415" s="293"/>
      <c r="K415" s="293"/>
      <c r="L415" s="293"/>
      <c r="M415" s="293"/>
      <c r="N415" s="293"/>
      <c r="O415" s="293"/>
      <c r="P415" s="293"/>
      <c r="Q415" s="293"/>
      <c r="R415" s="293"/>
      <c r="S415" s="293"/>
      <c r="T415" s="293"/>
      <c r="U415" s="293"/>
      <c r="V415" s="293"/>
      <c r="W415" s="293"/>
      <c r="X415" s="293"/>
      <c r="Y415" s="414"/>
      <c r="Z415" s="414"/>
      <c r="AA415" s="414"/>
      <c r="AB415" s="414"/>
      <c r="AC415" s="414"/>
      <c r="AD415" s="414"/>
      <c r="AE415" s="414"/>
      <c r="AF415" s="414"/>
      <c r="AG415" s="414"/>
      <c r="AH415" s="414"/>
      <c r="AI415" s="414"/>
      <c r="AJ415" s="414"/>
      <c r="AK415" s="414"/>
      <c r="AL415" s="414"/>
      <c r="AM415" s="308"/>
    </row>
    <row r="416" spans="1:39" hidden="1" outlineLevel="1">
      <c r="A416" s="532">
        <v>4</v>
      </c>
      <c r="B416" s="430" t="s">
        <v>98</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2"/>
      <c r="B417" s="433" t="s">
        <v>309</v>
      </c>
      <c r="C417" s="293" t="s">
        <v>164</v>
      </c>
      <c r="D417" s="297"/>
      <c r="E417" s="297"/>
      <c r="F417" s="297"/>
      <c r="G417" s="297"/>
      <c r="H417" s="297"/>
      <c r="I417" s="297"/>
      <c r="J417" s="297"/>
      <c r="K417" s="297"/>
      <c r="L417" s="297"/>
      <c r="M417" s="297"/>
      <c r="N417" s="469"/>
      <c r="O417" s="297"/>
      <c r="P417" s="297"/>
      <c r="Q417" s="297"/>
      <c r="R417" s="297"/>
      <c r="S417" s="297"/>
      <c r="T417" s="297"/>
      <c r="U417" s="297"/>
      <c r="V417" s="297"/>
      <c r="W417" s="297"/>
      <c r="X417" s="297"/>
      <c r="Y417" s="413">
        <f>Y416</f>
        <v>0</v>
      </c>
      <c r="Z417" s="413">
        <f t="shared" ref="Z417" si="1174">Z416</f>
        <v>0</v>
      </c>
      <c r="AA417" s="413">
        <f t="shared" ref="AA417" si="1175">AA416</f>
        <v>0</v>
      </c>
      <c r="AB417" s="413">
        <f t="shared" ref="AB417" si="1176">AB416</f>
        <v>0</v>
      </c>
      <c r="AC417" s="413">
        <f t="shared" ref="AC417" si="1177">AC416</f>
        <v>0</v>
      </c>
      <c r="AD417" s="413">
        <f t="shared" ref="AD417" si="1178">AD416</f>
        <v>0</v>
      </c>
      <c r="AE417" s="413">
        <f t="shared" ref="AE417" si="1179">AE416</f>
        <v>0</v>
      </c>
      <c r="AF417" s="413">
        <f t="shared" ref="AF417" si="1180">AF416</f>
        <v>0</v>
      </c>
      <c r="AG417" s="413">
        <f t="shared" ref="AG417" si="1181">AG416</f>
        <v>0</v>
      </c>
      <c r="AH417" s="413">
        <f t="shared" ref="AH417" si="1182">AH416</f>
        <v>0</v>
      </c>
      <c r="AI417" s="413">
        <f t="shared" ref="AI417" si="1183">AI416</f>
        <v>0</v>
      </c>
      <c r="AJ417" s="413">
        <f t="shared" ref="AJ417" si="1184">AJ416</f>
        <v>0</v>
      </c>
      <c r="AK417" s="413">
        <f t="shared" ref="AK417" si="1185">AK416</f>
        <v>0</v>
      </c>
      <c r="AL417" s="413">
        <f t="shared" ref="AL417" si="1186">AL416</f>
        <v>0</v>
      </c>
      <c r="AM417" s="299"/>
    </row>
    <row r="418" spans="1:39" hidden="1" outlineLevel="1">
      <c r="A418" s="532"/>
      <c r="B418" s="433"/>
      <c r="C418" s="307"/>
      <c r="D418" s="306"/>
      <c r="E418" s="306"/>
      <c r="F418" s="306"/>
      <c r="G418" s="306"/>
      <c r="H418" s="306"/>
      <c r="I418" s="306"/>
      <c r="J418" s="306"/>
      <c r="K418" s="306"/>
      <c r="L418" s="306"/>
      <c r="M418" s="306"/>
      <c r="N418" s="293"/>
      <c r="O418" s="306"/>
      <c r="P418" s="306"/>
      <c r="Q418" s="306"/>
      <c r="R418" s="306"/>
      <c r="S418" s="306"/>
      <c r="T418" s="306"/>
      <c r="U418" s="306"/>
      <c r="V418" s="306"/>
      <c r="W418" s="306"/>
      <c r="X418" s="306"/>
      <c r="Y418" s="414"/>
      <c r="Z418" s="414"/>
      <c r="AA418" s="414"/>
      <c r="AB418" s="414"/>
      <c r="AC418" s="414"/>
      <c r="AD418" s="414"/>
      <c r="AE418" s="414"/>
      <c r="AF418" s="414"/>
      <c r="AG418" s="414"/>
      <c r="AH418" s="414"/>
      <c r="AI418" s="414"/>
      <c r="AJ418" s="414"/>
      <c r="AK418" s="414"/>
      <c r="AL418" s="414"/>
      <c r="AM418" s="308"/>
    </row>
    <row r="419" spans="1:39" ht="30" hidden="1" outlineLevel="1">
      <c r="A419" s="532">
        <v>5</v>
      </c>
      <c r="B419" s="430" t="s">
        <v>99</v>
      </c>
      <c r="C419" s="293" t="s">
        <v>25</v>
      </c>
      <c r="D419" s="297"/>
      <c r="E419" s="297"/>
      <c r="F419" s="297"/>
      <c r="G419" s="297"/>
      <c r="H419" s="297"/>
      <c r="I419" s="297"/>
      <c r="J419" s="297"/>
      <c r="K419" s="297"/>
      <c r="L419" s="297"/>
      <c r="M419" s="297"/>
      <c r="N419" s="293"/>
      <c r="O419" s="297"/>
      <c r="P419" s="297"/>
      <c r="Q419" s="297"/>
      <c r="R419" s="297"/>
      <c r="S419" s="297"/>
      <c r="T419" s="297"/>
      <c r="U419" s="297"/>
      <c r="V419" s="297"/>
      <c r="W419" s="297"/>
      <c r="X419" s="297"/>
      <c r="Y419" s="412"/>
      <c r="Z419" s="412"/>
      <c r="AA419" s="412"/>
      <c r="AB419" s="412"/>
      <c r="AC419" s="412"/>
      <c r="AD419" s="412"/>
      <c r="AE419" s="412"/>
      <c r="AF419" s="412"/>
      <c r="AG419" s="412"/>
      <c r="AH419" s="412"/>
      <c r="AI419" s="412"/>
      <c r="AJ419" s="412"/>
      <c r="AK419" s="412"/>
      <c r="AL419" s="412"/>
      <c r="AM419" s="298">
        <f>SUM(Y419:AL419)</f>
        <v>0</v>
      </c>
    </row>
    <row r="420" spans="1:39" hidden="1" outlineLevel="1">
      <c r="A420" s="532"/>
      <c r="B420" s="433" t="s">
        <v>309</v>
      </c>
      <c r="C420" s="293" t="s">
        <v>164</v>
      </c>
      <c r="D420" s="297"/>
      <c r="E420" s="297"/>
      <c r="F420" s="297"/>
      <c r="G420" s="297"/>
      <c r="H420" s="297"/>
      <c r="I420" s="297"/>
      <c r="J420" s="297"/>
      <c r="K420" s="297"/>
      <c r="L420" s="297"/>
      <c r="M420" s="297"/>
      <c r="N420" s="469"/>
      <c r="O420" s="297"/>
      <c r="P420" s="297"/>
      <c r="Q420" s="297"/>
      <c r="R420" s="297"/>
      <c r="S420" s="297"/>
      <c r="T420" s="297"/>
      <c r="U420" s="297"/>
      <c r="V420" s="297"/>
      <c r="W420" s="297"/>
      <c r="X420" s="297"/>
      <c r="Y420" s="413">
        <f>Y419</f>
        <v>0</v>
      </c>
      <c r="Z420" s="413">
        <f t="shared" ref="Z420" si="1187">Z419</f>
        <v>0</v>
      </c>
      <c r="AA420" s="413">
        <f t="shared" ref="AA420" si="1188">AA419</f>
        <v>0</v>
      </c>
      <c r="AB420" s="413">
        <f t="shared" ref="AB420" si="1189">AB419</f>
        <v>0</v>
      </c>
      <c r="AC420" s="413">
        <f t="shared" ref="AC420" si="1190">AC419</f>
        <v>0</v>
      </c>
      <c r="AD420" s="413">
        <f t="shared" ref="AD420" si="1191">AD419</f>
        <v>0</v>
      </c>
      <c r="AE420" s="413">
        <f t="shared" ref="AE420" si="1192">AE419</f>
        <v>0</v>
      </c>
      <c r="AF420" s="413">
        <f t="shared" ref="AF420" si="1193">AF419</f>
        <v>0</v>
      </c>
      <c r="AG420" s="413">
        <f t="shared" ref="AG420" si="1194">AG419</f>
        <v>0</v>
      </c>
      <c r="AH420" s="413">
        <f t="shared" ref="AH420" si="1195">AH419</f>
        <v>0</v>
      </c>
      <c r="AI420" s="413">
        <f t="shared" ref="AI420" si="1196">AI419</f>
        <v>0</v>
      </c>
      <c r="AJ420" s="413">
        <f t="shared" ref="AJ420" si="1197">AJ419</f>
        <v>0</v>
      </c>
      <c r="AK420" s="413">
        <f t="shared" ref="AK420" si="1198">AK419</f>
        <v>0</v>
      </c>
      <c r="AL420" s="413">
        <f t="shared" ref="AL420" si="1199">AL419</f>
        <v>0</v>
      </c>
      <c r="AM420" s="299"/>
    </row>
    <row r="421" spans="1:39" hidden="1" outlineLevel="1">
      <c r="A421" s="532"/>
      <c r="B421" s="433"/>
      <c r="C421" s="293"/>
      <c r="D421" s="293"/>
      <c r="E421" s="293"/>
      <c r="F421" s="293"/>
      <c r="G421" s="293"/>
      <c r="H421" s="293"/>
      <c r="I421" s="293"/>
      <c r="J421" s="293"/>
      <c r="K421" s="293"/>
      <c r="L421" s="293"/>
      <c r="M421" s="293"/>
      <c r="N421" s="293"/>
      <c r="O421" s="293"/>
      <c r="P421" s="293"/>
      <c r="Q421" s="293"/>
      <c r="R421" s="293"/>
      <c r="S421" s="293"/>
      <c r="T421" s="293"/>
      <c r="U421" s="293"/>
      <c r="V421" s="293"/>
      <c r="W421" s="293"/>
      <c r="X421" s="293"/>
      <c r="Y421" s="424"/>
      <c r="Z421" s="425"/>
      <c r="AA421" s="425"/>
      <c r="AB421" s="425"/>
      <c r="AC421" s="425"/>
      <c r="AD421" s="425"/>
      <c r="AE421" s="425"/>
      <c r="AF421" s="425"/>
      <c r="AG421" s="425"/>
      <c r="AH421" s="425"/>
      <c r="AI421" s="425"/>
      <c r="AJ421" s="425"/>
      <c r="AK421" s="425"/>
      <c r="AL421" s="425"/>
      <c r="AM421" s="299"/>
    </row>
    <row r="422" spans="1:39" ht="15.75" hidden="1" outlineLevel="1">
      <c r="A422" s="532"/>
      <c r="B422" s="514" t="s">
        <v>500</v>
      </c>
      <c r="C422" s="291"/>
      <c r="D422" s="291"/>
      <c r="E422" s="291"/>
      <c r="F422" s="291"/>
      <c r="G422" s="291"/>
      <c r="H422" s="291"/>
      <c r="I422" s="291"/>
      <c r="J422" s="291"/>
      <c r="K422" s="291"/>
      <c r="L422" s="291"/>
      <c r="M422" s="291"/>
      <c r="N422" s="292"/>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294"/>
    </row>
    <row r="423" spans="1:39" hidden="1" outlineLevel="1">
      <c r="A423" s="532">
        <v>6</v>
      </c>
      <c r="B423" s="430" t="s">
        <v>100</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2"/>
      <c r="B424" s="433"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00">Z423</f>
        <v>0</v>
      </c>
      <c r="AA424" s="413">
        <f t="shared" ref="AA424" si="1201">AA423</f>
        <v>0</v>
      </c>
      <c r="AB424" s="413">
        <f t="shared" ref="AB424" si="1202">AB423</f>
        <v>0</v>
      </c>
      <c r="AC424" s="413">
        <f t="shared" ref="AC424" si="1203">AC423</f>
        <v>0</v>
      </c>
      <c r="AD424" s="413">
        <f t="shared" ref="AD424" si="1204">AD423</f>
        <v>0</v>
      </c>
      <c r="AE424" s="413">
        <f t="shared" ref="AE424" si="1205">AE423</f>
        <v>0</v>
      </c>
      <c r="AF424" s="413">
        <f t="shared" ref="AF424" si="1206">AF423</f>
        <v>0</v>
      </c>
      <c r="AG424" s="413">
        <f t="shared" ref="AG424" si="1207">AG423</f>
        <v>0</v>
      </c>
      <c r="AH424" s="413">
        <f t="shared" ref="AH424" si="1208">AH423</f>
        <v>0</v>
      </c>
      <c r="AI424" s="413">
        <f t="shared" ref="AI424" si="1209">AI423</f>
        <v>0</v>
      </c>
      <c r="AJ424" s="413">
        <f t="shared" ref="AJ424" si="1210">AJ423</f>
        <v>0</v>
      </c>
      <c r="AK424" s="413">
        <f t="shared" ref="AK424" si="1211">AK423</f>
        <v>0</v>
      </c>
      <c r="AL424" s="413">
        <f t="shared" ref="AL424" si="1212">AL423</f>
        <v>0</v>
      </c>
      <c r="AM424" s="313"/>
    </row>
    <row r="425" spans="1:39" hidden="1" outlineLevel="1">
      <c r="A425" s="532"/>
      <c r="B425" s="526"/>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8"/>
      <c r="AA425" s="418"/>
      <c r="AB425" s="418"/>
      <c r="AC425" s="418"/>
      <c r="AD425" s="418"/>
      <c r="AE425" s="418"/>
      <c r="AF425" s="418"/>
      <c r="AG425" s="418"/>
      <c r="AH425" s="418"/>
      <c r="AI425" s="418"/>
      <c r="AJ425" s="418"/>
      <c r="AK425" s="418"/>
      <c r="AL425" s="418"/>
      <c r="AM425" s="315"/>
    </row>
    <row r="426" spans="1:39" ht="30" hidden="1" outlineLevel="1">
      <c r="A426" s="532">
        <v>7</v>
      </c>
      <c r="B426" s="430" t="s">
        <v>101</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2"/>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13">Z426</f>
        <v>0</v>
      </c>
      <c r="AA427" s="413">
        <f t="shared" ref="AA427" si="1214">AA426</f>
        <v>0</v>
      </c>
      <c r="AB427" s="413">
        <f t="shared" ref="AB427" si="1215">AB426</f>
        <v>0</v>
      </c>
      <c r="AC427" s="413">
        <f t="shared" ref="AC427" si="1216">AC426</f>
        <v>0</v>
      </c>
      <c r="AD427" s="413">
        <f t="shared" ref="AD427" si="1217">AD426</f>
        <v>0</v>
      </c>
      <c r="AE427" s="413">
        <f t="shared" ref="AE427" si="1218">AE426</f>
        <v>0</v>
      </c>
      <c r="AF427" s="413">
        <f t="shared" ref="AF427" si="1219">AF426</f>
        <v>0</v>
      </c>
      <c r="AG427" s="413">
        <f t="shared" ref="AG427" si="1220">AG426</f>
        <v>0</v>
      </c>
      <c r="AH427" s="413">
        <f t="shared" ref="AH427" si="1221">AH426</f>
        <v>0</v>
      </c>
      <c r="AI427" s="413">
        <f t="shared" ref="AI427" si="1222">AI426</f>
        <v>0</v>
      </c>
      <c r="AJ427" s="413">
        <f t="shared" ref="AJ427" si="1223">AJ426</f>
        <v>0</v>
      </c>
      <c r="AK427" s="413">
        <f t="shared" ref="AK427" si="1224">AK426</f>
        <v>0</v>
      </c>
      <c r="AL427" s="413">
        <f t="shared" ref="AL427" si="1225">AL426</f>
        <v>0</v>
      </c>
      <c r="AM427" s="313"/>
    </row>
    <row r="428" spans="1:39" hidden="1" outlineLevel="1">
      <c r="A428" s="532"/>
      <c r="B428" s="527"/>
      <c r="C428" s="314"/>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418"/>
      <c r="Z428" s="419"/>
      <c r="AA428" s="418"/>
      <c r="AB428" s="418"/>
      <c r="AC428" s="418"/>
      <c r="AD428" s="418"/>
      <c r="AE428" s="418"/>
      <c r="AF428" s="418"/>
      <c r="AG428" s="418"/>
      <c r="AH428" s="418"/>
      <c r="AI428" s="418"/>
      <c r="AJ428" s="418"/>
      <c r="AK428" s="418"/>
      <c r="AL428" s="418"/>
      <c r="AM428" s="315"/>
    </row>
    <row r="429" spans="1:39" ht="30" hidden="1" outlineLevel="1">
      <c r="A429" s="532">
        <v>8</v>
      </c>
      <c r="B429" s="430" t="s">
        <v>102</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2"/>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26">Z429</f>
        <v>0</v>
      </c>
      <c r="AA430" s="413">
        <f t="shared" ref="AA430" si="1227">AA429</f>
        <v>0</v>
      </c>
      <c r="AB430" s="413">
        <f t="shared" ref="AB430" si="1228">AB429</f>
        <v>0</v>
      </c>
      <c r="AC430" s="413">
        <f t="shared" ref="AC430" si="1229">AC429</f>
        <v>0</v>
      </c>
      <c r="AD430" s="413">
        <f t="shared" ref="AD430" si="1230">AD429</f>
        <v>0</v>
      </c>
      <c r="AE430" s="413">
        <f t="shared" ref="AE430" si="1231">AE429</f>
        <v>0</v>
      </c>
      <c r="AF430" s="413">
        <f t="shared" ref="AF430" si="1232">AF429</f>
        <v>0</v>
      </c>
      <c r="AG430" s="413">
        <f t="shared" ref="AG430" si="1233">AG429</f>
        <v>0</v>
      </c>
      <c r="AH430" s="413">
        <f t="shared" ref="AH430" si="1234">AH429</f>
        <v>0</v>
      </c>
      <c r="AI430" s="413">
        <f t="shared" ref="AI430" si="1235">AI429</f>
        <v>0</v>
      </c>
      <c r="AJ430" s="413">
        <f t="shared" ref="AJ430" si="1236">AJ429</f>
        <v>0</v>
      </c>
      <c r="AK430" s="413">
        <f t="shared" ref="AK430" si="1237">AK429</f>
        <v>0</v>
      </c>
      <c r="AL430" s="413">
        <f t="shared" ref="AL430" si="1238">AL429</f>
        <v>0</v>
      </c>
      <c r="AM430" s="313"/>
    </row>
    <row r="431" spans="1:39" hidden="1" outlineLevel="1">
      <c r="A431" s="532"/>
      <c r="B431" s="527"/>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9"/>
      <c r="AA431" s="418"/>
      <c r="AB431" s="418"/>
      <c r="AC431" s="418"/>
      <c r="AD431" s="418"/>
      <c r="AE431" s="418"/>
      <c r="AF431" s="418"/>
      <c r="AG431" s="418"/>
      <c r="AH431" s="418"/>
      <c r="AI431" s="418"/>
      <c r="AJ431" s="418"/>
      <c r="AK431" s="418"/>
      <c r="AL431" s="418"/>
      <c r="AM431" s="315"/>
    </row>
    <row r="432" spans="1:39" ht="30" hidden="1" outlineLevel="1">
      <c r="A432" s="532">
        <v>9</v>
      </c>
      <c r="B432" s="430" t="s">
        <v>103</v>
      </c>
      <c r="C432" s="293" t="s">
        <v>25</v>
      </c>
      <c r="D432" s="297"/>
      <c r="E432" s="297"/>
      <c r="F432" s="297"/>
      <c r="G432" s="297"/>
      <c r="H432" s="297"/>
      <c r="I432" s="297"/>
      <c r="J432" s="297"/>
      <c r="K432" s="297"/>
      <c r="L432" s="297"/>
      <c r="M432" s="297"/>
      <c r="N432" s="297">
        <v>12</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39" hidden="1" outlineLevel="1">
      <c r="A433" s="532"/>
      <c r="B433" s="433" t="s">
        <v>309</v>
      </c>
      <c r="C433" s="293" t="s">
        <v>164</v>
      </c>
      <c r="D433" s="297"/>
      <c r="E433" s="297"/>
      <c r="F433" s="297"/>
      <c r="G433" s="297"/>
      <c r="H433" s="297"/>
      <c r="I433" s="297"/>
      <c r="J433" s="297"/>
      <c r="K433" s="297"/>
      <c r="L433" s="297"/>
      <c r="M433" s="297"/>
      <c r="N433" s="297">
        <f>N432</f>
        <v>12</v>
      </c>
      <c r="O433" s="297"/>
      <c r="P433" s="297"/>
      <c r="Q433" s="297"/>
      <c r="R433" s="297"/>
      <c r="S433" s="297"/>
      <c r="T433" s="297"/>
      <c r="U433" s="297"/>
      <c r="V433" s="297"/>
      <c r="W433" s="297"/>
      <c r="X433" s="297"/>
      <c r="Y433" s="413">
        <f>Y432</f>
        <v>0</v>
      </c>
      <c r="Z433" s="413">
        <f t="shared" ref="Z433" si="1239">Z432</f>
        <v>0</v>
      </c>
      <c r="AA433" s="413">
        <f t="shared" ref="AA433" si="1240">AA432</f>
        <v>0</v>
      </c>
      <c r="AB433" s="413">
        <f t="shared" ref="AB433" si="1241">AB432</f>
        <v>0</v>
      </c>
      <c r="AC433" s="413">
        <f t="shared" ref="AC433" si="1242">AC432</f>
        <v>0</v>
      </c>
      <c r="AD433" s="413">
        <f t="shared" ref="AD433" si="1243">AD432</f>
        <v>0</v>
      </c>
      <c r="AE433" s="413">
        <f t="shared" ref="AE433" si="1244">AE432</f>
        <v>0</v>
      </c>
      <c r="AF433" s="413">
        <f t="shared" ref="AF433" si="1245">AF432</f>
        <v>0</v>
      </c>
      <c r="AG433" s="413">
        <f t="shared" ref="AG433" si="1246">AG432</f>
        <v>0</v>
      </c>
      <c r="AH433" s="413">
        <f t="shared" ref="AH433" si="1247">AH432</f>
        <v>0</v>
      </c>
      <c r="AI433" s="413">
        <f t="shared" ref="AI433" si="1248">AI432</f>
        <v>0</v>
      </c>
      <c r="AJ433" s="413">
        <f t="shared" ref="AJ433" si="1249">AJ432</f>
        <v>0</v>
      </c>
      <c r="AK433" s="413">
        <f t="shared" ref="AK433" si="1250">AK432</f>
        <v>0</v>
      </c>
      <c r="AL433" s="413">
        <f t="shared" ref="AL433" si="1251">AL432</f>
        <v>0</v>
      </c>
      <c r="AM433" s="313"/>
    </row>
    <row r="434" spans="1:39" hidden="1" outlineLevel="1">
      <c r="A434" s="532"/>
      <c r="B434" s="527"/>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8"/>
      <c r="AA434" s="418"/>
      <c r="AB434" s="418"/>
      <c r="AC434" s="418"/>
      <c r="AD434" s="418"/>
      <c r="AE434" s="418"/>
      <c r="AF434" s="418"/>
      <c r="AG434" s="418"/>
      <c r="AH434" s="418"/>
      <c r="AI434" s="418"/>
      <c r="AJ434" s="418"/>
      <c r="AK434" s="418"/>
      <c r="AL434" s="418"/>
      <c r="AM434" s="315"/>
    </row>
    <row r="435" spans="1:39" ht="30" hidden="1" outlineLevel="1">
      <c r="A435" s="532">
        <v>10</v>
      </c>
      <c r="B435" s="430" t="s">
        <v>104</v>
      </c>
      <c r="C435" s="293" t="s">
        <v>25</v>
      </c>
      <c r="D435" s="297"/>
      <c r="E435" s="297"/>
      <c r="F435" s="297"/>
      <c r="G435" s="297"/>
      <c r="H435" s="297"/>
      <c r="I435" s="297"/>
      <c r="J435" s="297"/>
      <c r="K435" s="297"/>
      <c r="L435" s="297"/>
      <c r="M435" s="297"/>
      <c r="N435" s="297">
        <v>3</v>
      </c>
      <c r="O435" s="297"/>
      <c r="P435" s="297"/>
      <c r="Q435" s="297"/>
      <c r="R435" s="297"/>
      <c r="S435" s="297"/>
      <c r="T435" s="297"/>
      <c r="U435" s="297"/>
      <c r="V435" s="297"/>
      <c r="W435" s="297"/>
      <c r="X435" s="297"/>
      <c r="Y435" s="417"/>
      <c r="Z435" s="412"/>
      <c r="AA435" s="412"/>
      <c r="AB435" s="412"/>
      <c r="AC435" s="412"/>
      <c r="AD435" s="412"/>
      <c r="AE435" s="412"/>
      <c r="AF435" s="417"/>
      <c r="AG435" s="417"/>
      <c r="AH435" s="417"/>
      <c r="AI435" s="417"/>
      <c r="AJ435" s="417"/>
      <c r="AK435" s="417"/>
      <c r="AL435" s="417"/>
      <c r="AM435" s="298">
        <f>SUM(Y435:AL435)</f>
        <v>0</v>
      </c>
    </row>
    <row r="436" spans="1:39" hidden="1" outlineLevel="1">
      <c r="A436" s="532"/>
      <c r="B436" s="433" t="s">
        <v>309</v>
      </c>
      <c r="C436" s="293" t="s">
        <v>164</v>
      </c>
      <c r="D436" s="297"/>
      <c r="E436" s="297"/>
      <c r="F436" s="297"/>
      <c r="G436" s="297"/>
      <c r="H436" s="297"/>
      <c r="I436" s="297"/>
      <c r="J436" s="297"/>
      <c r="K436" s="297"/>
      <c r="L436" s="297"/>
      <c r="M436" s="297"/>
      <c r="N436" s="297">
        <f>N435</f>
        <v>3</v>
      </c>
      <c r="O436" s="297"/>
      <c r="P436" s="297"/>
      <c r="Q436" s="297"/>
      <c r="R436" s="297"/>
      <c r="S436" s="297"/>
      <c r="T436" s="297"/>
      <c r="U436" s="297"/>
      <c r="V436" s="297"/>
      <c r="W436" s="297"/>
      <c r="X436" s="297"/>
      <c r="Y436" s="413">
        <f>Y435</f>
        <v>0</v>
      </c>
      <c r="Z436" s="413">
        <f t="shared" ref="Z436" si="1252">Z435</f>
        <v>0</v>
      </c>
      <c r="AA436" s="413">
        <f t="shared" ref="AA436" si="1253">AA435</f>
        <v>0</v>
      </c>
      <c r="AB436" s="413">
        <f t="shared" ref="AB436" si="1254">AB435</f>
        <v>0</v>
      </c>
      <c r="AC436" s="413">
        <f t="shared" ref="AC436" si="1255">AC435</f>
        <v>0</v>
      </c>
      <c r="AD436" s="413">
        <f t="shared" ref="AD436" si="1256">AD435</f>
        <v>0</v>
      </c>
      <c r="AE436" s="413">
        <f t="shared" ref="AE436" si="1257">AE435</f>
        <v>0</v>
      </c>
      <c r="AF436" s="413">
        <f t="shared" ref="AF436" si="1258">AF435</f>
        <v>0</v>
      </c>
      <c r="AG436" s="413">
        <f t="shared" ref="AG436" si="1259">AG435</f>
        <v>0</v>
      </c>
      <c r="AH436" s="413">
        <f t="shared" ref="AH436" si="1260">AH435</f>
        <v>0</v>
      </c>
      <c r="AI436" s="413">
        <f t="shared" ref="AI436" si="1261">AI435</f>
        <v>0</v>
      </c>
      <c r="AJ436" s="413">
        <f t="shared" ref="AJ436" si="1262">AJ435</f>
        <v>0</v>
      </c>
      <c r="AK436" s="413">
        <f t="shared" ref="AK436" si="1263">AK435</f>
        <v>0</v>
      </c>
      <c r="AL436" s="413">
        <f t="shared" ref="AL436" si="1264">AL435</f>
        <v>0</v>
      </c>
      <c r="AM436" s="313"/>
    </row>
    <row r="437" spans="1:39" hidden="1" outlineLevel="1">
      <c r="A437" s="532"/>
      <c r="B437" s="527"/>
      <c r="C437" s="314"/>
      <c r="D437" s="318"/>
      <c r="E437" s="318"/>
      <c r="F437" s="318"/>
      <c r="G437" s="318"/>
      <c r="H437" s="318"/>
      <c r="I437" s="318"/>
      <c r="J437" s="318"/>
      <c r="K437" s="318"/>
      <c r="L437" s="318"/>
      <c r="M437" s="318"/>
      <c r="N437" s="293"/>
      <c r="O437" s="318"/>
      <c r="P437" s="318"/>
      <c r="Q437" s="318"/>
      <c r="R437" s="318"/>
      <c r="S437" s="318"/>
      <c r="T437" s="318"/>
      <c r="U437" s="318"/>
      <c r="V437" s="318"/>
      <c r="W437" s="318"/>
      <c r="X437" s="318"/>
      <c r="Y437" s="418"/>
      <c r="Z437" s="419"/>
      <c r="AA437" s="418"/>
      <c r="AB437" s="418"/>
      <c r="AC437" s="418"/>
      <c r="AD437" s="418"/>
      <c r="AE437" s="418"/>
      <c r="AF437" s="418"/>
      <c r="AG437" s="418"/>
      <c r="AH437" s="418"/>
      <c r="AI437" s="418"/>
      <c r="AJ437" s="418"/>
      <c r="AK437" s="418"/>
      <c r="AL437" s="418"/>
      <c r="AM437" s="315"/>
    </row>
    <row r="438" spans="1:39" ht="15.75" hidden="1" outlineLevel="1">
      <c r="A438" s="532"/>
      <c r="B438" s="504" t="s">
        <v>10</v>
      </c>
      <c r="C438" s="291"/>
      <c r="D438" s="291"/>
      <c r="E438" s="291"/>
      <c r="F438" s="291"/>
      <c r="G438" s="291"/>
      <c r="H438" s="291"/>
      <c r="I438" s="291"/>
      <c r="J438" s="291"/>
      <c r="K438" s="291"/>
      <c r="L438" s="291"/>
      <c r="M438" s="291"/>
      <c r="N438" s="292"/>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294"/>
    </row>
    <row r="439" spans="1:39" ht="30" hidden="1" outlineLevel="1">
      <c r="A439" s="532">
        <v>11</v>
      </c>
      <c r="B439" s="430" t="s">
        <v>105</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28"/>
      <c r="Z439" s="412"/>
      <c r="AA439" s="412"/>
      <c r="AB439" s="412"/>
      <c r="AC439" s="412"/>
      <c r="AD439" s="412"/>
      <c r="AE439" s="412"/>
      <c r="AF439" s="417"/>
      <c r="AG439" s="417"/>
      <c r="AH439" s="417"/>
      <c r="AI439" s="417"/>
      <c r="AJ439" s="417"/>
      <c r="AK439" s="417"/>
      <c r="AL439" s="417"/>
      <c r="AM439" s="298">
        <f>SUM(Y439:AL439)</f>
        <v>0</v>
      </c>
    </row>
    <row r="440" spans="1:39" hidden="1" outlineLevel="1">
      <c r="A440" s="532"/>
      <c r="B440" s="433"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65">Z439</f>
        <v>0</v>
      </c>
      <c r="AA440" s="413">
        <f t="shared" ref="AA440" si="1266">AA439</f>
        <v>0</v>
      </c>
      <c r="AB440" s="413">
        <f t="shared" ref="AB440" si="1267">AB439</f>
        <v>0</v>
      </c>
      <c r="AC440" s="413">
        <f t="shared" ref="AC440" si="1268">AC439</f>
        <v>0</v>
      </c>
      <c r="AD440" s="413">
        <f t="shared" ref="AD440" si="1269">AD439</f>
        <v>0</v>
      </c>
      <c r="AE440" s="413">
        <f t="shared" ref="AE440" si="1270">AE439</f>
        <v>0</v>
      </c>
      <c r="AF440" s="413">
        <f t="shared" ref="AF440" si="1271">AF439</f>
        <v>0</v>
      </c>
      <c r="AG440" s="413">
        <f t="shared" ref="AG440" si="1272">AG439</f>
        <v>0</v>
      </c>
      <c r="AH440" s="413">
        <f t="shared" ref="AH440" si="1273">AH439</f>
        <v>0</v>
      </c>
      <c r="AI440" s="413">
        <f t="shared" ref="AI440" si="1274">AI439</f>
        <v>0</v>
      </c>
      <c r="AJ440" s="413">
        <f t="shared" ref="AJ440" si="1275">AJ439</f>
        <v>0</v>
      </c>
      <c r="AK440" s="413">
        <f t="shared" ref="AK440" si="1276">AK439</f>
        <v>0</v>
      </c>
      <c r="AL440" s="413">
        <f t="shared" ref="AL440" si="1277">AL439</f>
        <v>0</v>
      </c>
      <c r="AM440" s="299"/>
    </row>
    <row r="441" spans="1:39" hidden="1" outlineLevel="1">
      <c r="A441" s="532"/>
      <c r="B441" s="528"/>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4"/>
      <c r="Z441" s="423"/>
      <c r="AA441" s="423"/>
      <c r="AB441" s="423"/>
      <c r="AC441" s="423"/>
      <c r="AD441" s="423"/>
      <c r="AE441" s="423"/>
      <c r="AF441" s="423"/>
      <c r="AG441" s="423"/>
      <c r="AH441" s="423"/>
      <c r="AI441" s="423"/>
      <c r="AJ441" s="423"/>
      <c r="AK441" s="423"/>
      <c r="AL441" s="423"/>
      <c r="AM441" s="308"/>
    </row>
    <row r="442" spans="1:39" ht="45" hidden="1" outlineLevel="1">
      <c r="A442" s="532">
        <v>12</v>
      </c>
      <c r="B442" s="430" t="s">
        <v>106</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39" hidden="1" outlineLevel="1">
      <c r="A443" s="532"/>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78">Z442</f>
        <v>0</v>
      </c>
      <c r="AA443" s="413">
        <f t="shared" ref="AA443" si="1279">AA442</f>
        <v>0</v>
      </c>
      <c r="AB443" s="413">
        <f t="shared" ref="AB443" si="1280">AB442</f>
        <v>0</v>
      </c>
      <c r="AC443" s="413">
        <f t="shared" ref="AC443" si="1281">AC442</f>
        <v>0</v>
      </c>
      <c r="AD443" s="413">
        <f t="shared" ref="AD443" si="1282">AD442</f>
        <v>0</v>
      </c>
      <c r="AE443" s="413">
        <f t="shared" ref="AE443" si="1283">AE442</f>
        <v>0</v>
      </c>
      <c r="AF443" s="413">
        <f t="shared" ref="AF443" si="1284">AF442</f>
        <v>0</v>
      </c>
      <c r="AG443" s="413">
        <f t="shared" ref="AG443" si="1285">AG442</f>
        <v>0</v>
      </c>
      <c r="AH443" s="413">
        <f t="shared" ref="AH443" si="1286">AH442</f>
        <v>0</v>
      </c>
      <c r="AI443" s="413">
        <f t="shared" ref="AI443" si="1287">AI442</f>
        <v>0</v>
      </c>
      <c r="AJ443" s="413">
        <f t="shared" ref="AJ443" si="1288">AJ442</f>
        <v>0</v>
      </c>
      <c r="AK443" s="413">
        <f t="shared" ref="AK443" si="1289">AK442</f>
        <v>0</v>
      </c>
      <c r="AL443" s="413">
        <f t="shared" ref="AL443" si="1290">AL442</f>
        <v>0</v>
      </c>
      <c r="AM443" s="299"/>
    </row>
    <row r="444" spans="1:39" hidden="1" outlineLevel="1">
      <c r="A444" s="532"/>
      <c r="B444" s="528"/>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24"/>
      <c r="Z444" s="424"/>
      <c r="AA444" s="414"/>
      <c r="AB444" s="414"/>
      <c r="AC444" s="414"/>
      <c r="AD444" s="414"/>
      <c r="AE444" s="414"/>
      <c r="AF444" s="414"/>
      <c r="AG444" s="414"/>
      <c r="AH444" s="414"/>
      <c r="AI444" s="414"/>
      <c r="AJ444" s="414"/>
      <c r="AK444" s="414"/>
      <c r="AL444" s="414"/>
      <c r="AM444" s="308"/>
    </row>
    <row r="445" spans="1:39" ht="30" hidden="1" outlineLevel="1">
      <c r="A445" s="532">
        <v>13</v>
      </c>
      <c r="B445" s="430" t="s">
        <v>107</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2"/>
      <c r="Z445" s="412"/>
      <c r="AA445" s="412"/>
      <c r="AB445" s="412"/>
      <c r="AC445" s="412"/>
      <c r="AD445" s="412"/>
      <c r="AE445" s="412"/>
      <c r="AF445" s="417"/>
      <c r="AG445" s="417"/>
      <c r="AH445" s="417"/>
      <c r="AI445" s="417"/>
      <c r="AJ445" s="417"/>
      <c r="AK445" s="417"/>
      <c r="AL445" s="417"/>
      <c r="AM445" s="298">
        <f>SUM(Y445:AL445)</f>
        <v>0</v>
      </c>
    </row>
    <row r="446" spans="1:39" hidden="1" outlineLevel="1">
      <c r="A446" s="532"/>
      <c r="B446" s="433" t="s">
        <v>309</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 t="shared" ref="Z446" si="1291">Z445</f>
        <v>0</v>
      </c>
      <c r="AA446" s="413">
        <f t="shared" ref="AA446" si="1292">AA445</f>
        <v>0</v>
      </c>
      <c r="AB446" s="413">
        <f t="shared" ref="AB446" si="1293">AB445</f>
        <v>0</v>
      </c>
      <c r="AC446" s="413">
        <f t="shared" ref="AC446" si="1294">AC445</f>
        <v>0</v>
      </c>
      <c r="AD446" s="413">
        <f t="shared" ref="AD446" si="1295">AD445</f>
        <v>0</v>
      </c>
      <c r="AE446" s="413">
        <f t="shared" ref="AE446" si="1296">AE445</f>
        <v>0</v>
      </c>
      <c r="AF446" s="413">
        <f t="shared" ref="AF446" si="1297">AF445</f>
        <v>0</v>
      </c>
      <c r="AG446" s="413">
        <f t="shared" ref="AG446" si="1298">AG445</f>
        <v>0</v>
      </c>
      <c r="AH446" s="413">
        <f t="shared" ref="AH446" si="1299">AH445</f>
        <v>0</v>
      </c>
      <c r="AI446" s="413">
        <f t="shared" ref="AI446" si="1300">AI445</f>
        <v>0</v>
      </c>
      <c r="AJ446" s="413">
        <f t="shared" ref="AJ446" si="1301">AJ445</f>
        <v>0</v>
      </c>
      <c r="AK446" s="413">
        <f t="shared" ref="AK446" si="1302">AK445</f>
        <v>0</v>
      </c>
      <c r="AL446" s="413">
        <f t="shared" ref="AL446" si="1303">AL445</f>
        <v>0</v>
      </c>
      <c r="AM446" s="308"/>
    </row>
    <row r="447" spans="1:39" hidden="1" outlineLevel="1">
      <c r="A447" s="532"/>
      <c r="B447" s="528"/>
      <c r="C447" s="307"/>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414"/>
      <c r="Z447" s="414"/>
      <c r="AA447" s="414"/>
      <c r="AB447" s="414"/>
      <c r="AC447" s="414"/>
      <c r="AD447" s="414"/>
      <c r="AE447" s="414"/>
      <c r="AF447" s="414"/>
      <c r="AG447" s="414"/>
      <c r="AH447" s="414"/>
      <c r="AI447" s="414"/>
      <c r="AJ447" s="414"/>
      <c r="AK447" s="414"/>
      <c r="AL447" s="414"/>
      <c r="AM447" s="308"/>
    </row>
    <row r="448" spans="1:39" ht="15.75" hidden="1" outlineLevel="1">
      <c r="A448" s="532"/>
      <c r="B448" s="504" t="s">
        <v>108</v>
      </c>
      <c r="C448" s="291"/>
      <c r="D448" s="292"/>
      <c r="E448" s="292"/>
      <c r="F448" s="292"/>
      <c r="G448" s="292"/>
      <c r="H448" s="292"/>
      <c r="I448" s="292"/>
      <c r="J448" s="292"/>
      <c r="K448" s="292"/>
      <c r="L448" s="292"/>
      <c r="M448" s="292"/>
      <c r="N448" s="292"/>
      <c r="O448" s="292"/>
      <c r="P448" s="291"/>
      <c r="Q448" s="291"/>
      <c r="R448" s="291"/>
      <c r="S448" s="291"/>
      <c r="T448" s="291"/>
      <c r="U448" s="291"/>
      <c r="V448" s="291"/>
      <c r="W448" s="291"/>
      <c r="X448" s="291"/>
      <c r="Y448" s="416"/>
      <c r="Z448" s="416"/>
      <c r="AA448" s="416"/>
      <c r="AB448" s="416"/>
      <c r="AC448" s="416"/>
      <c r="AD448" s="416"/>
      <c r="AE448" s="416"/>
      <c r="AF448" s="416"/>
      <c r="AG448" s="416"/>
      <c r="AH448" s="416"/>
      <c r="AI448" s="416"/>
      <c r="AJ448" s="416"/>
      <c r="AK448" s="416"/>
      <c r="AL448" s="416"/>
      <c r="AM448" s="294"/>
    </row>
    <row r="449" spans="1:40" hidden="1" outlineLevel="1">
      <c r="A449" s="532">
        <v>14</v>
      </c>
      <c r="B449" s="528" t="s">
        <v>109</v>
      </c>
      <c r="C449" s="293" t="s">
        <v>25</v>
      </c>
      <c r="D449" s="297"/>
      <c r="E449" s="297"/>
      <c r="F449" s="297"/>
      <c r="G449" s="297"/>
      <c r="H449" s="297"/>
      <c r="I449" s="297"/>
      <c r="J449" s="297"/>
      <c r="K449" s="297"/>
      <c r="L449" s="297"/>
      <c r="M449" s="297"/>
      <c r="N449" s="297">
        <v>12</v>
      </c>
      <c r="O449" s="297"/>
      <c r="P449" s="297"/>
      <c r="Q449" s="297"/>
      <c r="R449" s="297"/>
      <c r="S449" s="297"/>
      <c r="T449" s="297"/>
      <c r="U449" s="297"/>
      <c r="V449" s="297"/>
      <c r="W449" s="297"/>
      <c r="X449" s="297"/>
      <c r="Y449" s="412"/>
      <c r="Z449" s="412"/>
      <c r="AA449" s="412"/>
      <c r="AB449" s="412"/>
      <c r="AC449" s="412"/>
      <c r="AD449" s="412"/>
      <c r="AE449" s="412"/>
      <c r="AF449" s="412"/>
      <c r="AG449" s="412"/>
      <c r="AH449" s="412"/>
      <c r="AI449" s="412"/>
      <c r="AJ449" s="412"/>
      <c r="AK449" s="412"/>
      <c r="AL449" s="412"/>
      <c r="AM449" s="298">
        <f>SUM(Y449:AL449)</f>
        <v>0</v>
      </c>
    </row>
    <row r="450" spans="1:40" hidden="1" outlineLevel="1">
      <c r="A450" s="532"/>
      <c r="B450" s="433" t="s">
        <v>309</v>
      </c>
      <c r="C450" s="293" t="s">
        <v>164</v>
      </c>
      <c r="D450" s="297"/>
      <c r="E450" s="297"/>
      <c r="F450" s="297"/>
      <c r="G450" s="297"/>
      <c r="H450" s="297"/>
      <c r="I450" s="297"/>
      <c r="J450" s="297"/>
      <c r="K450" s="297"/>
      <c r="L450" s="297"/>
      <c r="M450" s="297"/>
      <c r="N450" s="297">
        <f>N449</f>
        <v>12</v>
      </c>
      <c r="O450" s="297"/>
      <c r="P450" s="297"/>
      <c r="Q450" s="297"/>
      <c r="R450" s="297"/>
      <c r="S450" s="297"/>
      <c r="T450" s="297"/>
      <c r="U450" s="297"/>
      <c r="V450" s="297"/>
      <c r="W450" s="297"/>
      <c r="X450" s="297"/>
      <c r="Y450" s="413">
        <f>Y449</f>
        <v>0</v>
      </c>
      <c r="Z450" s="413">
        <f t="shared" ref="Z450" si="1304">Z449</f>
        <v>0</v>
      </c>
      <c r="AA450" s="413">
        <f t="shared" ref="AA450" si="1305">AA449</f>
        <v>0</v>
      </c>
      <c r="AB450" s="413">
        <f t="shared" ref="AB450" si="1306">AB449</f>
        <v>0</v>
      </c>
      <c r="AC450" s="413">
        <f t="shared" ref="AC450" si="1307">AC449</f>
        <v>0</v>
      </c>
      <c r="AD450" s="413">
        <f t="shared" ref="AD450" si="1308">AD449</f>
        <v>0</v>
      </c>
      <c r="AE450" s="413">
        <f t="shared" ref="AE450" si="1309">AE449</f>
        <v>0</v>
      </c>
      <c r="AF450" s="413">
        <f t="shared" ref="AF450" si="1310">AF449</f>
        <v>0</v>
      </c>
      <c r="AG450" s="413">
        <f t="shared" ref="AG450" si="1311">AG449</f>
        <v>0</v>
      </c>
      <c r="AH450" s="413">
        <f t="shared" ref="AH450" si="1312">AH449</f>
        <v>0</v>
      </c>
      <c r="AI450" s="413">
        <f t="shared" ref="AI450" si="1313">AI449</f>
        <v>0</v>
      </c>
      <c r="AJ450" s="413">
        <f t="shared" ref="AJ450" si="1314">AJ449</f>
        <v>0</v>
      </c>
      <c r="AK450" s="413">
        <f t="shared" ref="AK450" si="1315">AK449</f>
        <v>0</v>
      </c>
      <c r="AL450" s="413">
        <f t="shared" ref="AL450" si="1316">AL449</f>
        <v>0</v>
      </c>
      <c r="AM450" s="299"/>
    </row>
    <row r="451" spans="1:40" hidden="1" outlineLevel="1">
      <c r="A451" s="532"/>
      <c r="B451" s="528"/>
      <c r="C451" s="307"/>
      <c r="D451" s="293"/>
      <c r="E451" s="293"/>
      <c r="F451" s="293"/>
      <c r="G451" s="293"/>
      <c r="H451" s="293"/>
      <c r="I451" s="293"/>
      <c r="J451" s="293"/>
      <c r="K451" s="293"/>
      <c r="L451" s="293"/>
      <c r="M451" s="293"/>
      <c r="N451" s="469"/>
      <c r="O451" s="293"/>
      <c r="P451" s="293"/>
      <c r="Q451" s="293"/>
      <c r="R451" s="293"/>
      <c r="S451" s="293"/>
      <c r="T451" s="293"/>
      <c r="U451" s="293"/>
      <c r="V451" s="293"/>
      <c r="W451" s="293"/>
      <c r="X451" s="293"/>
      <c r="Y451" s="414"/>
      <c r="Z451" s="414"/>
      <c r="AA451" s="414"/>
      <c r="AB451" s="414"/>
      <c r="AC451" s="414"/>
      <c r="AD451" s="414"/>
      <c r="AE451" s="414"/>
      <c r="AF451" s="414"/>
      <c r="AG451" s="414"/>
      <c r="AH451" s="414"/>
      <c r="AI451" s="414"/>
      <c r="AJ451" s="414"/>
      <c r="AK451" s="414"/>
      <c r="AL451" s="414"/>
      <c r="AM451" s="303"/>
      <c r="AN451" s="630"/>
    </row>
    <row r="452" spans="1:40" s="311" customFormat="1" ht="15.75" hidden="1" outlineLevel="1">
      <c r="A452" s="532"/>
      <c r="B452" s="504" t="s">
        <v>492</v>
      </c>
      <c r="C452" s="293"/>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8"/>
      <c r="AF452" s="418"/>
      <c r="AG452" s="418"/>
      <c r="AH452" s="418"/>
      <c r="AI452" s="418"/>
      <c r="AJ452" s="418"/>
      <c r="AK452" s="418"/>
      <c r="AL452" s="418"/>
      <c r="AM452" s="517"/>
      <c r="AN452" s="631"/>
    </row>
    <row r="453" spans="1:40" hidden="1" outlineLevel="1">
      <c r="A453" s="532">
        <v>15</v>
      </c>
      <c r="B453" s="433" t="s">
        <v>497</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hidden="1" outlineLevel="1">
      <c r="A454" s="532"/>
      <c r="B454" s="433"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hidden="1" outlineLevel="1">
      <c r="A455" s="532"/>
      <c r="B455" s="528"/>
      <c r="C455" s="307"/>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4"/>
      <c r="AF455" s="414"/>
      <c r="AG455" s="414"/>
      <c r="AH455" s="414"/>
      <c r="AI455" s="414"/>
      <c r="AJ455" s="414"/>
      <c r="AK455" s="414"/>
      <c r="AL455" s="414"/>
      <c r="AM455" s="308"/>
    </row>
    <row r="456" spans="1:40" s="285" customFormat="1" hidden="1" outlineLevel="1">
      <c r="A456" s="532">
        <v>16</v>
      </c>
      <c r="B456" s="529" t="s">
        <v>493</v>
      </c>
      <c r="C456" s="293" t="s">
        <v>25</v>
      </c>
      <c r="D456" s="297"/>
      <c r="E456" s="297"/>
      <c r="F456" s="297"/>
      <c r="G456" s="297"/>
      <c r="H456" s="297"/>
      <c r="I456" s="297"/>
      <c r="J456" s="297"/>
      <c r="K456" s="297"/>
      <c r="L456" s="297"/>
      <c r="M456" s="297"/>
      <c r="N456" s="297">
        <v>0</v>
      </c>
      <c r="O456" s="297"/>
      <c r="P456" s="297"/>
      <c r="Q456" s="297"/>
      <c r="R456" s="297"/>
      <c r="S456" s="297"/>
      <c r="T456" s="297"/>
      <c r="U456" s="297"/>
      <c r="V456" s="297"/>
      <c r="W456" s="297"/>
      <c r="X456" s="297"/>
      <c r="Y456" s="412"/>
      <c r="Z456" s="412"/>
      <c r="AA456" s="412"/>
      <c r="AB456" s="412"/>
      <c r="AC456" s="412"/>
      <c r="AD456" s="412"/>
      <c r="AE456" s="412"/>
      <c r="AF456" s="412"/>
      <c r="AG456" s="412"/>
      <c r="AH456" s="412"/>
      <c r="AI456" s="412"/>
      <c r="AJ456" s="412"/>
      <c r="AK456" s="412"/>
      <c r="AL456" s="412"/>
      <c r="AM456" s="298">
        <f>SUM(Y456:AL456)</f>
        <v>0</v>
      </c>
    </row>
    <row r="457" spans="1:40" s="285" customFormat="1" hidden="1" outlineLevel="1">
      <c r="A457" s="532"/>
      <c r="B457" s="529" t="s">
        <v>309</v>
      </c>
      <c r="C457" s="293" t="s">
        <v>164</v>
      </c>
      <c r="D457" s="297"/>
      <c r="E457" s="297"/>
      <c r="F457" s="297"/>
      <c r="G457" s="297"/>
      <c r="H457" s="297"/>
      <c r="I457" s="297"/>
      <c r="J457" s="297"/>
      <c r="K457" s="297"/>
      <c r="L457" s="297"/>
      <c r="M457" s="297"/>
      <c r="N457" s="297">
        <f>N456</f>
        <v>0</v>
      </c>
      <c r="O457" s="297"/>
      <c r="P457" s="297"/>
      <c r="Q457" s="297"/>
      <c r="R457" s="297"/>
      <c r="S457" s="297"/>
      <c r="T457" s="297"/>
      <c r="U457" s="297"/>
      <c r="V457" s="297"/>
      <c r="W457" s="297"/>
      <c r="X457" s="297"/>
      <c r="Y457" s="413">
        <f>Y456</f>
        <v>0</v>
      </c>
      <c r="Z457" s="413">
        <f t="shared" ref="Z457:AL457" si="1318">Z456</f>
        <v>0</v>
      </c>
      <c r="AA457" s="413">
        <f t="shared" si="1318"/>
        <v>0</v>
      </c>
      <c r="AB457" s="413">
        <f t="shared" si="1318"/>
        <v>0</v>
      </c>
      <c r="AC457" s="413">
        <f t="shared" si="1318"/>
        <v>0</v>
      </c>
      <c r="AD457" s="413">
        <f t="shared" si="1318"/>
        <v>0</v>
      </c>
      <c r="AE457" s="413">
        <f t="shared" si="1318"/>
        <v>0</v>
      </c>
      <c r="AF457" s="413">
        <f t="shared" si="1318"/>
        <v>0</v>
      </c>
      <c r="AG457" s="413">
        <f t="shared" si="1318"/>
        <v>0</v>
      </c>
      <c r="AH457" s="413">
        <f t="shared" si="1318"/>
        <v>0</v>
      </c>
      <c r="AI457" s="413">
        <f t="shared" si="1318"/>
        <v>0</v>
      </c>
      <c r="AJ457" s="413">
        <f t="shared" si="1318"/>
        <v>0</v>
      </c>
      <c r="AK457" s="413">
        <f t="shared" si="1318"/>
        <v>0</v>
      </c>
      <c r="AL457" s="413">
        <f t="shared" si="1318"/>
        <v>0</v>
      </c>
      <c r="AM457" s="299"/>
    </row>
    <row r="458" spans="1:40" s="285" customFormat="1" hidden="1" outlineLevel="1">
      <c r="A458" s="532"/>
      <c r="B458" s="529"/>
      <c r="C458" s="293"/>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414"/>
      <c r="Z458" s="414"/>
      <c r="AA458" s="414"/>
      <c r="AB458" s="414"/>
      <c r="AC458" s="414"/>
      <c r="AD458" s="414"/>
      <c r="AE458" s="418"/>
      <c r="AF458" s="418"/>
      <c r="AG458" s="418"/>
      <c r="AH458" s="418"/>
      <c r="AI458" s="418"/>
      <c r="AJ458" s="418"/>
      <c r="AK458" s="418"/>
      <c r="AL458" s="418"/>
      <c r="AM458" s="315"/>
    </row>
    <row r="459" spans="1:40" ht="15.75" hidden="1" outlineLevel="1">
      <c r="A459" s="532"/>
      <c r="B459" s="530" t="s">
        <v>498</v>
      </c>
      <c r="C459" s="322"/>
      <c r="D459" s="292"/>
      <c r="E459" s="291"/>
      <c r="F459" s="291"/>
      <c r="G459" s="291"/>
      <c r="H459" s="291"/>
      <c r="I459" s="291"/>
      <c r="J459" s="291"/>
      <c r="K459" s="291"/>
      <c r="L459" s="291"/>
      <c r="M459" s="291"/>
      <c r="N459" s="292"/>
      <c r="O459" s="291"/>
      <c r="P459" s="291"/>
      <c r="Q459" s="291"/>
      <c r="R459" s="291"/>
      <c r="S459" s="291"/>
      <c r="T459" s="291"/>
      <c r="U459" s="291"/>
      <c r="V459" s="291"/>
      <c r="W459" s="291"/>
      <c r="X459" s="291"/>
      <c r="Y459" s="416"/>
      <c r="Z459" s="416"/>
      <c r="AA459" s="416"/>
      <c r="AB459" s="416"/>
      <c r="AC459" s="416"/>
      <c r="AD459" s="416"/>
      <c r="AE459" s="416"/>
      <c r="AF459" s="416"/>
      <c r="AG459" s="416"/>
      <c r="AH459" s="416"/>
      <c r="AI459" s="416"/>
      <c r="AJ459" s="416"/>
      <c r="AK459" s="416"/>
      <c r="AL459" s="416"/>
      <c r="AM459" s="294"/>
    </row>
    <row r="460" spans="1:40" hidden="1" outlineLevel="1">
      <c r="A460" s="532">
        <v>17</v>
      </c>
      <c r="B460" s="430" t="s">
        <v>113</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2"/>
      <c r="B461" s="433"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2"/>
      <c r="B462" s="433"/>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4"/>
      <c r="Z462" s="427"/>
      <c r="AA462" s="427"/>
      <c r="AB462" s="427"/>
      <c r="AC462" s="427"/>
      <c r="AD462" s="427"/>
      <c r="AE462" s="427"/>
      <c r="AF462" s="427"/>
      <c r="AG462" s="427"/>
      <c r="AH462" s="427"/>
      <c r="AI462" s="427"/>
      <c r="AJ462" s="427"/>
      <c r="AK462" s="427"/>
      <c r="AL462" s="427"/>
      <c r="AM462" s="308"/>
    </row>
    <row r="463" spans="1:40" hidden="1" outlineLevel="1">
      <c r="A463" s="532">
        <v>18</v>
      </c>
      <c r="B463" s="430" t="s">
        <v>110</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2"/>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308"/>
    </row>
    <row r="465" spans="1:39" hidden="1" outlineLevel="1">
      <c r="A465" s="532"/>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25"/>
      <c r="Z465" s="426"/>
      <c r="AA465" s="426"/>
      <c r="AB465" s="426"/>
      <c r="AC465" s="426"/>
      <c r="AD465" s="426"/>
      <c r="AE465" s="426"/>
      <c r="AF465" s="426"/>
      <c r="AG465" s="426"/>
      <c r="AH465" s="426"/>
      <c r="AI465" s="426"/>
      <c r="AJ465" s="426"/>
      <c r="AK465" s="426"/>
      <c r="AL465" s="426"/>
      <c r="AM465" s="299"/>
    </row>
    <row r="466" spans="1:39" hidden="1" outlineLevel="1">
      <c r="A466" s="532">
        <v>19</v>
      </c>
      <c r="B466" s="430" t="s">
        <v>112</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2"/>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Y466</f>
        <v>0</v>
      </c>
      <c r="Z467" s="413">
        <f t="shared" ref="Z467:AL467" si="1321">Z466</f>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299"/>
    </row>
    <row r="468" spans="1:39" hidden="1" outlineLevel="1">
      <c r="A468" s="532"/>
      <c r="B468" s="432"/>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idden="1" outlineLevel="1">
      <c r="A469" s="532">
        <v>20</v>
      </c>
      <c r="B469" s="430" t="s">
        <v>111</v>
      </c>
      <c r="C469" s="293" t="s">
        <v>25</v>
      </c>
      <c r="D469" s="297"/>
      <c r="E469" s="297"/>
      <c r="F469" s="297"/>
      <c r="G469" s="297"/>
      <c r="H469" s="297"/>
      <c r="I469" s="297"/>
      <c r="J469" s="297"/>
      <c r="K469" s="297"/>
      <c r="L469" s="297"/>
      <c r="M469" s="297"/>
      <c r="N469" s="297">
        <v>0</v>
      </c>
      <c r="O469" s="297"/>
      <c r="P469" s="297"/>
      <c r="Q469" s="297"/>
      <c r="R469" s="297"/>
      <c r="S469" s="297"/>
      <c r="T469" s="297"/>
      <c r="U469" s="297"/>
      <c r="V469" s="297"/>
      <c r="W469" s="297"/>
      <c r="X469" s="297"/>
      <c r="Y469" s="428"/>
      <c r="Z469" s="412"/>
      <c r="AA469" s="412"/>
      <c r="AB469" s="412"/>
      <c r="AC469" s="412"/>
      <c r="AD469" s="412"/>
      <c r="AE469" s="412"/>
      <c r="AF469" s="417"/>
      <c r="AG469" s="417"/>
      <c r="AH469" s="417"/>
      <c r="AI469" s="417"/>
      <c r="AJ469" s="417"/>
      <c r="AK469" s="417"/>
      <c r="AL469" s="417"/>
      <c r="AM469" s="298">
        <f>SUM(Y469:AL469)</f>
        <v>0</v>
      </c>
    </row>
    <row r="470" spans="1:39" hidden="1" outlineLevel="1">
      <c r="A470" s="532"/>
      <c r="B470" s="433" t="s">
        <v>309</v>
      </c>
      <c r="C470" s="293" t="s">
        <v>164</v>
      </c>
      <c r="D470" s="297"/>
      <c r="E470" s="297"/>
      <c r="F470" s="297"/>
      <c r="G470" s="297"/>
      <c r="H470" s="297"/>
      <c r="I470" s="297"/>
      <c r="J470" s="297"/>
      <c r="K470" s="297"/>
      <c r="L470" s="297"/>
      <c r="M470" s="297"/>
      <c r="N470" s="297">
        <f>N469</f>
        <v>0</v>
      </c>
      <c r="O470" s="297"/>
      <c r="P470" s="297"/>
      <c r="Q470" s="297"/>
      <c r="R470" s="297"/>
      <c r="S470" s="297"/>
      <c r="T470" s="297"/>
      <c r="U470" s="297"/>
      <c r="V470" s="297"/>
      <c r="W470" s="297"/>
      <c r="X470" s="297"/>
      <c r="Y470" s="413">
        <f t="shared" ref="Y470:AL470" si="1322">Y469</f>
        <v>0</v>
      </c>
      <c r="Z470" s="413">
        <f t="shared" si="1322"/>
        <v>0</v>
      </c>
      <c r="AA470" s="413">
        <f t="shared" si="1322"/>
        <v>0</v>
      </c>
      <c r="AB470" s="413">
        <f t="shared" si="1322"/>
        <v>0</v>
      </c>
      <c r="AC470" s="413">
        <f t="shared" si="1322"/>
        <v>0</v>
      </c>
      <c r="AD470" s="413">
        <f t="shared" si="1322"/>
        <v>0</v>
      </c>
      <c r="AE470" s="413">
        <f t="shared" si="1322"/>
        <v>0</v>
      </c>
      <c r="AF470" s="413">
        <f t="shared" si="1322"/>
        <v>0</v>
      </c>
      <c r="AG470" s="413">
        <f t="shared" si="1322"/>
        <v>0</v>
      </c>
      <c r="AH470" s="413">
        <f t="shared" si="1322"/>
        <v>0</v>
      </c>
      <c r="AI470" s="413">
        <f t="shared" si="1322"/>
        <v>0</v>
      </c>
      <c r="AJ470" s="413">
        <f t="shared" si="1322"/>
        <v>0</v>
      </c>
      <c r="AK470" s="413">
        <f t="shared" si="1322"/>
        <v>0</v>
      </c>
      <c r="AL470" s="413">
        <f t="shared" si="1322"/>
        <v>0</v>
      </c>
      <c r="AM470" s="308"/>
    </row>
    <row r="471" spans="1:39" ht="15.75" hidden="1" outlineLevel="1">
      <c r="A471" s="532"/>
      <c r="B471" s="531"/>
      <c r="C471" s="302"/>
      <c r="D471" s="293"/>
      <c r="E471" s="293"/>
      <c r="F471" s="293"/>
      <c r="G471" s="293"/>
      <c r="H471" s="293"/>
      <c r="I471" s="293"/>
      <c r="J471" s="293"/>
      <c r="K471" s="293"/>
      <c r="L471" s="293"/>
      <c r="M471" s="293"/>
      <c r="N471" s="302"/>
      <c r="O471" s="293"/>
      <c r="P471" s="293"/>
      <c r="Q471" s="293"/>
      <c r="R471" s="293"/>
      <c r="S471" s="293"/>
      <c r="T471" s="293"/>
      <c r="U471" s="293"/>
      <c r="V471" s="293"/>
      <c r="W471" s="293"/>
      <c r="X471" s="293"/>
      <c r="Y471" s="414"/>
      <c r="Z471" s="414"/>
      <c r="AA471" s="414"/>
      <c r="AB471" s="414"/>
      <c r="AC471" s="414"/>
      <c r="AD471" s="414"/>
      <c r="AE471" s="414"/>
      <c r="AF471" s="414"/>
      <c r="AG471" s="414"/>
      <c r="AH471" s="414"/>
      <c r="AI471" s="414"/>
      <c r="AJ471" s="414"/>
      <c r="AK471" s="414"/>
      <c r="AL471" s="414"/>
      <c r="AM471" s="308"/>
    </row>
    <row r="472" spans="1:39" ht="15.75" hidden="1" outlineLevel="1">
      <c r="A472" s="532"/>
      <c r="B472" s="524" t="s">
        <v>505</v>
      </c>
      <c r="C472" s="293"/>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27"/>
      <c r="AA472" s="427"/>
      <c r="AB472" s="427"/>
      <c r="AC472" s="427"/>
      <c r="AD472" s="427"/>
      <c r="AE472" s="427"/>
      <c r="AF472" s="427"/>
      <c r="AG472" s="427"/>
      <c r="AH472" s="427"/>
      <c r="AI472" s="427"/>
      <c r="AJ472" s="427"/>
      <c r="AK472" s="427"/>
      <c r="AL472" s="427"/>
      <c r="AM472" s="308"/>
    </row>
    <row r="473" spans="1:39" ht="15.75" hidden="1" outlineLevel="1">
      <c r="A473" s="532"/>
      <c r="B473" s="504" t="s">
        <v>501</v>
      </c>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idden="1" outlineLevel="1">
      <c r="A474" s="532">
        <v>21</v>
      </c>
      <c r="B474" s="430" t="s">
        <v>114</v>
      </c>
      <c r="C474" s="293" t="s">
        <v>25</v>
      </c>
      <c r="D474" s="297">
        <v>3037051</v>
      </c>
      <c r="E474" s="297">
        <v>2344528</v>
      </c>
      <c r="F474" s="297">
        <v>2344528</v>
      </c>
      <c r="G474" s="297">
        <v>2344528</v>
      </c>
      <c r="H474" s="297">
        <v>2344528</v>
      </c>
      <c r="I474" s="297">
        <v>2344529.2589537292</v>
      </c>
      <c r="J474" s="297">
        <v>2344529.2589537287</v>
      </c>
      <c r="K474" s="297">
        <v>2344460.2459069318</v>
      </c>
      <c r="L474" s="297">
        <v>2344460.2459069318</v>
      </c>
      <c r="M474" s="297">
        <v>2342042.1014651028</v>
      </c>
      <c r="N474" s="293"/>
      <c r="O474" s="297">
        <v>209.93872372563288</v>
      </c>
      <c r="P474" s="297">
        <v>163.50914392030768</v>
      </c>
      <c r="Q474" s="297">
        <v>163.50914392030768</v>
      </c>
      <c r="R474" s="297">
        <v>163.50914392030768</v>
      </c>
      <c r="S474" s="297">
        <v>163.50914392030768</v>
      </c>
      <c r="T474" s="297">
        <v>163.50914392030768</v>
      </c>
      <c r="U474" s="297">
        <v>163.50914392030768</v>
      </c>
      <c r="V474" s="297">
        <v>163.50224261562798</v>
      </c>
      <c r="W474" s="297">
        <v>163.50224261562798</v>
      </c>
      <c r="X474" s="297">
        <v>4</v>
      </c>
      <c r="Y474" s="412">
        <v>1</v>
      </c>
      <c r="Z474" s="412"/>
      <c r="AA474" s="412"/>
      <c r="AB474" s="412"/>
      <c r="AC474" s="412"/>
      <c r="AD474" s="412"/>
      <c r="AE474" s="412"/>
      <c r="AF474" s="412"/>
      <c r="AG474" s="412"/>
      <c r="AH474" s="412"/>
      <c r="AI474" s="412"/>
      <c r="AJ474" s="412"/>
      <c r="AK474" s="412"/>
      <c r="AL474" s="412"/>
      <c r="AM474" s="298">
        <f>SUM(Y474:AL474)</f>
        <v>1</v>
      </c>
    </row>
    <row r="475" spans="1:39" hidden="1" outlineLevel="1">
      <c r="A475" s="532"/>
      <c r="B475" s="433"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1</v>
      </c>
      <c r="Z475" s="413">
        <f t="shared" ref="Z475" si="1323">Z474</f>
        <v>0</v>
      </c>
      <c r="AA475" s="413">
        <f t="shared" ref="AA475" si="1324">AA474</f>
        <v>0</v>
      </c>
      <c r="AB475" s="413">
        <f t="shared" ref="AB475" si="1325">AB474</f>
        <v>0</v>
      </c>
      <c r="AC475" s="413">
        <f t="shared" ref="AC475" si="1326">AC474</f>
        <v>0</v>
      </c>
      <c r="AD475" s="413">
        <f t="shared" ref="AD475" si="1327">AD474</f>
        <v>0</v>
      </c>
      <c r="AE475" s="413">
        <f t="shared" ref="AE475" si="1328">AE474</f>
        <v>0</v>
      </c>
      <c r="AF475" s="413">
        <f t="shared" ref="AF475" si="1329">AF474</f>
        <v>0</v>
      </c>
      <c r="AG475" s="413">
        <f t="shared" ref="AG475" si="1330">AG474</f>
        <v>0</v>
      </c>
      <c r="AH475" s="413">
        <f t="shared" ref="AH475" si="1331">AH474</f>
        <v>0</v>
      </c>
      <c r="AI475" s="413">
        <f t="shared" ref="AI475" si="1332">AI474</f>
        <v>0</v>
      </c>
      <c r="AJ475" s="413">
        <f t="shared" ref="AJ475" si="1333">AJ474</f>
        <v>0</v>
      </c>
      <c r="AK475" s="413">
        <f t="shared" ref="AK475" si="1334">AK474</f>
        <v>0</v>
      </c>
      <c r="AL475" s="413">
        <f t="shared" ref="AL475" si="1335">AL474</f>
        <v>0</v>
      </c>
      <c r="AM475" s="308"/>
    </row>
    <row r="476" spans="1:39" hidden="1" outlineLevel="1">
      <c r="A476" s="532"/>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2">
        <v>22</v>
      </c>
      <c r="B477" s="430" t="s">
        <v>115</v>
      </c>
      <c r="C477" s="293" t="s">
        <v>25</v>
      </c>
      <c r="D477" s="297">
        <v>129501</v>
      </c>
      <c r="E477" s="297">
        <v>129501</v>
      </c>
      <c r="F477" s="297">
        <v>129501</v>
      </c>
      <c r="G477" s="297">
        <v>129501</v>
      </c>
      <c r="H477" s="297">
        <v>129501</v>
      </c>
      <c r="I477" s="297">
        <v>129528.21700000022</v>
      </c>
      <c r="J477" s="297">
        <v>129528.21700000022</v>
      </c>
      <c r="K477" s="297">
        <v>129528.21700000022</v>
      </c>
      <c r="L477" s="297">
        <v>129528.21700000022</v>
      </c>
      <c r="M477" s="297">
        <v>129528.21700000022</v>
      </c>
      <c r="N477" s="293"/>
      <c r="O477" s="297">
        <v>34.60799999999999</v>
      </c>
      <c r="P477" s="297">
        <v>34.60799999999999</v>
      </c>
      <c r="Q477" s="297">
        <v>34.60799999999999</v>
      </c>
      <c r="R477" s="297">
        <v>34.60799999999999</v>
      </c>
      <c r="S477" s="297">
        <v>34.60799999999999</v>
      </c>
      <c r="T477" s="297">
        <v>34.60799999999999</v>
      </c>
      <c r="U477" s="297">
        <v>34.60799999999999</v>
      </c>
      <c r="V477" s="297">
        <v>34.60799999999999</v>
      </c>
      <c r="W477" s="297">
        <v>34.60799999999999</v>
      </c>
      <c r="X477" s="297">
        <v>140</v>
      </c>
      <c r="Y477" s="412">
        <v>1</v>
      </c>
      <c r="Z477" s="412"/>
      <c r="AA477" s="412"/>
      <c r="AB477" s="412"/>
      <c r="AC477" s="412"/>
      <c r="AD477" s="412"/>
      <c r="AE477" s="412"/>
      <c r="AF477" s="412"/>
      <c r="AG477" s="412"/>
      <c r="AH477" s="412"/>
      <c r="AI477" s="412"/>
      <c r="AJ477" s="412"/>
      <c r="AK477" s="412"/>
      <c r="AL477" s="412"/>
      <c r="AM477" s="298">
        <f>SUM(Y477:AL477)</f>
        <v>1</v>
      </c>
    </row>
    <row r="478" spans="1:39" hidden="1" outlineLevel="1">
      <c r="A478" s="532"/>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1</v>
      </c>
      <c r="Z478" s="413">
        <f t="shared" ref="Z478" si="1336">Z477</f>
        <v>0</v>
      </c>
      <c r="AA478" s="413">
        <f t="shared" ref="AA478" si="1337">AA477</f>
        <v>0</v>
      </c>
      <c r="AB478" s="413">
        <f t="shared" ref="AB478" si="1338">AB477</f>
        <v>0</v>
      </c>
      <c r="AC478" s="413">
        <f t="shared" ref="AC478" si="1339">AC477</f>
        <v>0</v>
      </c>
      <c r="AD478" s="413">
        <f t="shared" ref="AD478" si="1340">AD477</f>
        <v>0</v>
      </c>
      <c r="AE478" s="413">
        <f t="shared" ref="AE478" si="1341">AE477</f>
        <v>0</v>
      </c>
      <c r="AF478" s="413">
        <f t="shared" ref="AF478" si="1342">AF477</f>
        <v>0</v>
      </c>
      <c r="AG478" s="413">
        <f t="shared" ref="AG478" si="1343">AG477</f>
        <v>0</v>
      </c>
      <c r="AH478" s="413">
        <f t="shared" ref="AH478" si="1344">AH477</f>
        <v>0</v>
      </c>
      <c r="AI478" s="413">
        <f t="shared" ref="AI478" si="1345">AI477</f>
        <v>0</v>
      </c>
      <c r="AJ478" s="413">
        <f t="shared" ref="AJ478" si="1346">AJ477</f>
        <v>0</v>
      </c>
      <c r="AK478" s="413">
        <f t="shared" ref="AK478" si="1347">AK477</f>
        <v>0</v>
      </c>
      <c r="AL478" s="413">
        <f t="shared" ref="AL478" si="1348">AL477</f>
        <v>0</v>
      </c>
      <c r="AM478" s="308"/>
    </row>
    <row r="479" spans="1:39" hidden="1" outlineLevel="1">
      <c r="A479" s="532"/>
      <c r="B479" s="433"/>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2">
        <v>23</v>
      </c>
      <c r="B480" s="430" t="s">
        <v>116</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2"/>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49">Z480</f>
        <v>0</v>
      </c>
      <c r="AA481" s="413">
        <f t="shared" ref="AA481" si="1350">AA480</f>
        <v>0</v>
      </c>
      <c r="AB481" s="413">
        <f t="shared" ref="AB481" si="1351">AB480</f>
        <v>0</v>
      </c>
      <c r="AC481" s="413">
        <f t="shared" ref="AC481" si="1352">AC480</f>
        <v>0</v>
      </c>
      <c r="AD481" s="413">
        <f t="shared" ref="AD481" si="1353">AD480</f>
        <v>0</v>
      </c>
      <c r="AE481" s="413">
        <f t="shared" ref="AE481" si="1354">AE480</f>
        <v>0</v>
      </c>
      <c r="AF481" s="413">
        <f t="shared" ref="AF481" si="1355">AF480</f>
        <v>0</v>
      </c>
      <c r="AG481" s="413">
        <f t="shared" ref="AG481" si="1356">AG480</f>
        <v>0</v>
      </c>
      <c r="AH481" s="413">
        <f t="shared" ref="AH481" si="1357">AH480</f>
        <v>0</v>
      </c>
      <c r="AI481" s="413">
        <f t="shared" ref="AI481" si="1358">AI480</f>
        <v>0</v>
      </c>
      <c r="AJ481" s="413">
        <f t="shared" ref="AJ481" si="1359">AJ480</f>
        <v>0</v>
      </c>
      <c r="AK481" s="413">
        <f t="shared" ref="AK481" si="1360">AK480</f>
        <v>0</v>
      </c>
      <c r="AL481" s="413">
        <f t="shared" ref="AL481" si="1361">AL480</f>
        <v>0</v>
      </c>
      <c r="AM481" s="308"/>
    </row>
    <row r="482" spans="1:39" hidden="1" outlineLevel="1">
      <c r="A482" s="532"/>
      <c r="B482" s="432"/>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24"/>
      <c r="Z482" s="427"/>
      <c r="AA482" s="427"/>
      <c r="AB482" s="427"/>
      <c r="AC482" s="427"/>
      <c r="AD482" s="427"/>
      <c r="AE482" s="427"/>
      <c r="AF482" s="427"/>
      <c r="AG482" s="427"/>
      <c r="AH482" s="427"/>
      <c r="AI482" s="427"/>
      <c r="AJ482" s="427"/>
      <c r="AK482" s="427"/>
      <c r="AL482" s="427"/>
      <c r="AM482" s="308"/>
    </row>
    <row r="483" spans="1:39" ht="30" hidden="1" outlineLevel="1">
      <c r="A483" s="532">
        <v>24</v>
      </c>
      <c r="B483" s="430" t="s">
        <v>117</v>
      </c>
      <c r="C483" s="293" t="s">
        <v>25</v>
      </c>
      <c r="D483" s="297">
        <v>7430</v>
      </c>
      <c r="E483" s="297">
        <v>7430</v>
      </c>
      <c r="F483" s="297">
        <v>7430</v>
      </c>
      <c r="G483" s="297">
        <v>7430</v>
      </c>
      <c r="H483" s="297">
        <v>7430</v>
      </c>
      <c r="I483" s="297">
        <v>7431.1598491999994</v>
      </c>
      <c r="J483" s="297">
        <v>7431.1598491999994</v>
      </c>
      <c r="K483" s="297">
        <v>7431.1598491999994</v>
      </c>
      <c r="L483" s="297">
        <v>7431.1598491999994</v>
      </c>
      <c r="M483" s="297">
        <v>7431.1598491999994</v>
      </c>
      <c r="N483" s="293"/>
      <c r="O483" s="297">
        <v>1.3622098999999999</v>
      </c>
      <c r="P483" s="297">
        <v>1.3622098999999999</v>
      </c>
      <c r="Q483" s="297">
        <v>1.3622098999999999</v>
      </c>
      <c r="R483" s="297">
        <v>1.3622098999999999</v>
      </c>
      <c r="S483" s="297">
        <v>1.3622098999999999</v>
      </c>
      <c r="T483" s="297">
        <v>1.3622098999999999</v>
      </c>
      <c r="U483" s="297">
        <v>1.3622098999999999</v>
      </c>
      <c r="V483" s="297">
        <v>1.3622098999999999</v>
      </c>
      <c r="W483" s="297">
        <v>1.3622098999999999</v>
      </c>
      <c r="X483" s="297">
        <v>4</v>
      </c>
      <c r="Y483" s="412">
        <v>1</v>
      </c>
      <c r="Z483" s="412"/>
      <c r="AA483" s="412"/>
      <c r="AB483" s="412"/>
      <c r="AC483" s="412"/>
      <c r="AD483" s="412"/>
      <c r="AE483" s="412"/>
      <c r="AF483" s="412"/>
      <c r="AG483" s="412"/>
      <c r="AH483" s="412"/>
      <c r="AI483" s="412"/>
      <c r="AJ483" s="412"/>
      <c r="AK483" s="412"/>
      <c r="AL483" s="412"/>
      <c r="AM483" s="298">
        <f>SUM(Y483:AL483)</f>
        <v>1</v>
      </c>
    </row>
    <row r="484" spans="1:39" hidden="1" outlineLevel="1">
      <c r="A484" s="532"/>
      <c r="B484" s="433" t="s">
        <v>309</v>
      </c>
      <c r="C484" s="293" t="s">
        <v>164</v>
      </c>
      <c r="D484" s="297"/>
      <c r="E484" s="297"/>
      <c r="F484" s="297"/>
      <c r="G484" s="297"/>
      <c r="H484" s="297"/>
      <c r="I484" s="297"/>
      <c r="J484" s="297"/>
      <c r="K484" s="297"/>
      <c r="L484" s="297"/>
      <c r="M484" s="297"/>
      <c r="N484" s="293"/>
      <c r="O484" s="297"/>
      <c r="P484" s="297"/>
      <c r="Q484" s="297"/>
      <c r="R484" s="297"/>
      <c r="S484" s="297"/>
      <c r="T484" s="297"/>
      <c r="U484" s="297"/>
      <c r="V484" s="297"/>
      <c r="W484" s="297"/>
      <c r="X484" s="297"/>
      <c r="Y484" s="413">
        <f>Y483</f>
        <v>1</v>
      </c>
      <c r="Z484" s="413">
        <f t="shared" ref="Z484" si="1362">Z483</f>
        <v>0</v>
      </c>
      <c r="AA484" s="413">
        <f t="shared" ref="AA484" si="1363">AA483</f>
        <v>0</v>
      </c>
      <c r="AB484" s="413">
        <f t="shared" ref="AB484" si="1364">AB483</f>
        <v>0</v>
      </c>
      <c r="AC484" s="413">
        <f t="shared" ref="AC484" si="1365">AC483</f>
        <v>0</v>
      </c>
      <c r="AD484" s="413">
        <f t="shared" ref="AD484" si="1366">AD483</f>
        <v>0</v>
      </c>
      <c r="AE484" s="413">
        <f t="shared" ref="AE484" si="1367">AE483</f>
        <v>0</v>
      </c>
      <c r="AF484" s="413">
        <f t="shared" ref="AF484" si="1368">AF483</f>
        <v>0</v>
      </c>
      <c r="AG484" s="413">
        <f t="shared" ref="AG484" si="1369">AG483</f>
        <v>0</v>
      </c>
      <c r="AH484" s="413">
        <f t="shared" ref="AH484" si="1370">AH483</f>
        <v>0</v>
      </c>
      <c r="AI484" s="413">
        <f t="shared" ref="AI484" si="1371">AI483</f>
        <v>0</v>
      </c>
      <c r="AJ484" s="413">
        <f t="shared" ref="AJ484" si="1372">AJ483</f>
        <v>0</v>
      </c>
      <c r="AK484" s="413">
        <f t="shared" ref="AK484" si="1373">AK483</f>
        <v>0</v>
      </c>
      <c r="AL484" s="413">
        <f t="shared" ref="AL484" si="1374">AL483</f>
        <v>0</v>
      </c>
      <c r="AM484" s="308"/>
    </row>
    <row r="485" spans="1:39" hidden="1" outlineLevel="1">
      <c r="A485" s="532"/>
      <c r="B485" s="433"/>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414"/>
      <c r="Z485" s="427"/>
      <c r="AA485" s="427"/>
      <c r="AB485" s="427"/>
      <c r="AC485" s="427"/>
      <c r="AD485" s="427"/>
      <c r="AE485" s="427"/>
      <c r="AF485" s="427"/>
      <c r="AG485" s="427"/>
      <c r="AH485" s="427"/>
      <c r="AI485" s="427"/>
      <c r="AJ485" s="427"/>
      <c r="AK485" s="427"/>
      <c r="AL485" s="427"/>
      <c r="AM485" s="308"/>
    </row>
    <row r="486" spans="1:39" ht="15.75" hidden="1" outlineLevel="1">
      <c r="A486" s="532"/>
      <c r="B486" s="504" t="s">
        <v>502</v>
      </c>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2">
        <v>25</v>
      </c>
      <c r="B487" s="430" t="s">
        <v>118</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2"/>
      <c r="B488" s="433"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75">Z487</f>
        <v>0</v>
      </c>
      <c r="AA488" s="413">
        <f t="shared" ref="AA488" si="1376">AA487</f>
        <v>0</v>
      </c>
      <c r="AB488" s="413">
        <f t="shared" ref="AB488" si="1377">AB487</f>
        <v>0</v>
      </c>
      <c r="AC488" s="413">
        <f t="shared" ref="AC488" si="1378">AC487</f>
        <v>0</v>
      </c>
      <c r="AD488" s="413">
        <f t="shared" ref="AD488" si="1379">AD487</f>
        <v>0</v>
      </c>
      <c r="AE488" s="413">
        <f t="shared" ref="AE488" si="1380">AE487</f>
        <v>0</v>
      </c>
      <c r="AF488" s="413">
        <f t="shared" ref="AF488" si="1381">AF487</f>
        <v>0</v>
      </c>
      <c r="AG488" s="413">
        <f t="shared" ref="AG488" si="1382">AG487</f>
        <v>0</v>
      </c>
      <c r="AH488" s="413">
        <f t="shared" ref="AH488" si="1383">AH487</f>
        <v>0</v>
      </c>
      <c r="AI488" s="413">
        <f t="shared" ref="AI488" si="1384">AI487</f>
        <v>0</v>
      </c>
      <c r="AJ488" s="413">
        <f t="shared" ref="AJ488" si="1385">AJ487</f>
        <v>0</v>
      </c>
      <c r="AK488" s="413">
        <f t="shared" ref="AK488" si="1386">AK487</f>
        <v>0</v>
      </c>
      <c r="AL488" s="413">
        <f t="shared" ref="AL488" si="1387">AL487</f>
        <v>0</v>
      </c>
      <c r="AM488" s="308"/>
    </row>
    <row r="489" spans="1:39" hidden="1" outlineLevel="1">
      <c r="A489" s="532"/>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idden="1" outlineLevel="1">
      <c r="A490" s="532">
        <v>26</v>
      </c>
      <c r="B490" s="430" t="s">
        <v>119</v>
      </c>
      <c r="C490" s="293" t="s">
        <v>25</v>
      </c>
      <c r="D490" s="297">
        <v>3389194</v>
      </c>
      <c r="E490" s="297">
        <v>3437086</v>
      </c>
      <c r="F490" s="297">
        <v>3437086</v>
      </c>
      <c r="G490" s="297">
        <v>3437086</v>
      </c>
      <c r="H490" s="297">
        <v>3437086</v>
      </c>
      <c r="I490" s="297">
        <v>3401919.0078805345</v>
      </c>
      <c r="J490" s="297">
        <v>3401919.0078805345</v>
      </c>
      <c r="K490" s="297">
        <v>3401919.0078805345</v>
      </c>
      <c r="L490" s="297">
        <v>3392188.170817954</v>
      </c>
      <c r="M490" s="297">
        <v>3392188.170817954</v>
      </c>
      <c r="N490" s="297">
        <v>12</v>
      </c>
      <c r="O490" s="297">
        <v>516.80782880764957</v>
      </c>
      <c r="P490" s="297">
        <v>533.90093469736792</v>
      </c>
      <c r="Q490" s="297">
        <v>533.90093469736792</v>
      </c>
      <c r="R490" s="297">
        <v>533.90093469736792</v>
      </c>
      <c r="S490" s="297">
        <v>533.90093469736792</v>
      </c>
      <c r="T490" s="297">
        <v>526.59582397609108</v>
      </c>
      <c r="U490" s="297">
        <v>526.59582397609108</v>
      </c>
      <c r="V490" s="297">
        <v>526.59582397609108</v>
      </c>
      <c r="W490" s="297">
        <v>526.59582397609108</v>
      </c>
      <c r="X490" s="297">
        <v>16</v>
      </c>
      <c r="Y490" s="428"/>
      <c r="Z490" s="412">
        <v>5.1195062896960165E-3</v>
      </c>
      <c r="AA490" s="412">
        <v>0.58674363285194064</v>
      </c>
      <c r="AB490" s="412">
        <v>0.40813686085836337</v>
      </c>
      <c r="AC490" s="412"/>
      <c r="AD490" s="412"/>
      <c r="AE490" s="412"/>
      <c r="AF490" s="417"/>
      <c r="AG490" s="417"/>
      <c r="AH490" s="417"/>
      <c r="AI490" s="417"/>
      <c r="AJ490" s="417"/>
      <c r="AK490" s="417"/>
      <c r="AL490" s="417"/>
      <c r="AM490" s="298">
        <f>SUM(Y490:AL490)</f>
        <v>1</v>
      </c>
    </row>
    <row r="491" spans="1:39" hidden="1" outlineLevel="1">
      <c r="A491" s="532"/>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388">Z490</f>
        <v>5.1195062896960165E-3</v>
      </c>
      <c r="AA491" s="413">
        <f t="shared" ref="AA491" si="1389">AA490</f>
        <v>0.58674363285194064</v>
      </c>
      <c r="AB491" s="413">
        <f t="shared" ref="AB491" si="1390">AB490</f>
        <v>0.40813686085836337</v>
      </c>
      <c r="AC491" s="413">
        <f t="shared" ref="AC491" si="1391">AC490</f>
        <v>0</v>
      </c>
      <c r="AD491" s="413">
        <f t="shared" ref="AD491" si="1392">AD490</f>
        <v>0</v>
      </c>
      <c r="AE491" s="413">
        <f t="shared" ref="AE491" si="1393">AE490</f>
        <v>0</v>
      </c>
      <c r="AF491" s="413">
        <f t="shared" ref="AF491" si="1394">AF490</f>
        <v>0</v>
      </c>
      <c r="AG491" s="413">
        <f t="shared" ref="AG491" si="1395">AG490</f>
        <v>0</v>
      </c>
      <c r="AH491" s="413">
        <f t="shared" ref="AH491" si="1396">AH490</f>
        <v>0</v>
      </c>
      <c r="AI491" s="413">
        <f t="shared" ref="AI491" si="1397">AI490</f>
        <v>0</v>
      </c>
      <c r="AJ491" s="413">
        <f t="shared" ref="AJ491" si="1398">AJ490</f>
        <v>0</v>
      </c>
      <c r="AK491" s="413">
        <f t="shared" ref="AK491" si="1399">AK490</f>
        <v>0</v>
      </c>
      <c r="AL491" s="413">
        <f t="shared" ref="AL491" si="1400">AL490</f>
        <v>0</v>
      </c>
      <c r="AM491" s="308"/>
    </row>
    <row r="492" spans="1:39" hidden="1" outlineLevel="1">
      <c r="A492" s="532"/>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2">
        <v>27</v>
      </c>
      <c r="B493" s="430" t="s">
        <v>120</v>
      </c>
      <c r="C493" s="293" t="s">
        <v>25</v>
      </c>
      <c r="D493" s="297">
        <v>99039</v>
      </c>
      <c r="E493" s="297">
        <v>99039</v>
      </c>
      <c r="F493" s="297">
        <v>94008</v>
      </c>
      <c r="G493" s="297">
        <v>94008</v>
      </c>
      <c r="H493" s="297">
        <v>94008</v>
      </c>
      <c r="I493" s="297">
        <v>71121.02794488013</v>
      </c>
      <c r="J493" s="297">
        <v>54508.995156088306</v>
      </c>
      <c r="K493" s="297">
        <v>47180.688006930861</v>
      </c>
      <c r="L493" s="297">
        <v>39987.95380540035</v>
      </c>
      <c r="M493" s="297">
        <v>34635.579952544656</v>
      </c>
      <c r="N493" s="297">
        <v>12</v>
      </c>
      <c r="O493" s="297">
        <v>22.398136590954895</v>
      </c>
      <c r="P493" s="297">
        <v>22.398136590954895</v>
      </c>
      <c r="Q493" s="297">
        <v>21.956963784362262</v>
      </c>
      <c r="R493" s="297">
        <v>21.956963784362262</v>
      </c>
      <c r="S493" s="297">
        <v>21.956963784362262</v>
      </c>
      <c r="T493" s="297">
        <v>18.659082166330613</v>
      </c>
      <c r="U493" s="297">
        <v>15.566276970113506</v>
      </c>
      <c r="V493" s="297">
        <v>13.956111114802113</v>
      </c>
      <c r="W493" s="297">
        <v>12.574573875407214</v>
      </c>
      <c r="X493" s="297">
        <v>23</v>
      </c>
      <c r="Y493" s="428"/>
      <c r="Z493" s="412">
        <v>0.98833792748311267</v>
      </c>
      <c r="AA493" s="412">
        <v>1.1662072516887287E-2</v>
      </c>
      <c r="AB493" s="412"/>
      <c r="AC493" s="412"/>
      <c r="AD493" s="412"/>
      <c r="AE493" s="412"/>
      <c r="AF493" s="417"/>
      <c r="AG493" s="417"/>
      <c r="AH493" s="417"/>
      <c r="AI493" s="417"/>
      <c r="AJ493" s="417"/>
      <c r="AK493" s="417"/>
      <c r="AL493" s="417"/>
      <c r="AM493" s="298">
        <f>SUM(Y493:AL493)</f>
        <v>1</v>
      </c>
    </row>
    <row r="494" spans="1:39" hidden="1" outlineLevel="1">
      <c r="A494" s="532"/>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01">Z493</f>
        <v>0.98833792748311267</v>
      </c>
      <c r="AA494" s="413">
        <f t="shared" ref="AA494" si="1402">AA493</f>
        <v>1.1662072516887287E-2</v>
      </c>
      <c r="AB494" s="413">
        <f t="shared" ref="AB494" si="1403">AB493</f>
        <v>0</v>
      </c>
      <c r="AC494" s="413">
        <f t="shared" ref="AC494" si="1404">AC493</f>
        <v>0</v>
      </c>
      <c r="AD494" s="413">
        <f t="shared" ref="AD494" si="1405">AD493</f>
        <v>0</v>
      </c>
      <c r="AE494" s="413">
        <f t="shared" ref="AE494" si="1406">AE493</f>
        <v>0</v>
      </c>
      <c r="AF494" s="413">
        <f t="shared" ref="AF494" si="1407">AF493</f>
        <v>0</v>
      </c>
      <c r="AG494" s="413">
        <f t="shared" ref="AG494" si="1408">AG493</f>
        <v>0</v>
      </c>
      <c r="AH494" s="413">
        <f t="shared" ref="AH494" si="1409">AH493</f>
        <v>0</v>
      </c>
      <c r="AI494" s="413">
        <f t="shared" ref="AI494" si="1410">AI493</f>
        <v>0</v>
      </c>
      <c r="AJ494" s="413">
        <f t="shared" ref="AJ494" si="1411">AJ493</f>
        <v>0</v>
      </c>
      <c r="AK494" s="413">
        <f t="shared" ref="AK494" si="1412">AK493</f>
        <v>0</v>
      </c>
      <c r="AL494" s="413">
        <f t="shared" ref="AL494" si="1413">AL493</f>
        <v>0</v>
      </c>
      <c r="AM494" s="308"/>
    </row>
    <row r="495" spans="1:39" hidden="1" outlineLevel="1">
      <c r="A495" s="532"/>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2">
        <v>28</v>
      </c>
      <c r="B496" s="430" t="s">
        <v>121</v>
      </c>
      <c r="C496" s="293" t="s">
        <v>25</v>
      </c>
      <c r="D496" s="297"/>
      <c r="E496" s="297"/>
      <c r="F496" s="297"/>
      <c r="G496" s="297"/>
      <c r="H496" s="297"/>
      <c r="I496" s="297"/>
      <c r="J496" s="297"/>
      <c r="K496" s="297"/>
      <c r="L496" s="297"/>
      <c r="M496" s="297"/>
      <c r="N496" s="297">
        <v>12</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2"/>
      <c r="B497" s="433" t="s">
        <v>309</v>
      </c>
      <c r="C497" s="293" t="s">
        <v>164</v>
      </c>
      <c r="D497" s="297"/>
      <c r="E497" s="297"/>
      <c r="F497" s="297"/>
      <c r="G497" s="297"/>
      <c r="H497" s="297"/>
      <c r="I497" s="297"/>
      <c r="J497" s="297"/>
      <c r="K497" s="297"/>
      <c r="L497" s="297"/>
      <c r="M497" s="297"/>
      <c r="N497" s="297">
        <f>N496</f>
        <v>12</v>
      </c>
      <c r="O497" s="297"/>
      <c r="P497" s="297"/>
      <c r="Q497" s="297"/>
      <c r="R497" s="297"/>
      <c r="S497" s="297"/>
      <c r="T497" s="297"/>
      <c r="U497" s="297"/>
      <c r="V497" s="297"/>
      <c r="W497" s="297"/>
      <c r="X497" s="297"/>
      <c r="Y497" s="413">
        <f>Y496</f>
        <v>0</v>
      </c>
      <c r="Z497" s="413">
        <f t="shared" ref="Z497" si="1414">Z496</f>
        <v>0</v>
      </c>
      <c r="AA497" s="413">
        <f t="shared" ref="AA497" si="1415">AA496</f>
        <v>0</v>
      </c>
      <c r="AB497" s="413">
        <f t="shared" ref="AB497" si="1416">AB496</f>
        <v>0</v>
      </c>
      <c r="AC497" s="413">
        <f t="shared" ref="AC497" si="1417">AC496</f>
        <v>0</v>
      </c>
      <c r="AD497" s="413">
        <f t="shared" ref="AD497" si="1418">AD496</f>
        <v>0</v>
      </c>
      <c r="AE497" s="413">
        <f t="shared" ref="AE497" si="1419">AE496</f>
        <v>0</v>
      </c>
      <c r="AF497" s="413">
        <f t="shared" ref="AF497" si="1420">AF496</f>
        <v>0</v>
      </c>
      <c r="AG497" s="413">
        <f t="shared" ref="AG497" si="1421">AG496</f>
        <v>0</v>
      </c>
      <c r="AH497" s="413">
        <f t="shared" ref="AH497" si="1422">AH496</f>
        <v>0</v>
      </c>
      <c r="AI497" s="413">
        <f t="shared" ref="AI497" si="1423">AI496</f>
        <v>0</v>
      </c>
      <c r="AJ497" s="413">
        <f t="shared" ref="AJ497" si="1424">AJ496</f>
        <v>0</v>
      </c>
      <c r="AK497" s="413">
        <f t="shared" ref="AK497" si="1425">AK496</f>
        <v>0</v>
      </c>
      <c r="AL497" s="413">
        <f t="shared" ref="AL497" si="1426">AL496</f>
        <v>0</v>
      </c>
      <c r="AM497" s="308"/>
    </row>
    <row r="498" spans="1:39" hidden="1" outlineLevel="1">
      <c r="A498" s="532"/>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2">
        <v>29</v>
      </c>
      <c r="B499" s="430" t="s">
        <v>122</v>
      </c>
      <c r="C499" s="293" t="s">
        <v>25</v>
      </c>
      <c r="D499" s="297"/>
      <c r="E499" s="297"/>
      <c r="F499" s="297"/>
      <c r="G499" s="297"/>
      <c r="H499" s="297"/>
      <c r="I499" s="297"/>
      <c r="J499" s="297"/>
      <c r="K499" s="297"/>
      <c r="L499" s="297"/>
      <c r="M499" s="297"/>
      <c r="N499" s="297">
        <v>3</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2"/>
      <c r="B500" s="433" t="s">
        <v>309</v>
      </c>
      <c r="C500" s="293" t="s">
        <v>164</v>
      </c>
      <c r="D500" s="297"/>
      <c r="E500" s="297"/>
      <c r="F500" s="297"/>
      <c r="G500" s="297"/>
      <c r="H500" s="297"/>
      <c r="I500" s="297"/>
      <c r="J500" s="297"/>
      <c r="K500" s="297"/>
      <c r="L500" s="297"/>
      <c r="M500" s="297"/>
      <c r="N500" s="297">
        <f>N499</f>
        <v>3</v>
      </c>
      <c r="O500" s="297"/>
      <c r="P500" s="297"/>
      <c r="Q500" s="297"/>
      <c r="R500" s="297"/>
      <c r="S500" s="297"/>
      <c r="T500" s="297"/>
      <c r="U500" s="297"/>
      <c r="V500" s="297"/>
      <c r="W500" s="297"/>
      <c r="X500" s="297"/>
      <c r="Y500" s="413">
        <f>Y499</f>
        <v>0</v>
      </c>
      <c r="Z500" s="413">
        <f t="shared" ref="Z500" si="1427">Z499</f>
        <v>0</v>
      </c>
      <c r="AA500" s="413">
        <f t="shared" ref="AA500" si="1428">AA499</f>
        <v>0</v>
      </c>
      <c r="AB500" s="413">
        <f t="shared" ref="AB500" si="1429">AB499</f>
        <v>0</v>
      </c>
      <c r="AC500" s="413">
        <f t="shared" ref="AC500" si="1430">AC499</f>
        <v>0</v>
      </c>
      <c r="AD500" s="413">
        <f t="shared" ref="AD500" si="1431">AD499</f>
        <v>0</v>
      </c>
      <c r="AE500" s="413">
        <f t="shared" ref="AE500" si="1432">AE499</f>
        <v>0</v>
      </c>
      <c r="AF500" s="413">
        <f t="shared" ref="AF500" si="1433">AF499</f>
        <v>0</v>
      </c>
      <c r="AG500" s="413">
        <f t="shared" ref="AG500" si="1434">AG499</f>
        <v>0</v>
      </c>
      <c r="AH500" s="413">
        <f t="shared" ref="AH500" si="1435">AH499</f>
        <v>0</v>
      </c>
      <c r="AI500" s="413">
        <f t="shared" ref="AI500" si="1436">AI499</f>
        <v>0</v>
      </c>
      <c r="AJ500" s="413">
        <f t="shared" ref="AJ500" si="1437">AJ499</f>
        <v>0</v>
      </c>
      <c r="AK500" s="413">
        <f t="shared" ref="AK500" si="1438">AK499</f>
        <v>0</v>
      </c>
      <c r="AL500" s="413">
        <f t="shared" ref="AL500" si="1439">AL499</f>
        <v>0</v>
      </c>
      <c r="AM500" s="308"/>
    </row>
    <row r="501" spans="1:39" hidden="1" outlineLevel="1">
      <c r="A501" s="532"/>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2">
        <v>30</v>
      </c>
      <c r="B502" s="430" t="s">
        <v>123</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2"/>
      <c r="B503" s="433"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40">Z502</f>
        <v>0</v>
      </c>
      <c r="AA503" s="413">
        <f t="shared" ref="AA503" si="1441">AA502</f>
        <v>0</v>
      </c>
      <c r="AB503" s="413">
        <f t="shared" ref="AB503" si="1442">AB502</f>
        <v>0</v>
      </c>
      <c r="AC503" s="413">
        <f t="shared" ref="AC503" si="1443">AC502</f>
        <v>0</v>
      </c>
      <c r="AD503" s="413">
        <f t="shared" ref="AD503" si="1444">AD502</f>
        <v>0</v>
      </c>
      <c r="AE503" s="413">
        <f t="shared" ref="AE503" si="1445">AE502</f>
        <v>0</v>
      </c>
      <c r="AF503" s="413">
        <f t="shared" ref="AF503" si="1446">AF502</f>
        <v>0</v>
      </c>
      <c r="AG503" s="413">
        <f t="shared" ref="AG503" si="1447">AG502</f>
        <v>0</v>
      </c>
      <c r="AH503" s="413">
        <f t="shared" ref="AH503" si="1448">AH502</f>
        <v>0</v>
      </c>
      <c r="AI503" s="413">
        <f t="shared" ref="AI503" si="1449">AI502</f>
        <v>0</v>
      </c>
      <c r="AJ503" s="413">
        <f t="shared" ref="AJ503" si="1450">AJ502</f>
        <v>0</v>
      </c>
      <c r="AK503" s="413">
        <f t="shared" ref="AK503" si="1451">AK502</f>
        <v>0</v>
      </c>
      <c r="AL503" s="413">
        <f t="shared" ref="AL503" si="1452">AL502</f>
        <v>0</v>
      </c>
      <c r="AM503" s="308"/>
    </row>
    <row r="504" spans="1:39" hidden="1" outlineLevel="1">
      <c r="A504" s="532"/>
      <c r="B504" s="433"/>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2">
        <v>31</v>
      </c>
      <c r="B505" s="430" t="s">
        <v>124</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2"/>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53">Z505</f>
        <v>0</v>
      </c>
      <c r="AA506" s="413">
        <f t="shared" ref="AA506" si="1454">AA505</f>
        <v>0</v>
      </c>
      <c r="AB506" s="413">
        <f t="shared" ref="AB506" si="1455">AB505</f>
        <v>0</v>
      </c>
      <c r="AC506" s="413">
        <f t="shared" ref="AC506" si="1456">AC505</f>
        <v>0</v>
      </c>
      <c r="AD506" s="413">
        <f t="shared" ref="AD506" si="1457">AD505</f>
        <v>0</v>
      </c>
      <c r="AE506" s="413">
        <f t="shared" ref="AE506" si="1458">AE505</f>
        <v>0</v>
      </c>
      <c r="AF506" s="413">
        <f t="shared" ref="AF506" si="1459">AF505</f>
        <v>0</v>
      </c>
      <c r="AG506" s="413">
        <f t="shared" ref="AG506" si="1460">AG505</f>
        <v>0</v>
      </c>
      <c r="AH506" s="413">
        <f t="shared" ref="AH506" si="1461">AH505</f>
        <v>0</v>
      </c>
      <c r="AI506" s="413">
        <f t="shared" ref="AI506" si="1462">AI505</f>
        <v>0</v>
      </c>
      <c r="AJ506" s="413">
        <f t="shared" ref="AJ506" si="1463">AJ505</f>
        <v>0</v>
      </c>
      <c r="AK506" s="413">
        <f t="shared" ref="AK506" si="1464">AK505</f>
        <v>0</v>
      </c>
      <c r="AL506" s="413">
        <f t="shared" ref="AL506" si="1465">AL505</f>
        <v>0</v>
      </c>
      <c r="AM506" s="308"/>
    </row>
    <row r="507" spans="1:39" hidden="1" outlineLevel="1">
      <c r="A507" s="532"/>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30" hidden="1" outlineLevel="1">
      <c r="A508" s="532">
        <v>32</v>
      </c>
      <c r="B508" s="430" t="s">
        <v>125</v>
      </c>
      <c r="C508" s="293" t="s">
        <v>25</v>
      </c>
      <c r="D508" s="297"/>
      <c r="E508" s="297"/>
      <c r="F508" s="297"/>
      <c r="G508" s="297"/>
      <c r="H508" s="297"/>
      <c r="I508" s="297"/>
      <c r="J508" s="297"/>
      <c r="K508" s="297"/>
      <c r="L508" s="297"/>
      <c r="M508" s="297"/>
      <c r="N508" s="297">
        <v>12</v>
      </c>
      <c r="O508" s="297"/>
      <c r="P508" s="297"/>
      <c r="Q508" s="297"/>
      <c r="R508" s="297"/>
      <c r="S508" s="297"/>
      <c r="T508" s="297"/>
      <c r="U508" s="297"/>
      <c r="V508" s="297"/>
      <c r="W508" s="297"/>
      <c r="X508" s="297"/>
      <c r="Y508" s="428"/>
      <c r="Z508" s="412"/>
      <c r="AA508" s="412"/>
      <c r="AB508" s="412"/>
      <c r="AC508" s="412"/>
      <c r="AD508" s="412"/>
      <c r="AE508" s="412"/>
      <c r="AF508" s="417"/>
      <c r="AG508" s="417"/>
      <c r="AH508" s="417"/>
      <c r="AI508" s="417"/>
      <c r="AJ508" s="417"/>
      <c r="AK508" s="417"/>
      <c r="AL508" s="417"/>
      <c r="AM508" s="298">
        <f>SUM(Y508:AL508)</f>
        <v>0</v>
      </c>
    </row>
    <row r="509" spans="1:39" hidden="1" outlineLevel="1">
      <c r="A509" s="532"/>
      <c r="B509" s="433" t="s">
        <v>309</v>
      </c>
      <c r="C509" s="293" t="s">
        <v>164</v>
      </c>
      <c r="D509" s="297"/>
      <c r="E509" s="297"/>
      <c r="F509" s="297"/>
      <c r="G509" s="297"/>
      <c r="H509" s="297"/>
      <c r="I509" s="297"/>
      <c r="J509" s="297"/>
      <c r="K509" s="297"/>
      <c r="L509" s="297"/>
      <c r="M509" s="297"/>
      <c r="N509" s="297">
        <f>N508</f>
        <v>12</v>
      </c>
      <c r="O509" s="297"/>
      <c r="P509" s="297"/>
      <c r="Q509" s="297"/>
      <c r="R509" s="297"/>
      <c r="S509" s="297"/>
      <c r="T509" s="297"/>
      <c r="U509" s="297"/>
      <c r="V509" s="297"/>
      <c r="W509" s="297"/>
      <c r="X509" s="297"/>
      <c r="Y509" s="413">
        <f>Y508</f>
        <v>0</v>
      </c>
      <c r="Z509" s="413">
        <f t="shared" ref="Z509" si="1466">Z508</f>
        <v>0</v>
      </c>
      <c r="AA509" s="413">
        <f t="shared" ref="AA509" si="1467">AA508</f>
        <v>0</v>
      </c>
      <c r="AB509" s="413">
        <f t="shared" ref="AB509" si="1468">AB508</f>
        <v>0</v>
      </c>
      <c r="AC509" s="413">
        <f t="shared" ref="AC509" si="1469">AC508</f>
        <v>0</v>
      </c>
      <c r="AD509" s="413">
        <f t="shared" ref="AD509" si="1470">AD508</f>
        <v>0</v>
      </c>
      <c r="AE509" s="413">
        <f t="shared" ref="AE509" si="1471">AE508</f>
        <v>0</v>
      </c>
      <c r="AF509" s="413">
        <f t="shared" ref="AF509" si="1472">AF508</f>
        <v>0</v>
      </c>
      <c r="AG509" s="413">
        <f t="shared" ref="AG509" si="1473">AG508</f>
        <v>0</v>
      </c>
      <c r="AH509" s="413">
        <f t="shared" ref="AH509" si="1474">AH508</f>
        <v>0</v>
      </c>
      <c r="AI509" s="413">
        <f t="shared" ref="AI509" si="1475">AI508</f>
        <v>0</v>
      </c>
      <c r="AJ509" s="413">
        <f t="shared" ref="AJ509" si="1476">AJ508</f>
        <v>0</v>
      </c>
      <c r="AK509" s="413">
        <f t="shared" ref="AK509" si="1477">AK508</f>
        <v>0</v>
      </c>
      <c r="AL509" s="413">
        <f t="shared" ref="AL509" si="1478">AL508</f>
        <v>0</v>
      </c>
      <c r="AM509" s="308"/>
    </row>
    <row r="510" spans="1:39" hidden="1" outlineLevel="1">
      <c r="A510" s="532"/>
      <c r="B510" s="430"/>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414"/>
      <c r="Z510" s="427"/>
      <c r="AA510" s="427"/>
      <c r="AB510" s="427"/>
      <c r="AC510" s="427"/>
      <c r="AD510" s="427"/>
      <c r="AE510" s="427"/>
      <c r="AF510" s="427"/>
      <c r="AG510" s="427"/>
      <c r="AH510" s="427"/>
      <c r="AI510" s="427"/>
      <c r="AJ510" s="427"/>
      <c r="AK510" s="427"/>
      <c r="AL510" s="427"/>
      <c r="AM510" s="308"/>
    </row>
    <row r="511" spans="1:39" ht="15.75" hidden="1" outlineLevel="1">
      <c r="A511" s="532"/>
      <c r="B511" s="504" t="s">
        <v>503</v>
      </c>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2">
        <v>33</v>
      </c>
      <c r="B512" s="430" t="s">
        <v>126</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2"/>
      <c r="B513" s="433"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79">Z512</f>
        <v>0</v>
      </c>
      <c r="AA513" s="413">
        <f t="shared" ref="AA513" si="1480">AA512</f>
        <v>0</v>
      </c>
      <c r="AB513" s="413">
        <f t="shared" ref="AB513" si="1481">AB512</f>
        <v>0</v>
      </c>
      <c r="AC513" s="413">
        <f t="shared" ref="AC513" si="1482">AC512</f>
        <v>0</v>
      </c>
      <c r="AD513" s="413">
        <f t="shared" ref="AD513" si="1483">AD512</f>
        <v>0</v>
      </c>
      <c r="AE513" s="413">
        <f t="shared" ref="AE513" si="1484">AE512</f>
        <v>0</v>
      </c>
      <c r="AF513" s="413">
        <f t="shared" ref="AF513" si="1485">AF512</f>
        <v>0</v>
      </c>
      <c r="AG513" s="413">
        <f t="shared" ref="AG513" si="1486">AG512</f>
        <v>0</v>
      </c>
      <c r="AH513" s="413">
        <f t="shared" ref="AH513" si="1487">AH512</f>
        <v>0</v>
      </c>
      <c r="AI513" s="413">
        <f t="shared" ref="AI513" si="1488">AI512</f>
        <v>0</v>
      </c>
      <c r="AJ513" s="413">
        <f t="shared" ref="AJ513" si="1489">AJ512</f>
        <v>0</v>
      </c>
      <c r="AK513" s="413">
        <f t="shared" ref="AK513" si="1490">AK512</f>
        <v>0</v>
      </c>
      <c r="AL513" s="413">
        <f t="shared" ref="AL513" si="1491">AL512</f>
        <v>0</v>
      </c>
      <c r="AM513" s="308"/>
    </row>
    <row r="514" spans="1:39" hidden="1" outlineLevel="1">
      <c r="A514" s="532"/>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2">
        <v>34</v>
      </c>
      <c r="B515" s="430" t="s">
        <v>127</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2"/>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492">Z515</f>
        <v>0</v>
      </c>
      <c r="AA516" s="413">
        <f t="shared" ref="AA516" si="1493">AA515</f>
        <v>0</v>
      </c>
      <c r="AB516" s="413">
        <f t="shared" ref="AB516" si="1494">AB515</f>
        <v>0</v>
      </c>
      <c r="AC516" s="413">
        <f t="shared" ref="AC516" si="1495">AC515</f>
        <v>0</v>
      </c>
      <c r="AD516" s="413">
        <f t="shared" ref="AD516" si="1496">AD515</f>
        <v>0</v>
      </c>
      <c r="AE516" s="413">
        <f t="shared" ref="AE516" si="1497">AE515</f>
        <v>0</v>
      </c>
      <c r="AF516" s="413">
        <f t="shared" ref="AF516" si="1498">AF515</f>
        <v>0</v>
      </c>
      <c r="AG516" s="413">
        <f t="shared" ref="AG516" si="1499">AG515</f>
        <v>0</v>
      </c>
      <c r="AH516" s="413">
        <f t="shared" ref="AH516" si="1500">AH515</f>
        <v>0</v>
      </c>
      <c r="AI516" s="413">
        <f t="shared" ref="AI516" si="1501">AI515</f>
        <v>0</v>
      </c>
      <c r="AJ516" s="413">
        <f t="shared" ref="AJ516" si="1502">AJ515</f>
        <v>0</v>
      </c>
      <c r="AK516" s="413">
        <f t="shared" ref="AK516" si="1503">AK515</f>
        <v>0</v>
      </c>
      <c r="AL516" s="413">
        <f t="shared" ref="AL516" si="1504">AL515</f>
        <v>0</v>
      </c>
      <c r="AM516" s="308"/>
    </row>
    <row r="517" spans="1:39" hidden="1" outlineLevel="1">
      <c r="A517" s="532"/>
      <c r="B517" s="430"/>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idden="1" outlineLevel="1">
      <c r="A518" s="532">
        <v>35</v>
      </c>
      <c r="B518" s="430" t="s">
        <v>128</v>
      </c>
      <c r="C518" s="293" t="s">
        <v>25</v>
      </c>
      <c r="D518" s="297">
        <v>1130910</v>
      </c>
      <c r="E518" s="297">
        <v>1130910</v>
      </c>
      <c r="F518" s="297">
        <v>1130910</v>
      </c>
      <c r="G518" s="297">
        <v>1130910</v>
      </c>
      <c r="H518" s="297">
        <v>0</v>
      </c>
      <c r="I518" s="297">
        <v>0</v>
      </c>
      <c r="J518" s="297">
        <v>0</v>
      </c>
      <c r="K518" s="297">
        <v>0</v>
      </c>
      <c r="L518" s="297">
        <v>0</v>
      </c>
      <c r="M518" s="297">
        <v>0</v>
      </c>
      <c r="N518" s="297">
        <v>0</v>
      </c>
      <c r="O518" s="297">
        <v>413.05323892045845</v>
      </c>
      <c r="P518" s="297">
        <v>413.05323892045845</v>
      </c>
      <c r="Q518" s="297">
        <v>413.05323892045845</v>
      </c>
      <c r="R518" s="297">
        <v>413.05323892045845</v>
      </c>
      <c r="S518" s="297">
        <v>0</v>
      </c>
      <c r="T518" s="297">
        <v>0</v>
      </c>
      <c r="U518" s="297">
        <v>0</v>
      </c>
      <c r="V518" s="297">
        <v>0</v>
      </c>
      <c r="W518" s="297">
        <v>0</v>
      </c>
      <c r="X518" s="297">
        <v>0</v>
      </c>
      <c r="Y518" s="428">
        <v>1</v>
      </c>
      <c r="Z518" s="412"/>
      <c r="AA518" s="412"/>
      <c r="AB518" s="412"/>
      <c r="AC518" s="412"/>
      <c r="AD518" s="412"/>
      <c r="AE518" s="412"/>
      <c r="AF518" s="417"/>
      <c r="AG518" s="417"/>
      <c r="AH518" s="417"/>
      <c r="AI518" s="417"/>
      <c r="AJ518" s="417"/>
      <c r="AK518" s="417"/>
      <c r="AL518" s="417"/>
      <c r="AM518" s="298">
        <f>SUM(Y518:AL518)</f>
        <v>1</v>
      </c>
    </row>
    <row r="519" spans="1:39" hidden="1" outlineLevel="1">
      <c r="A519" s="532"/>
      <c r="B519" s="433" t="s">
        <v>309</v>
      </c>
      <c r="C519" s="293" t="s">
        <v>164</v>
      </c>
      <c r="D519" s="297"/>
      <c r="E519" s="297"/>
      <c r="F519" s="297"/>
      <c r="G519" s="297"/>
      <c r="H519" s="297"/>
      <c r="I519" s="297"/>
      <c r="J519" s="297"/>
      <c r="K519" s="297"/>
      <c r="L519" s="297"/>
      <c r="M519" s="297"/>
      <c r="N519" s="297">
        <f>N518</f>
        <v>0</v>
      </c>
      <c r="O519" s="297"/>
      <c r="P519" s="297"/>
      <c r="Q519" s="297"/>
      <c r="R519" s="297"/>
      <c r="S519" s="297"/>
      <c r="T519" s="297"/>
      <c r="U519" s="297"/>
      <c r="V519" s="297"/>
      <c r="W519" s="297"/>
      <c r="X519" s="297"/>
      <c r="Y519" s="413">
        <f>Y518</f>
        <v>1</v>
      </c>
      <c r="Z519" s="413">
        <f t="shared" ref="Z519" si="1505">Z518</f>
        <v>0</v>
      </c>
      <c r="AA519" s="413">
        <f t="shared" ref="AA519" si="1506">AA518</f>
        <v>0</v>
      </c>
      <c r="AB519" s="413">
        <f t="shared" ref="AB519" si="1507">AB518</f>
        <v>0</v>
      </c>
      <c r="AC519" s="413">
        <f t="shared" ref="AC519" si="1508">AC518</f>
        <v>0</v>
      </c>
      <c r="AD519" s="413">
        <f t="shared" ref="AD519" si="1509">AD518</f>
        <v>0</v>
      </c>
      <c r="AE519" s="413">
        <f t="shared" ref="AE519" si="1510">AE518</f>
        <v>0</v>
      </c>
      <c r="AF519" s="413">
        <f t="shared" ref="AF519" si="1511">AF518</f>
        <v>0</v>
      </c>
      <c r="AG519" s="413">
        <f t="shared" ref="AG519" si="1512">AG518</f>
        <v>0</v>
      </c>
      <c r="AH519" s="413">
        <f t="shared" ref="AH519" si="1513">AH518</f>
        <v>0</v>
      </c>
      <c r="AI519" s="413">
        <f t="shared" ref="AI519" si="1514">AI518</f>
        <v>0</v>
      </c>
      <c r="AJ519" s="413">
        <f t="shared" ref="AJ519" si="1515">AJ518</f>
        <v>0</v>
      </c>
      <c r="AK519" s="413">
        <f t="shared" ref="AK519" si="1516">AK518</f>
        <v>0</v>
      </c>
      <c r="AL519" s="413">
        <f t="shared" ref="AL519" si="1517">AL518</f>
        <v>0</v>
      </c>
      <c r="AM519" s="308"/>
    </row>
    <row r="520" spans="1:39" hidden="1" outlineLevel="1">
      <c r="A520" s="532"/>
      <c r="B520" s="433"/>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414"/>
      <c r="Z520" s="427"/>
      <c r="AA520" s="427"/>
      <c r="AB520" s="427"/>
      <c r="AC520" s="427"/>
      <c r="AD520" s="427"/>
      <c r="AE520" s="427"/>
      <c r="AF520" s="427"/>
      <c r="AG520" s="427"/>
      <c r="AH520" s="427"/>
      <c r="AI520" s="427"/>
      <c r="AJ520" s="427"/>
      <c r="AK520" s="427"/>
      <c r="AL520" s="427"/>
      <c r="AM520" s="308"/>
    </row>
    <row r="521" spans="1:39" ht="15.75" hidden="1" outlineLevel="1">
      <c r="A521" s="532"/>
      <c r="B521" s="504" t="s">
        <v>504</v>
      </c>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idden="1" outlineLevel="1">
      <c r="A522" s="532">
        <v>36</v>
      </c>
      <c r="B522" s="430" t="s">
        <v>691</v>
      </c>
      <c r="C522" s="293" t="s">
        <v>25</v>
      </c>
      <c r="D522" s="297">
        <v>643</v>
      </c>
      <c r="E522" s="297">
        <v>643</v>
      </c>
      <c r="F522" s="297">
        <v>643</v>
      </c>
      <c r="G522" s="297">
        <v>643</v>
      </c>
      <c r="H522" s="297">
        <v>643</v>
      </c>
      <c r="I522" s="297">
        <v>643.47</v>
      </c>
      <c r="J522" s="297">
        <v>643.47</v>
      </c>
      <c r="K522" s="297">
        <v>643.47</v>
      </c>
      <c r="L522" s="297">
        <v>643.47</v>
      </c>
      <c r="M522" s="297">
        <v>643.47</v>
      </c>
      <c r="N522" s="297">
        <v>0</v>
      </c>
      <c r="O522" s="297">
        <v>3.7196370705527435E-2</v>
      </c>
      <c r="P522" s="297">
        <v>3.7196370705527435E-2</v>
      </c>
      <c r="Q522" s="297">
        <v>3.7196370705527435E-2</v>
      </c>
      <c r="R522" s="297">
        <v>3.7196370705527435E-2</v>
      </c>
      <c r="S522" s="297">
        <v>3.7196370705527435E-2</v>
      </c>
      <c r="T522" s="297">
        <v>3.7196370705527435E-2</v>
      </c>
      <c r="U522" s="297">
        <v>3.7196370705527435E-2</v>
      </c>
      <c r="V522" s="297">
        <v>3.7196370705527435E-2</v>
      </c>
      <c r="W522" s="297">
        <v>3.7196370705527435E-2</v>
      </c>
      <c r="X522" s="297">
        <v>1</v>
      </c>
      <c r="Y522" s="428">
        <v>1</v>
      </c>
      <c r="Z522" s="412"/>
      <c r="AA522" s="412"/>
      <c r="AB522" s="412"/>
      <c r="AC522" s="412"/>
      <c r="AD522" s="412"/>
      <c r="AE522" s="412"/>
      <c r="AF522" s="417"/>
      <c r="AG522" s="417"/>
      <c r="AH522" s="417"/>
      <c r="AI522" s="417"/>
      <c r="AJ522" s="417"/>
      <c r="AK522" s="417"/>
      <c r="AL522" s="417"/>
      <c r="AM522" s="298">
        <f>SUM(Y522:AL522)</f>
        <v>1</v>
      </c>
    </row>
    <row r="523" spans="1:39" hidden="1" outlineLevel="1">
      <c r="A523" s="532"/>
      <c r="B523" s="433"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1</v>
      </c>
      <c r="Z523" s="413">
        <f t="shared" ref="Z523" si="1518">Z522</f>
        <v>0</v>
      </c>
      <c r="AA523" s="413">
        <f t="shared" ref="AA523" si="1519">AA522</f>
        <v>0</v>
      </c>
      <c r="AB523" s="413">
        <f t="shared" ref="AB523" si="1520">AB522</f>
        <v>0</v>
      </c>
      <c r="AC523" s="413">
        <f t="shared" ref="AC523" si="1521">AC522</f>
        <v>0</v>
      </c>
      <c r="AD523" s="413">
        <f t="shared" ref="AD523" si="1522">AD522</f>
        <v>0</v>
      </c>
      <c r="AE523" s="413">
        <f t="shared" ref="AE523" si="1523">AE522</f>
        <v>0</v>
      </c>
      <c r="AF523" s="413">
        <f t="shared" ref="AF523" si="1524">AF522</f>
        <v>0</v>
      </c>
      <c r="AG523" s="413">
        <f t="shared" ref="AG523" si="1525">AG522</f>
        <v>0</v>
      </c>
      <c r="AH523" s="413">
        <f t="shared" ref="AH523" si="1526">AH522</f>
        <v>0</v>
      </c>
      <c r="AI523" s="413">
        <f t="shared" ref="AI523" si="1527">AI522</f>
        <v>0</v>
      </c>
      <c r="AJ523" s="413">
        <f t="shared" ref="AJ523" si="1528">AJ522</f>
        <v>0</v>
      </c>
      <c r="AK523" s="413">
        <f t="shared" ref="AK523" si="1529">AK522</f>
        <v>0</v>
      </c>
      <c r="AL523" s="413">
        <f t="shared" ref="AL523" si="1530">AL522</f>
        <v>0</v>
      </c>
      <c r="AM523" s="308"/>
    </row>
    <row r="524" spans="1:39" hidden="1" outlineLevel="1">
      <c r="A524" s="532"/>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t="30" hidden="1" outlineLevel="1">
      <c r="A525" s="532">
        <v>37</v>
      </c>
      <c r="B525" s="430" t="s">
        <v>130</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2"/>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31">Z525</f>
        <v>0</v>
      </c>
      <c r="AA526" s="413">
        <f t="shared" ref="AA526" si="1532">AA525</f>
        <v>0</v>
      </c>
      <c r="AB526" s="413">
        <f t="shared" ref="AB526" si="1533">AB525</f>
        <v>0</v>
      </c>
      <c r="AC526" s="413">
        <f t="shared" ref="AC526" si="1534">AC525</f>
        <v>0</v>
      </c>
      <c r="AD526" s="413">
        <f t="shared" ref="AD526" si="1535">AD525</f>
        <v>0</v>
      </c>
      <c r="AE526" s="413">
        <f t="shared" ref="AE526" si="1536">AE525</f>
        <v>0</v>
      </c>
      <c r="AF526" s="413">
        <f t="shared" ref="AF526" si="1537">AF525</f>
        <v>0</v>
      </c>
      <c r="AG526" s="413">
        <f t="shared" ref="AG526" si="1538">AG525</f>
        <v>0</v>
      </c>
      <c r="AH526" s="413">
        <f t="shared" ref="AH526" si="1539">AH525</f>
        <v>0</v>
      </c>
      <c r="AI526" s="413">
        <f t="shared" ref="AI526" si="1540">AI525</f>
        <v>0</v>
      </c>
      <c r="AJ526" s="413">
        <f t="shared" ref="AJ526" si="1541">AJ525</f>
        <v>0</v>
      </c>
      <c r="AK526" s="413">
        <f t="shared" ref="AK526" si="1542">AK525</f>
        <v>0</v>
      </c>
      <c r="AL526" s="413">
        <f t="shared" ref="AL526" si="1543">AL525</f>
        <v>0</v>
      </c>
      <c r="AM526" s="308"/>
    </row>
    <row r="527" spans="1:39" hidden="1" outlineLevel="1">
      <c r="A527" s="532"/>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idden="1" outlineLevel="1">
      <c r="A528" s="532">
        <v>38</v>
      </c>
      <c r="B528" s="430" t="s">
        <v>131</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2"/>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44">Z528</f>
        <v>0</v>
      </c>
      <c r="AA529" s="413">
        <f t="shared" ref="AA529" si="1545">AA528</f>
        <v>0</v>
      </c>
      <c r="AB529" s="413">
        <f t="shared" ref="AB529" si="1546">AB528</f>
        <v>0</v>
      </c>
      <c r="AC529" s="413">
        <f t="shared" ref="AC529" si="1547">AC528</f>
        <v>0</v>
      </c>
      <c r="AD529" s="413">
        <f t="shared" ref="AD529" si="1548">AD528</f>
        <v>0</v>
      </c>
      <c r="AE529" s="413">
        <f t="shared" ref="AE529" si="1549">AE528</f>
        <v>0</v>
      </c>
      <c r="AF529" s="413">
        <f t="shared" ref="AF529" si="1550">AF528</f>
        <v>0</v>
      </c>
      <c r="AG529" s="413">
        <f t="shared" ref="AG529" si="1551">AG528</f>
        <v>0</v>
      </c>
      <c r="AH529" s="413">
        <f t="shared" ref="AH529" si="1552">AH528</f>
        <v>0</v>
      </c>
      <c r="AI529" s="413">
        <f t="shared" ref="AI529" si="1553">AI528</f>
        <v>0</v>
      </c>
      <c r="AJ529" s="413">
        <f t="shared" ref="AJ529" si="1554">AJ528</f>
        <v>0</v>
      </c>
      <c r="AK529" s="413">
        <f t="shared" ref="AK529" si="1555">AK528</f>
        <v>0</v>
      </c>
      <c r="AL529" s="413">
        <f t="shared" ref="AL529" si="1556">AL528</f>
        <v>0</v>
      </c>
      <c r="AM529" s="308"/>
    </row>
    <row r="530" spans="1:39" hidden="1" outlineLevel="1">
      <c r="A530" s="532"/>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2">
        <v>39</v>
      </c>
      <c r="B531" s="430" t="s">
        <v>132</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2"/>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57">Z531</f>
        <v>0</v>
      </c>
      <c r="AA532" s="413">
        <f t="shared" ref="AA532" si="1558">AA531</f>
        <v>0</v>
      </c>
      <c r="AB532" s="413">
        <f t="shared" ref="AB532" si="1559">AB531</f>
        <v>0</v>
      </c>
      <c r="AC532" s="413">
        <f t="shared" ref="AC532" si="1560">AC531</f>
        <v>0</v>
      </c>
      <c r="AD532" s="413">
        <f t="shared" ref="AD532" si="1561">AD531</f>
        <v>0</v>
      </c>
      <c r="AE532" s="413">
        <f t="shared" ref="AE532" si="1562">AE531</f>
        <v>0</v>
      </c>
      <c r="AF532" s="413">
        <f t="shared" ref="AF532" si="1563">AF531</f>
        <v>0</v>
      </c>
      <c r="AG532" s="413">
        <f t="shared" ref="AG532" si="1564">AG531</f>
        <v>0</v>
      </c>
      <c r="AH532" s="413">
        <f t="shared" ref="AH532" si="1565">AH531</f>
        <v>0</v>
      </c>
      <c r="AI532" s="413">
        <f t="shared" ref="AI532" si="1566">AI531</f>
        <v>0</v>
      </c>
      <c r="AJ532" s="413">
        <f t="shared" ref="AJ532" si="1567">AJ531</f>
        <v>0</v>
      </c>
      <c r="AK532" s="413">
        <f t="shared" ref="AK532" si="1568">AK531</f>
        <v>0</v>
      </c>
      <c r="AL532" s="413">
        <f t="shared" ref="AL532" si="1569">AL531</f>
        <v>0</v>
      </c>
      <c r="AM532" s="308"/>
    </row>
    <row r="533" spans="1:39" hidden="1" outlineLevel="1">
      <c r="A533" s="532"/>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30" hidden="1" outlineLevel="1">
      <c r="A534" s="532">
        <v>40</v>
      </c>
      <c r="B534" s="430" t="s">
        <v>133</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2"/>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70">Z534</f>
        <v>0</v>
      </c>
      <c r="AA535" s="413">
        <f t="shared" ref="AA535" si="1571">AA534</f>
        <v>0</v>
      </c>
      <c r="AB535" s="413">
        <f t="shared" ref="AB535" si="1572">AB534</f>
        <v>0</v>
      </c>
      <c r="AC535" s="413">
        <f t="shared" ref="AC535" si="1573">AC534</f>
        <v>0</v>
      </c>
      <c r="AD535" s="413">
        <f t="shared" ref="AD535" si="1574">AD534</f>
        <v>0</v>
      </c>
      <c r="AE535" s="413">
        <f t="shared" ref="AE535" si="1575">AE534</f>
        <v>0</v>
      </c>
      <c r="AF535" s="413">
        <f t="shared" ref="AF535" si="1576">AF534</f>
        <v>0</v>
      </c>
      <c r="AG535" s="413">
        <f t="shared" ref="AG535" si="1577">AG534</f>
        <v>0</v>
      </c>
      <c r="AH535" s="413">
        <f t="shared" ref="AH535" si="1578">AH534</f>
        <v>0</v>
      </c>
      <c r="AI535" s="413">
        <f t="shared" ref="AI535" si="1579">AI534</f>
        <v>0</v>
      </c>
      <c r="AJ535" s="413">
        <f t="shared" ref="AJ535" si="1580">AJ534</f>
        <v>0</v>
      </c>
      <c r="AK535" s="413">
        <f t="shared" ref="AK535" si="1581">AK534</f>
        <v>0</v>
      </c>
      <c r="AL535" s="413">
        <f t="shared" ref="AL535" si="1582">AL534</f>
        <v>0</v>
      </c>
      <c r="AM535" s="308"/>
    </row>
    <row r="536" spans="1:39" hidden="1" outlineLevel="1">
      <c r="A536" s="532"/>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2">
        <v>41</v>
      </c>
      <c r="B537" s="430" t="s">
        <v>134</v>
      </c>
      <c r="C537" s="293" t="s">
        <v>25</v>
      </c>
      <c r="D537" s="297"/>
      <c r="E537" s="297"/>
      <c r="F537" s="297"/>
      <c r="G537" s="297"/>
      <c r="H537" s="297"/>
      <c r="I537" s="297"/>
      <c r="J537" s="297"/>
      <c r="K537" s="297"/>
      <c r="L537" s="297"/>
      <c r="M537" s="297"/>
      <c r="N537" s="297">
        <v>0</v>
      </c>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2"/>
      <c r="B538" s="433" t="s">
        <v>309</v>
      </c>
      <c r="C538" s="293" t="s">
        <v>164</v>
      </c>
      <c r="D538" s="297"/>
      <c r="E538" s="297"/>
      <c r="F538" s="297"/>
      <c r="G538" s="297"/>
      <c r="H538" s="297"/>
      <c r="I538" s="297"/>
      <c r="J538" s="297"/>
      <c r="K538" s="297"/>
      <c r="L538" s="297"/>
      <c r="M538" s="297"/>
      <c r="N538" s="297">
        <f>N537</f>
        <v>0</v>
      </c>
      <c r="O538" s="297"/>
      <c r="P538" s="297"/>
      <c r="Q538" s="297"/>
      <c r="R538" s="297"/>
      <c r="S538" s="297"/>
      <c r="T538" s="297"/>
      <c r="U538" s="297"/>
      <c r="V538" s="297"/>
      <c r="W538" s="297"/>
      <c r="X538" s="297"/>
      <c r="Y538" s="413">
        <f>Y537</f>
        <v>0</v>
      </c>
      <c r="Z538" s="413">
        <f t="shared" ref="Z538" si="1583">Z537</f>
        <v>0</v>
      </c>
      <c r="AA538" s="413">
        <f t="shared" ref="AA538" si="1584">AA537</f>
        <v>0</v>
      </c>
      <c r="AB538" s="413">
        <f t="shared" ref="AB538" si="1585">AB537</f>
        <v>0</v>
      </c>
      <c r="AC538" s="413">
        <f t="shared" ref="AC538" si="1586">AC537</f>
        <v>0</v>
      </c>
      <c r="AD538" s="413">
        <f t="shared" ref="AD538" si="1587">AD537</f>
        <v>0</v>
      </c>
      <c r="AE538" s="413">
        <f t="shared" ref="AE538" si="1588">AE537</f>
        <v>0</v>
      </c>
      <c r="AF538" s="413">
        <f t="shared" ref="AF538" si="1589">AF537</f>
        <v>0</v>
      </c>
      <c r="AG538" s="413">
        <f t="shared" ref="AG538" si="1590">AG537</f>
        <v>0</v>
      </c>
      <c r="AH538" s="413">
        <f t="shared" ref="AH538" si="1591">AH537</f>
        <v>0</v>
      </c>
      <c r="AI538" s="413">
        <f t="shared" ref="AI538" si="1592">AI537</f>
        <v>0</v>
      </c>
      <c r="AJ538" s="413">
        <f t="shared" ref="AJ538" si="1593">AJ537</f>
        <v>0</v>
      </c>
      <c r="AK538" s="413">
        <f t="shared" ref="AK538" si="1594">AK537</f>
        <v>0</v>
      </c>
      <c r="AL538" s="413">
        <f t="shared" ref="AL538" si="1595">AL537</f>
        <v>0</v>
      </c>
      <c r="AM538" s="308"/>
    </row>
    <row r="539" spans="1:39" hidden="1" outlineLevel="1">
      <c r="A539" s="532"/>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45" hidden="1" outlineLevel="1">
      <c r="A540" s="532">
        <v>42</v>
      </c>
      <c r="B540" s="430" t="s">
        <v>135</v>
      </c>
      <c r="C540" s="293" t="s">
        <v>25</v>
      </c>
      <c r="D540" s="297"/>
      <c r="E540" s="297"/>
      <c r="F540" s="297"/>
      <c r="G540" s="297"/>
      <c r="H540" s="297"/>
      <c r="I540" s="297"/>
      <c r="J540" s="297"/>
      <c r="K540" s="297"/>
      <c r="L540" s="297"/>
      <c r="M540" s="297"/>
      <c r="N540" s="293"/>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2"/>
      <c r="B541" s="433" t="s">
        <v>309</v>
      </c>
      <c r="C541" s="293" t="s">
        <v>164</v>
      </c>
      <c r="D541" s="297"/>
      <c r="E541" s="297"/>
      <c r="F541" s="297"/>
      <c r="G541" s="297"/>
      <c r="H541" s="297"/>
      <c r="I541" s="297"/>
      <c r="J541" s="297"/>
      <c r="K541" s="297"/>
      <c r="L541" s="297"/>
      <c r="M541" s="297"/>
      <c r="N541" s="469"/>
      <c r="O541" s="297"/>
      <c r="P541" s="297"/>
      <c r="Q541" s="297"/>
      <c r="R541" s="297"/>
      <c r="S541" s="297"/>
      <c r="T541" s="297"/>
      <c r="U541" s="297"/>
      <c r="V541" s="297"/>
      <c r="W541" s="297"/>
      <c r="X541" s="297"/>
      <c r="Y541" s="413">
        <f>Y540</f>
        <v>0</v>
      </c>
      <c r="Z541" s="413">
        <f t="shared" ref="Z541" si="1596">Z540</f>
        <v>0</v>
      </c>
      <c r="AA541" s="413">
        <f t="shared" ref="AA541" si="1597">AA540</f>
        <v>0</v>
      </c>
      <c r="AB541" s="413">
        <f t="shared" ref="AB541" si="1598">AB540</f>
        <v>0</v>
      </c>
      <c r="AC541" s="413">
        <f t="shared" ref="AC541" si="1599">AC540</f>
        <v>0</v>
      </c>
      <c r="AD541" s="413">
        <f t="shared" ref="AD541" si="1600">AD540</f>
        <v>0</v>
      </c>
      <c r="AE541" s="413">
        <f t="shared" ref="AE541" si="1601">AE540</f>
        <v>0</v>
      </c>
      <c r="AF541" s="413">
        <f t="shared" ref="AF541" si="1602">AF540</f>
        <v>0</v>
      </c>
      <c r="AG541" s="413">
        <f t="shared" ref="AG541" si="1603">AG540</f>
        <v>0</v>
      </c>
      <c r="AH541" s="413">
        <f t="shared" ref="AH541" si="1604">AH540</f>
        <v>0</v>
      </c>
      <c r="AI541" s="413">
        <f t="shared" ref="AI541" si="1605">AI540</f>
        <v>0</v>
      </c>
      <c r="AJ541" s="413">
        <f t="shared" ref="AJ541" si="1606">AJ540</f>
        <v>0</v>
      </c>
      <c r="AK541" s="413">
        <f t="shared" ref="AK541" si="1607">AK540</f>
        <v>0</v>
      </c>
      <c r="AL541" s="413">
        <f t="shared" ref="AL541" si="1608">AL540</f>
        <v>0</v>
      </c>
      <c r="AM541" s="308"/>
    </row>
    <row r="542" spans="1:39" hidden="1" outlineLevel="1">
      <c r="A542" s="532"/>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30" hidden="1" outlineLevel="1">
      <c r="A543" s="532">
        <v>43</v>
      </c>
      <c r="B543" s="430" t="s">
        <v>136</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2"/>
      <c r="B544" s="433"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09">Z543</f>
        <v>0</v>
      </c>
      <c r="AA544" s="413">
        <f t="shared" ref="AA544" si="1610">AA543</f>
        <v>0</v>
      </c>
      <c r="AB544" s="413">
        <f t="shared" ref="AB544" si="1611">AB543</f>
        <v>0</v>
      </c>
      <c r="AC544" s="413">
        <f t="shared" ref="AC544" si="1612">AC543</f>
        <v>0</v>
      </c>
      <c r="AD544" s="413">
        <f t="shared" ref="AD544" si="1613">AD543</f>
        <v>0</v>
      </c>
      <c r="AE544" s="413">
        <f t="shared" ref="AE544" si="1614">AE543</f>
        <v>0</v>
      </c>
      <c r="AF544" s="413">
        <f t="shared" ref="AF544" si="1615">AF543</f>
        <v>0</v>
      </c>
      <c r="AG544" s="413">
        <f t="shared" ref="AG544" si="1616">AG543</f>
        <v>0</v>
      </c>
      <c r="AH544" s="413">
        <f t="shared" ref="AH544" si="1617">AH543</f>
        <v>0</v>
      </c>
      <c r="AI544" s="413">
        <f t="shared" ref="AI544" si="1618">AI543</f>
        <v>0</v>
      </c>
      <c r="AJ544" s="413">
        <f t="shared" ref="AJ544" si="1619">AJ543</f>
        <v>0</v>
      </c>
      <c r="AK544" s="413">
        <f t="shared" ref="AK544" si="1620">AK543</f>
        <v>0</v>
      </c>
      <c r="AL544" s="413">
        <f t="shared" ref="AL544" si="1621">AL543</f>
        <v>0</v>
      </c>
      <c r="AM544" s="308"/>
    </row>
    <row r="545" spans="1:39" hidden="1" outlineLevel="1">
      <c r="A545" s="532"/>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45" hidden="1" outlineLevel="1">
      <c r="A546" s="532">
        <v>44</v>
      </c>
      <c r="B546" s="430" t="s">
        <v>137</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2"/>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22">Z546</f>
        <v>0</v>
      </c>
      <c r="AA547" s="413">
        <f t="shared" ref="AA547" si="1623">AA546</f>
        <v>0</v>
      </c>
      <c r="AB547" s="413">
        <f t="shared" ref="AB547" si="1624">AB546</f>
        <v>0</v>
      </c>
      <c r="AC547" s="413">
        <f t="shared" ref="AC547" si="1625">AC546</f>
        <v>0</v>
      </c>
      <c r="AD547" s="413">
        <f t="shared" ref="AD547" si="1626">AD546</f>
        <v>0</v>
      </c>
      <c r="AE547" s="413">
        <f t="shared" ref="AE547" si="1627">AE546</f>
        <v>0</v>
      </c>
      <c r="AF547" s="413">
        <f t="shared" ref="AF547" si="1628">AF546</f>
        <v>0</v>
      </c>
      <c r="AG547" s="413">
        <f t="shared" ref="AG547" si="1629">AG546</f>
        <v>0</v>
      </c>
      <c r="AH547" s="413">
        <f t="shared" ref="AH547" si="1630">AH546</f>
        <v>0</v>
      </c>
      <c r="AI547" s="413">
        <f t="shared" ref="AI547" si="1631">AI546</f>
        <v>0</v>
      </c>
      <c r="AJ547" s="413">
        <f t="shared" ref="AJ547" si="1632">AJ546</f>
        <v>0</v>
      </c>
      <c r="AK547" s="413">
        <f t="shared" ref="AK547" si="1633">AK546</f>
        <v>0</v>
      </c>
      <c r="AL547" s="413">
        <f t="shared" ref="AL547" si="1634">AL546</f>
        <v>0</v>
      </c>
      <c r="AM547" s="308"/>
    </row>
    <row r="548" spans="1:39" hidden="1" outlineLevel="1">
      <c r="A548" s="532"/>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2">
        <v>45</v>
      </c>
      <c r="B549" s="430" t="s">
        <v>138</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2"/>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35">Z549</f>
        <v>0</v>
      </c>
      <c r="AA550" s="413">
        <f t="shared" ref="AA550" si="1636">AA549</f>
        <v>0</v>
      </c>
      <c r="AB550" s="413">
        <f t="shared" ref="AB550" si="1637">AB549</f>
        <v>0</v>
      </c>
      <c r="AC550" s="413">
        <f t="shared" ref="AC550" si="1638">AC549</f>
        <v>0</v>
      </c>
      <c r="AD550" s="413">
        <f t="shared" ref="AD550" si="1639">AD549</f>
        <v>0</v>
      </c>
      <c r="AE550" s="413">
        <f t="shared" ref="AE550" si="1640">AE549</f>
        <v>0</v>
      </c>
      <c r="AF550" s="413">
        <f t="shared" ref="AF550" si="1641">AF549</f>
        <v>0</v>
      </c>
      <c r="AG550" s="413">
        <f t="shared" ref="AG550" si="1642">AG549</f>
        <v>0</v>
      </c>
      <c r="AH550" s="413">
        <f t="shared" ref="AH550" si="1643">AH549</f>
        <v>0</v>
      </c>
      <c r="AI550" s="413">
        <f t="shared" ref="AI550" si="1644">AI549</f>
        <v>0</v>
      </c>
      <c r="AJ550" s="413">
        <f t="shared" ref="AJ550" si="1645">AJ549</f>
        <v>0</v>
      </c>
      <c r="AK550" s="413">
        <f t="shared" ref="AK550" si="1646">AK549</f>
        <v>0</v>
      </c>
      <c r="AL550" s="413">
        <f t="shared" ref="AL550" si="1647">AL549</f>
        <v>0</v>
      </c>
      <c r="AM550" s="308"/>
    </row>
    <row r="551" spans="1:39" hidden="1" outlineLevel="1">
      <c r="A551" s="532"/>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2">
        <v>46</v>
      </c>
      <c r="B552" s="430" t="s">
        <v>139</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2"/>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48">Z552</f>
        <v>0</v>
      </c>
      <c r="AA553" s="413">
        <f t="shared" ref="AA553" si="1649">AA552</f>
        <v>0</v>
      </c>
      <c r="AB553" s="413">
        <f t="shared" ref="AB553" si="1650">AB552</f>
        <v>0</v>
      </c>
      <c r="AC553" s="413">
        <f t="shared" ref="AC553" si="1651">AC552</f>
        <v>0</v>
      </c>
      <c r="AD553" s="413">
        <f t="shared" ref="AD553" si="1652">AD552</f>
        <v>0</v>
      </c>
      <c r="AE553" s="413">
        <f t="shared" ref="AE553" si="1653">AE552</f>
        <v>0</v>
      </c>
      <c r="AF553" s="413">
        <f t="shared" ref="AF553" si="1654">AF552</f>
        <v>0</v>
      </c>
      <c r="AG553" s="413">
        <f t="shared" ref="AG553" si="1655">AG552</f>
        <v>0</v>
      </c>
      <c r="AH553" s="413">
        <f t="shared" ref="AH553" si="1656">AH552</f>
        <v>0</v>
      </c>
      <c r="AI553" s="413">
        <f t="shared" ref="AI553" si="1657">AI552</f>
        <v>0</v>
      </c>
      <c r="AJ553" s="413">
        <f t="shared" ref="AJ553" si="1658">AJ552</f>
        <v>0</v>
      </c>
      <c r="AK553" s="413">
        <f t="shared" ref="AK553" si="1659">AK552</f>
        <v>0</v>
      </c>
      <c r="AL553" s="413">
        <f t="shared" ref="AL553" si="1660">AL552</f>
        <v>0</v>
      </c>
      <c r="AM553" s="308"/>
    </row>
    <row r="554" spans="1:39" hidden="1" outlineLevel="1">
      <c r="A554" s="532"/>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30" hidden="1" outlineLevel="1">
      <c r="A555" s="532">
        <v>47</v>
      </c>
      <c r="B555" s="430" t="s">
        <v>140</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2"/>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61">Z555</f>
        <v>0</v>
      </c>
      <c r="AA556" s="413">
        <f t="shared" ref="AA556" si="1662">AA555</f>
        <v>0</v>
      </c>
      <c r="AB556" s="413">
        <f t="shared" ref="AB556" si="1663">AB555</f>
        <v>0</v>
      </c>
      <c r="AC556" s="413">
        <f t="shared" ref="AC556" si="1664">AC555</f>
        <v>0</v>
      </c>
      <c r="AD556" s="413">
        <f t="shared" ref="AD556" si="1665">AD555</f>
        <v>0</v>
      </c>
      <c r="AE556" s="413">
        <f t="shared" ref="AE556" si="1666">AE555</f>
        <v>0</v>
      </c>
      <c r="AF556" s="413">
        <f t="shared" ref="AF556" si="1667">AF555</f>
        <v>0</v>
      </c>
      <c r="AG556" s="413">
        <f t="shared" ref="AG556" si="1668">AG555</f>
        <v>0</v>
      </c>
      <c r="AH556" s="413">
        <f t="shared" ref="AH556" si="1669">AH555</f>
        <v>0</v>
      </c>
      <c r="AI556" s="413">
        <f t="shared" ref="AI556" si="1670">AI555</f>
        <v>0</v>
      </c>
      <c r="AJ556" s="413">
        <f t="shared" ref="AJ556" si="1671">AJ555</f>
        <v>0</v>
      </c>
      <c r="AK556" s="413">
        <f t="shared" ref="AK556" si="1672">AK555</f>
        <v>0</v>
      </c>
      <c r="AL556" s="413">
        <f t="shared" ref="AL556" si="1673">AL555</f>
        <v>0</v>
      </c>
      <c r="AM556" s="308"/>
    </row>
    <row r="557" spans="1:39" hidden="1" outlineLevel="1">
      <c r="A557" s="532"/>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45" hidden="1" outlineLevel="1">
      <c r="A558" s="532">
        <v>48</v>
      </c>
      <c r="B558" s="430" t="s">
        <v>141</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2"/>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74">Z558</f>
        <v>0</v>
      </c>
      <c r="AA559" s="413">
        <f t="shared" ref="AA559" si="1675">AA558</f>
        <v>0</v>
      </c>
      <c r="AB559" s="413">
        <f t="shared" ref="AB559" si="1676">AB558</f>
        <v>0</v>
      </c>
      <c r="AC559" s="413">
        <f t="shared" ref="AC559" si="1677">AC558</f>
        <v>0</v>
      </c>
      <c r="AD559" s="413">
        <f t="shared" ref="AD559" si="1678">AD558</f>
        <v>0</v>
      </c>
      <c r="AE559" s="413">
        <f t="shared" ref="AE559" si="1679">AE558</f>
        <v>0</v>
      </c>
      <c r="AF559" s="413">
        <f t="shared" ref="AF559" si="1680">AF558</f>
        <v>0</v>
      </c>
      <c r="AG559" s="413">
        <f t="shared" ref="AG559" si="1681">AG558</f>
        <v>0</v>
      </c>
      <c r="AH559" s="413">
        <f t="shared" ref="AH559" si="1682">AH558</f>
        <v>0</v>
      </c>
      <c r="AI559" s="413">
        <f t="shared" ref="AI559" si="1683">AI558</f>
        <v>0</v>
      </c>
      <c r="AJ559" s="413">
        <f t="shared" ref="AJ559" si="1684">AJ558</f>
        <v>0</v>
      </c>
      <c r="AK559" s="413">
        <f t="shared" ref="AK559" si="1685">AK558</f>
        <v>0</v>
      </c>
      <c r="AL559" s="413">
        <f t="shared" ref="AL559" si="1686">AL558</f>
        <v>0</v>
      </c>
      <c r="AM559" s="308"/>
    </row>
    <row r="560" spans="1:39" hidden="1" outlineLevel="1">
      <c r="A560" s="532"/>
      <c r="B560" s="430"/>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414"/>
      <c r="Z560" s="427"/>
      <c r="AA560" s="427"/>
      <c r="AB560" s="427"/>
      <c r="AC560" s="427"/>
      <c r="AD560" s="427"/>
      <c r="AE560" s="427"/>
      <c r="AF560" s="427"/>
      <c r="AG560" s="427"/>
      <c r="AH560" s="427"/>
      <c r="AI560" s="427"/>
      <c r="AJ560" s="427"/>
      <c r="AK560" s="427"/>
      <c r="AL560" s="427"/>
      <c r="AM560" s="308"/>
    </row>
    <row r="561" spans="1:39" ht="30" hidden="1" outlineLevel="1">
      <c r="A561" s="532">
        <v>49</v>
      </c>
      <c r="B561" s="430" t="s">
        <v>142</v>
      </c>
      <c r="C561" s="293" t="s">
        <v>25</v>
      </c>
      <c r="D561" s="297"/>
      <c r="E561" s="297"/>
      <c r="F561" s="297"/>
      <c r="G561" s="297"/>
      <c r="H561" s="297"/>
      <c r="I561" s="297"/>
      <c r="J561" s="297"/>
      <c r="K561" s="297"/>
      <c r="L561" s="297"/>
      <c r="M561" s="297"/>
      <c r="N561" s="297">
        <v>0</v>
      </c>
      <c r="O561" s="297"/>
      <c r="P561" s="297"/>
      <c r="Q561" s="297"/>
      <c r="R561" s="297"/>
      <c r="S561" s="297"/>
      <c r="T561" s="297"/>
      <c r="U561" s="297"/>
      <c r="V561" s="297"/>
      <c r="W561" s="297"/>
      <c r="X561" s="297"/>
      <c r="Y561" s="428"/>
      <c r="Z561" s="412"/>
      <c r="AA561" s="412"/>
      <c r="AB561" s="412"/>
      <c r="AC561" s="412"/>
      <c r="AD561" s="412"/>
      <c r="AE561" s="412"/>
      <c r="AF561" s="417"/>
      <c r="AG561" s="417"/>
      <c r="AH561" s="417"/>
      <c r="AI561" s="417"/>
      <c r="AJ561" s="417"/>
      <c r="AK561" s="417"/>
      <c r="AL561" s="417"/>
      <c r="AM561" s="298">
        <f>SUM(Y561:AL561)</f>
        <v>0</v>
      </c>
    </row>
    <row r="562" spans="1:39" hidden="1" outlineLevel="1">
      <c r="A562" s="532"/>
      <c r="B562" s="433" t="s">
        <v>309</v>
      </c>
      <c r="C562" s="293" t="s">
        <v>164</v>
      </c>
      <c r="D562" s="297"/>
      <c r="E562" s="297"/>
      <c r="F562" s="297"/>
      <c r="G562" s="297"/>
      <c r="H562" s="297"/>
      <c r="I562" s="297"/>
      <c r="J562" s="297"/>
      <c r="K562" s="297"/>
      <c r="L562" s="297"/>
      <c r="M562" s="297"/>
      <c r="N562" s="297">
        <f>N561</f>
        <v>0</v>
      </c>
      <c r="O562" s="297"/>
      <c r="P562" s="297"/>
      <c r="Q562" s="297"/>
      <c r="R562" s="297"/>
      <c r="S562" s="297"/>
      <c r="T562" s="297"/>
      <c r="U562" s="297"/>
      <c r="V562" s="297"/>
      <c r="W562" s="297"/>
      <c r="X562" s="297"/>
      <c r="Y562" s="413">
        <f>Y561</f>
        <v>0</v>
      </c>
      <c r="Z562" s="413">
        <f t="shared" ref="Z562" si="1687">Z561</f>
        <v>0</v>
      </c>
      <c r="AA562" s="413">
        <f t="shared" ref="AA562" si="1688">AA561</f>
        <v>0</v>
      </c>
      <c r="AB562" s="413">
        <f t="shared" ref="AB562" si="1689">AB561</f>
        <v>0</v>
      </c>
      <c r="AC562" s="413">
        <f t="shared" ref="AC562" si="1690">AC561</f>
        <v>0</v>
      </c>
      <c r="AD562" s="413">
        <f t="shared" ref="AD562" si="1691">AD561</f>
        <v>0</v>
      </c>
      <c r="AE562" s="413">
        <f t="shared" ref="AE562" si="1692">AE561</f>
        <v>0</v>
      </c>
      <c r="AF562" s="413">
        <f t="shared" ref="AF562" si="1693">AF561</f>
        <v>0</v>
      </c>
      <c r="AG562" s="413">
        <f t="shared" ref="AG562" si="1694">AG561</f>
        <v>0</v>
      </c>
      <c r="AH562" s="413">
        <f t="shared" ref="AH562" si="1695">AH561</f>
        <v>0</v>
      </c>
      <c r="AI562" s="413">
        <f t="shared" ref="AI562" si="1696">AI561</f>
        <v>0</v>
      </c>
      <c r="AJ562" s="413">
        <f t="shared" ref="AJ562" si="1697">AJ561</f>
        <v>0</v>
      </c>
      <c r="AK562" s="413">
        <f t="shared" ref="AK562" si="1698">AK561</f>
        <v>0</v>
      </c>
      <c r="AL562" s="413">
        <f t="shared" ref="AL562" si="1699">AL561</f>
        <v>0</v>
      </c>
      <c r="AM562" s="308"/>
    </row>
    <row r="563" spans="1:39" hidden="1" outlineLevel="1">
      <c r="A563" s="532"/>
      <c r="B563" s="433"/>
      <c r="C563" s="307"/>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303"/>
      <c r="Z563" s="303"/>
      <c r="AA563" s="303"/>
      <c r="AB563" s="303"/>
      <c r="AC563" s="303"/>
      <c r="AD563" s="303"/>
      <c r="AE563" s="303"/>
      <c r="AF563" s="303"/>
      <c r="AG563" s="303"/>
      <c r="AH563" s="303"/>
      <c r="AI563" s="303"/>
      <c r="AJ563" s="303"/>
      <c r="AK563" s="303"/>
      <c r="AL563" s="303"/>
      <c r="AM563" s="308"/>
    </row>
    <row r="564" spans="1:39" ht="15.75" collapsed="1">
      <c r="B564" s="329" t="s">
        <v>293</v>
      </c>
      <c r="C564" s="331"/>
      <c r="D564" s="331">
        <f>SUM(D407:D562)</f>
        <v>7793768</v>
      </c>
      <c r="E564" s="331"/>
      <c r="F564" s="331"/>
      <c r="G564" s="331"/>
      <c r="H564" s="331"/>
      <c r="I564" s="331"/>
      <c r="J564" s="331"/>
      <c r="K564" s="331"/>
      <c r="L564" s="331"/>
      <c r="M564" s="331"/>
      <c r="N564" s="331"/>
      <c r="O564" s="331">
        <f>SUM(O407:O562)</f>
        <v>1198.2053343154014</v>
      </c>
      <c r="P564" s="331"/>
      <c r="Q564" s="331"/>
      <c r="R564" s="331"/>
      <c r="S564" s="331"/>
      <c r="T564" s="331"/>
      <c r="U564" s="331"/>
      <c r="V564" s="331"/>
      <c r="W564" s="331"/>
      <c r="X564" s="331"/>
      <c r="Y564" s="331">
        <f>IF(Y405="kWh",SUMPRODUCT(D407:D562,Y407:Y562))</f>
        <v>4305535</v>
      </c>
      <c r="Z564" s="331">
        <f>IF(Z405="kWh",SUMPRODUCT(D407:D562,Z407:Z562))</f>
        <v>115235</v>
      </c>
      <c r="AA564" s="331">
        <f>IF(AA405="kw",SUMPRODUCT(N407:N562,O407:O562,AA407:AA562),SUMPRODUCT(D407:D562,AA407:AA562))</f>
        <v>3641.9389398490921</v>
      </c>
      <c r="AB564" s="331">
        <f>IF(AB405="kw",SUMPRODUCT(N407:N562,O407:O562,AB407:AB562),SUMPRODUCT(D407:D562,AB407:AB562))</f>
        <v>2531.1398989989666</v>
      </c>
      <c r="AC564" s="331">
        <f>IF(AC405="kw",SUMPRODUCT(N407:N562,O407:O562,AC407:AC562),SUMPRODUCT(D407:D562,AC407:AC562))</f>
        <v>0</v>
      </c>
      <c r="AD564" s="331">
        <f>IF(AD405="kw",SUMPRODUCT(N407:N562,O407:O562,AD407:AD562),SUMPRODUCT(D407:D562,AD407:AD562))</f>
        <v>0</v>
      </c>
      <c r="AE564" s="331">
        <f>IF(AE405="kw",SUMPRODUCT(N407:N562,O407:O562,AE407:AE562),SUMPRODUCT(D407:D562,AE407:AE562))</f>
        <v>0</v>
      </c>
      <c r="AF564" s="331">
        <f>IF(AF405="kw",SUMPRODUCT(N407:N562,O407:O562,AF407:AF562),SUMPRODUCT(D407:D562,AF407:AF562))</f>
        <v>0</v>
      </c>
      <c r="AG564" s="331">
        <f>IF(AG405="kw",SUMPRODUCT(N407:N562,O407:O562,AG407:AG562),SUMPRODUCT(D407:D562,AG407:AG562))</f>
        <v>0</v>
      </c>
      <c r="AH564" s="331">
        <f>IF(AH405="kw",SUMPRODUCT(N407:N562,O407:O562,AH407:AH562),SUMPRODUCT(D407:D562,AH407:AH562))</f>
        <v>0</v>
      </c>
      <c r="AI564" s="331">
        <f>IF(AI405="kw",SUMPRODUCT(N407:N562,O407:O562,AI407:AI562),SUMPRODUCT(D407:D562,AI407:AI562))</f>
        <v>0</v>
      </c>
      <c r="AJ564" s="331">
        <f>IF(AJ405="kw",SUMPRODUCT(N407:N562,O407:O562,AJ407:AJ562),SUMPRODUCT(D407:D562,AJ407:AJ562))</f>
        <v>0</v>
      </c>
      <c r="AK564" s="331">
        <f>IF(AK405="kw",SUMPRODUCT(N407:N562,O407:O562,AK407:AK562),SUMPRODUCT(D407:D562,AK407:AK562))</f>
        <v>0</v>
      </c>
      <c r="AL564" s="331">
        <f>IF(AL405="kw",SUMPRODUCT(N407:N562,O407:O562,AL407:AL562),SUMPRODUCT(D407:D562,AL407:AL562))</f>
        <v>0</v>
      </c>
      <c r="AM564" s="332"/>
    </row>
    <row r="565" spans="1:39" ht="15.75">
      <c r="B565" s="393" t="s">
        <v>294</v>
      </c>
      <c r="C565" s="394"/>
      <c r="D565" s="394"/>
      <c r="E565" s="394"/>
      <c r="F565" s="394"/>
      <c r="G565" s="394"/>
      <c r="H565" s="394"/>
      <c r="I565" s="394"/>
      <c r="J565" s="394"/>
      <c r="K565" s="394"/>
      <c r="L565" s="394"/>
      <c r="M565" s="394"/>
      <c r="N565" s="394"/>
      <c r="O565" s="394"/>
      <c r="P565" s="394"/>
      <c r="Q565" s="394"/>
      <c r="R565" s="394"/>
      <c r="S565" s="394"/>
      <c r="T565" s="394"/>
      <c r="U565" s="394"/>
      <c r="V565" s="394"/>
      <c r="W565" s="394"/>
      <c r="X565" s="394"/>
      <c r="Y565" s="394">
        <f>HLOOKUP(Y218,'2. LRAMVA Threshold'!$B$42:$Q$53,9,FALSE)</f>
        <v>1345003</v>
      </c>
      <c r="Z565" s="394">
        <f>HLOOKUP(Z218,'2. LRAMVA Threshold'!$B$42:$Q$53,9,FALSE)</f>
        <v>543085</v>
      </c>
      <c r="AA565" s="394">
        <f>HLOOKUP(AA218,'2. LRAMVA Threshold'!$B$42:$Q$53,9,FALSE)</f>
        <v>10671</v>
      </c>
      <c r="AB565" s="394">
        <f>HLOOKUP(AB218,'2. LRAMVA Threshold'!$B$42:$Q$53,9,FALSE)</f>
        <v>196</v>
      </c>
      <c r="AC565" s="394">
        <f>HLOOKUP(AC218,'2. LRAMVA Threshold'!$B$42:$Q$53,9,FALSE)</f>
        <v>4684</v>
      </c>
      <c r="AD565" s="394">
        <f>HLOOKUP(AD218,'2. LRAMVA Threshold'!$B$42:$Q$53,9,FALSE)</f>
        <v>0</v>
      </c>
      <c r="AE565" s="394">
        <f>HLOOKUP(AE218,'2. LRAMVA Threshold'!$B$42:$Q$53,9,FALSE)</f>
        <v>0</v>
      </c>
      <c r="AF565" s="394">
        <f>HLOOKUP(AF218,'2. LRAMVA Threshold'!$B$42:$Q$53,9,FALSE)</f>
        <v>0</v>
      </c>
      <c r="AG565" s="394">
        <f>HLOOKUP(AG218,'2. LRAMVA Threshold'!$B$42:$Q$53,9,FALSE)</f>
        <v>0</v>
      </c>
      <c r="AH565" s="394">
        <f>HLOOKUP(AH218,'2. LRAMVA Threshold'!$B$42:$Q$53,9,FALSE)</f>
        <v>0</v>
      </c>
      <c r="AI565" s="394">
        <f>HLOOKUP(AI218,'2. LRAMVA Threshold'!$B$42:$Q$53,9,FALSE)</f>
        <v>0</v>
      </c>
      <c r="AJ565" s="394">
        <f>HLOOKUP(AJ218,'2. LRAMVA Threshold'!$B$42:$Q$53,9,FALSE)</f>
        <v>0</v>
      </c>
      <c r="AK565" s="394">
        <f>HLOOKUP(AK218,'2. LRAMVA Threshold'!$B$42:$Q$53,9,FALSE)</f>
        <v>0</v>
      </c>
      <c r="AL565" s="394">
        <f>HLOOKUP(AL218,'2. LRAMVA Threshold'!$B$42:$Q$53,9,FALSE)</f>
        <v>0</v>
      </c>
      <c r="AM565" s="395"/>
    </row>
    <row r="566" spans="1:39">
      <c r="B566" s="396"/>
      <c r="C566" s="434"/>
      <c r="D566" s="435"/>
      <c r="E566" s="435"/>
      <c r="F566" s="435"/>
      <c r="G566" s="435"/>
      <c r="H566" s="435"/>
      <c r="I566" s="435"/>
      <c r="J566" s="435"/>
      <c r="K566" s="435"/>
      <c r="L566" s="435"/>
      <c r="M566" s="435"/>
      <c r="N566" s="435"/>
      <c r="O566" s="436"/>
      <c r="P566" s="435"/>
      <c r="Q566" s="435"/>
      <c r="R566" s="435"/>
      <c r="S566" s="437"/>
      <c r="T566" s="437"/>
      <c r="U566" s="437"/>
      <c r="V566" s="437"/>
      <c r="W566" s="435"/>
      <c r="X566" s="435"/>
      <c r="Y566" s="438"/>
      <c r="Z566" s="438"/>
      <c r="AA566" s="438"/>
      <c r="AB566" s="438"/>
      <c r="AC566" s="438"/>
      <c r="AD566" s="438"/>
      <c r="AE566" s="438"/>
      <c r="AF566" s="401"/>
      <c r="AG566" s="401"/>
      <c r="AH566" s="401"/>
      <c r="AI566" s="401"/>
      <c r="AJ566" s="401"/>
      <c r="AK566" s="401"/>
      <c r="AL566" s="401"/>
      <c r="AM566" s="402"/>
    </row>
    <row r="567" spans="1:39">
      <c r="B567" s="326" t="s">
        <v>295</v>
      </c>
      <c r="C567" s="340"/>
      <c r="D567" s="340"/>
      <c r="E567" s="378"/>
      <c r="F567" s="378"/>
      <c r="G567" s="378"/>
      <c r="H567" s="378"/>
      <c r="I567" s="378"/>
      <c r="J567" s="378"/>
      <c r="K567" s="378"/>
      <c r="L567" s="378"/>
      <c r="M567" s="378"/>
      <c r="N567" s="378"/>
      <c r="O567" s="293"/>
      <c r="P567" s="342"/>
      <c r="Q567" s="342"/>
      <c r="R567" s="342"/>
      <c r="S567" s="341"/>
      <c r="T567" s="341"/>
      <c r="U567" s="341"/>
      <c r="V567" s="341"/>
      <c r="W567" s="342"/>
      <c r="X567" s="342"/>
      <c r="Y567" s="343">
        <f>HLOOKUP(Y$35,'3.  Distribution Rates'!$C$122:$P$133,9,FALSE)</f>
        <v>1.21E-2</v>
      </c>
      <c r="Z567" s="343">
        <f>HLOOKUP(Z$35,'3.  Distribution Rates'!$C$122:$P$133,9,FALSE)</f>
        <v>1.3899999999999999E-2</v>
      </c>
      <c r="AA567" s="343">
        <f>HLOOKUP(AA$35,'3.  Distribution Rates'!$C$122:$P$133,9,FALSE)</f>
        <v>3.2837999999999998</v>
      </c>
      <c r="AB567" s="343">
        <f>HLOOKUP(AB$35,'3.  Distribution Rates'!$C$122:$P$133,9,FALSE)</f>
        <v>15.401</v>
      </c>
      <c r="AC567" s="343">
        <f>HLOOKUP(AC$35,'3.  Distribution Rates'!$C$122:$P$133,9,FALSE)</f>
        <v>1.2E-2</v>
      </c>
      <c r="AD567" s="343">
        <f>HLOOKUP(AD$35,'3.  Distribution Rates'!$C$122:$P$133,9,FALSE)</f>
        <v>0</v>
      </c>
      <c r="AE567" s="343">
        <f>HLOOKUP(AE$35,'3.  Distribution Rates'!$C$122:$P$133,9,FALSE)</f>
        <v>0</v>
      </c>
      <c r="AF567" s="343">
        <f>HLOOKUP(AF$35,'3.  Distribution Rates'!$C$122:$P$133,9,FALSE)</f>
        <v>0</v>
      </c>
      <c r="AG567" s="343">
        <f>HLOOKUP(AG$35,'3.  Distribution Rates'!$C$122:$P$133,9,FALSE)</f>
        <v>0</v>
      </c>
      <c r="AH567" s="343">
        <f>HLOOKUP(AH$35,'3.  Distribution Rates'!$C$122:$P$133,9,FALSE)</f>
        <v>0</v>
      </c>
      <c r="AI567" s="343">
        <f>HLOOKUP(AI$35,'3.  Distribution Rates'!$C$122:$P$133,9,FALSE)</f>
        <v>0</v>
      </c>
      <c r="AJ567" s="343">
        <f>HLOOKUP(AJ$35,'3.  Distribution Rates'!$C$122:$P$133,9,FALSE)</f>
        <v>0</v>
      </c>
      <c r="AK567" s="343">
        <f>HLOOKUP(AK$35,'3.  Distribution Rates'!$C$122:$P$133,9,FALSE)</f>
        <v>0</v>
      </c>
      <c r="AL567" s="343">
        <f>HLOOKUP(AL$35,'3.  Distribution Rates'!$C$122:$P$133,9,FALSE)</f>
        <v>0</v>
      </c>
      <c r="AM567" s="443"/>
    </row>
    <row r="568" spans="1:39">
      <c r="B568" s="326" t="s">
        <v>296</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LRAM'!Y140*Y567</f>
        <v>1827.672714865249</v>
      </c>
      <c r="Z568" s="380">
        <f>'4.  2011-2014 LRAM'!Z140*Z567</f>
        <v>2366.2644747275917</v>
      </c>
      <c r="AA568" s="380">
        <f>'4.  2011-2014 LRAM'!AA140*AA567</f>
        <v>1720.3302791999999</v>
      </c>
      <c r="AB568" s="380">
        <f>'4.  2011-2014 LRAM'!AB140*AB567</f>
        <v>0</v>
      </c>
      <c r="AC568" s="380">
        <f>'4.  2011-2014 LRAM'!AC140*AC567</f>
        <v>0</v>
      </c>
      <c r="AD568" s="380">
        <f>'4.  2011-2014 LRAM'!AD140*AD567</f>
        <v>0</v>
      </c>
      <c r="AE568" s="380">
        <f>'4.  2011-2014 LRAM'!AE140*AE567</f>
        <v>0</v>
      </c>
      <c r="AF568" s="380">
        <f>'4.  2011-2014 LRAM'!AF140*AF567</f>
        <v>0</v>
      </c>
      <c r="AG568" s="380">
        <f>'4.  2011-2014 LRAM'!AG140*AG567</f>
        <v>0</v>
      </c>
      <c r="AH568" s="380">
        <f>'4.  2011-2014 LRAM'!AH140*AH567</f>
        <v>0</v>
      </c>
      <c r="AI568" s="380">
        <f>'4.  2011-2014 LRAM'!AI140*AI567</f>
        <v>0</v>
      </c>
      <c r="AJ568" s="380">
        <f>'4.  2011-2014 LRAM'!AJ140*AJ567</f>
        <v>0</v>
      </c>
      <c r="AK568" s="380">
        <f>'4.  2011-2014 LRAM'!AK140*AK567</f>
        <v>0</v>
      </c>
      <c r="AL568" s="380">
        <f>'4.  2011-2014 LRAM'!AL140*AL567</f>
        <v>0</v>
      </c>
      <c r="AM568" s="629">
        <f t="shared" ref="AM568:AM574" si="1700">SUM(Y568:AL568)</f>
        <v>5914.2674687928411</v>
      </c>
    </row>
    <row r="569" spans="1:39">
      <c r="B569" s="326" t="s">
        <v>297</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'4.  2011-2014 LRAM'!Y269*Y567</f>
        <v>1470.214964774083</v>
      </c>
      <c r="Z569" s="380">
        <f>'4.  2011-2014 LRAM'!Z269*Z567</f>
        <v>15343.317190154736</v>
      </c>
      <c r="AA569" s="380">
        <f>'4.  2011-2014 LRAM'!AA269*AA567</f>
        <v>1453.5291158129751</v>
      </c>
      <c r="AB569" s="380">
        <f>'4.  2011-2014 LRAM'!AB269*AB567</f>
        <v>0</v>
      </c>
      <c r="AC569" s="380">
        <f>'4.  2011-2014 LRAM'!AC269*AC567</f>
        <v>0</v>
      </c>
      <c r="AD569" s="380">
        <f>'4.  2011-2014 LRAM'!AD269*AD567</f>
        <v>0</v>
      </c>
      <c r="AE569" s="380">
        <f>'4.  2011-2014 LRAM'!AE269*AE567</f>
        <v>0</v>
      </c>
      <c r="AF569" s="380">
        <f>'4.  2011-2014 LRAM'!AF269*AF567</f>
        <v>0</v>
      </c>
      <c r="AG569" s="380">
        <f>'4.  2011-2014 LRAM'!AG269*AG567</f>
        <v>0</v>
      </c>
      <c r="AH569" s="380">
        <f>'4.  2011-2014 LRAM'!AH269*AH567</f>
        <v>0</v>
      </c>
      <c r="AI569" s="380">
        <f>'4.  2011-2014 LRAM'!AI269*AI567</f>
        <v>0</v>
      </c>
      <c r="AJ569" s="380">
        <f>'4.  2011-2014 LRAM'!AJ269*AJ567</f>
        <v>0</v>
      </c>
      <c r="AK569" s="380">
        <f>'4.  2011-2014 LRAM'!AK269*AK567</f>
        <v>0</v>
      </c>
      <c r="AL569" s="380">
        <f>'4.  2011-2014 LRAM'!AL269*AL567</f>
        <v>0</v>
      </c>
      <c r="AM569" s="629">
        <f t="shared" si="1700"/>
        <v>18267.061270741797</v>
      </c>
    </row>
    <row r="570" spans="1:39">
      <c r="B570" s="326" t="s">
        <v>298</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'4.  2011-2014 LRAM'!Y398*Y567</f>
        <v>1849.4883605655368</v>
      </c>
      <c r="Z570" s="380">
        <f>'4.  2011-2014 LRAM'!Z398*Z567</f>
        <v>15180.12620224314</v>
      </c>
      <c r="AA570" s="380">
        <f>'4.  2011-2014 LRAM'!AA398*AA567</f>
        <v>896.16292094021662</v>
      </c>
      <c r="AB570" s="380">
        <f>'4.  2011-2014 LRAM'!AB398*AB567</f>
        <v>0</v>
      </c>
      <c r="AC570" s="380">
        <f>'4.  2011-2014 LRAM'!AC398*AC567</f>
        <v>0</v>
      </c>
      <c r="AD570" s="380">
        <f>'4.  2011-2014 LRAM'!AD398*AD567</f>
        <v>0</v>
      </c>
      <c r="AE570" s="380">
        <f>'4.  2011-2014 LRAM'!AE398*AE567</f>
        <v>0</v>
      </c>
      <c r="AF570" s="380">
        <f>'4.  2011-2014 LRAM'!AF398*AF567</f>
        <v>0</v>
      </c>
      <c r="AG570" s="380">
        <f>'4.  2011-2014 LRAM'!AG398*AG567</f>
        <v>0</v>
      </c>
      <c r="AH570" s="380">
        <f>'4.  2011-2014 LRAM'!AH398*AH567</f>
        <v>0</v>
      </c>
      <c r="AI570" s="380">
        <f>'4.  2011-2014 LRAM'!AI398*AI567</f>
        <v>0</v>
      </c>
      <c r="AJ570" s="380">
        <f>'4.  2011-2014 LRAM'!AJ398*AJ567</f>
        <v>0</v>
      </c>
      <c r="AK570" s="380">
        <f>'4.  2011-2014 LRAM'!AK398*AK567</f>
        <v>0</v>
      </c>
      <c r="AL570" s="380">
        <f>'4.  2011-2014 LRAM'!AL398*AL567</f>
        <v>0</v>
      </c>
      <c r="AM570" s="629">
        <f t="shared" si="1700"/>
        <v>17925.777483748894</v>
      </c>
    </row>
    <row r="571" spans="1:39">
      <c r="B571" s="326" t="s">
        <v>299</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'4.  2011-2014 LRAM'!Y528*Y567</f>
        <v>6595.6515130856824</v>
      </c>
      <c r="Z571" s="380">
        <f>'4.  2011-2014 LRAM'!Z528*Z567</f>
        <v>14151.95150312371</v>
      </c>
      <c r="AA571" s="380">
        <f>'4.  2011-2014 LRAM'!AA528*AA567</f>
        <v>2327.3522092238509</v>
      </c>
      <c r="AB571" s="380">
        <f>'4.  2011-2014 LRAM'!AB528*AB567</f>
        <v>0</v>
      </c>
      <c r="AC571" s="380">
        <f>'4.  2011-2014 LRAM'!AC528*AC567</f>
        <v>0</v>
      </c>
      <c r="AD571" s="380">
        <f>'4.  2011-2014 LRAM'!AD528*AD567</f>
        <v>0</v>
      </c>
      <c r="AE571" s="380">
        <f>'4.  2011-2014 LRAM'!AE528*AE567</f>
        <v>0</v>
      </c>
      <c r="AF571" s="380">
        <f>'4.  2011-2014 LRAM'!AF528*AF567</f>
        <v>0</v>
      </c>
      <c r="AG571" s="380">
        <f>'4.  2011-2014 LRAM'!AG528*AG567</f>
        <v>0</v>
      </c>
      <c r="AH571" s="380">
        <f>'4.  2011-2014 LRAM'!AH528*AH567</f>
        <v>0</v>
      </c>
      <c r="AI571" s="380">
        <f>'4.  2011-2014 LRAM'!AI528*AI567</f>
        <v>0</v>
      </c>
      <c r="AJ571" s="380">
        <f>'4.  2011-2014 LRAM'!AJ528*AJ567</f>
        <v>0</v>
      </c>
      <c r="AK571" s="380">
        <f>'4.  2011-2014 LRAM'!AK528*AK567</f>
        <v>0</v>
      </c>
      <c r="AL571" s="380">
        <f>'4.  2011-2014 LRAM'!AL528*AL567</f>
        <v>0</v>
      </c>
      <c r="AM571" s="629">
        <f t="shared" si="1700"/>
        <v>23074.955225433245</v>
      </c>
    </row>
    <row r="572" spans="1:39">
      <c r="B572" s="326" t="s">
        <v>300</v>
      </c>
      <c r="C572" s="347"/>
      <c r="D572" s="311"/>
      <c r="E572" s="281"/>
      <c r="F572" s="281"/>
      <c r="G572" s="281"/>
      <c r="H572" s="281"/>
      <c r="I572" s="281"/>
      <c r="J572" s="281"/>
      <c r="K572" s="281"/>
      <c r="L572" s="281"/>
      <c r="M572" s="281"/>
      <c r="N572" s="281"/>
      <c r="O572" s="293"/>
      <c r="P572" s="281"/>
      <c r="Q572" s="281"/>
      <c r="R572" s="281"/>
      <c r="S572" s="311"/>
      <c r="T572" s="311"/>
      <c r="U572" s="311"/>
      <c r="V572" s="311"/>
      <c r="W572" s="281"/>
      <c r="X572" s="281"/>
      <c r="Y572" s="380">
        <f t="shared" ref="Y572:AL572" si="1701">Y209*Y567</f>
        <v>6998.3678859048805</v>
      </c>
      <c r="Z572" s="380">
        <f t="shared" si="1701"/>
        <v>12972.251310576761</v>
      </c>
      <c r="AA572" s="380">
        <f t="shared" si="1701"/>
        <v>2293.6592304148317</v>
      </c>
      <c r="AB572" s="380">
        <f t="shared" si="1701"/>
        <v>0</v>
      </c>
      <c r="AC572" s="380">
        <f t="shared" si="1701"/>
        <v>0</v>
      </c>
      <c r="AD572" s="380">
        <f t="shared" si="1701"/>
        <v>0</v>
      </c>
      <c r="AE572" s="380">
        <f t="shared" si="1701"/>
        <v>0</v>
      </c>
      <c r="AF572" s="380">
        <f t="shared" si="1701"/>
        <v>0</v>
      </c>
      <c r="AG572" s="380">
        <f t="shared" si="1701"/>
        <v>0</v>
      </c>
      <c r="AH572" s="380">
        <f t="shared" si="1701"/>
        <v>0</v>
      </c>
      <c r="AI572" s="380">
        <f t="shared" si="1701"/>
        <v>0</v>
      </c>
      <c r="AJ572" s="380">
        <f t="shared" si="1701"/>
        <v>0</v>
      </c>
      <c r="AK572" s="380">
        <f t="shared" si="1701"/>
        <v>0</v>
      </c>
      <c r="AL572" s="380">
        <f t="shared" si="1701"/>
        <v>0</v>
      </c>
      <c r="AM572" s="629">
        <f t="shared" si="1700"/>
        <v>22264.278426896475</v>
      </c>
    </row>
    <row r="573" spans="1:39">
      <c r="B573" s="326" t="s">
        <v>301</v>
      </c>
      <c r="C573" s="347"/>
      <c r="D573" s="311"/>
      <c r="E573" s="281"/>
      <c r="F573" s="281"/>
      <c r="G573" s="281"/>
      <c r="H573" s="281"/>
      <c r="I573" s="281"/>
      <c r="J573" s="281"/>
      <c r="K573" s="281"/>
      <c r="L573" s="281"/>
      <c r="M573" s="281"/>
      <c r="N573" s="281"/>
      <c r="O573" s="293"/>
      <c r="P573" s="281"/>
      <c r="Q573" s="281"/>
      <c r="R573" s="281"/>
      <c r="S573" s="311"/>
      <c r="T573" s="311"/>
      <c r="U573" s="311"/>
      <c r="V573" s="311"/>
      <c r="W573" s="281"/>
      <c r="X573" s="281"/>
      <c r="Y573" s="380">
        <f t="shared" ref="Y573:AL573" si="1702">Y395*Y567</f>
        <v>18479.056970332109</v>
      </c>
      <c r="Z573" s="380">
        <f t="shared" si="1702"/>
        <v>7009.763519218186</v>
      </c>
      <c r="AA573" s="380">
        <f t="shared" si="1702"/>
        <v>3072.856616661295</v>
      </c>
      <c r="AB573" s="380">
        <f t="shared" si="1702"/>
        <v>0</v>
      </c>
      <c r="AC573" s="380">
        <f t="shared" si="1702"/>
        <v>0</v>
      </c>
      <c r="AD573" s="380">
        <f t="shared" si="1702"/>
        <v>0</v>
      </c>
      <c r="AE573" s="380">
        <f t="shared" si="1702"/>
        <v>0</v>
      </c>
      <c r="AF573" s="380">
        <f t="shared" si="1702"/>
        <v>0</v>
      </c>
      <c r="AG573" s="380">
        <f t="shared" si="1702"/>
        <v>0</v>
      </c>
      <c r="AH573" s="380">
        <f t="shared" si="1702"/>
        <v>0</v>
      </c>
      <c r="AI573" s="380">
        <f t="shared" si="1702"/>
        <v>0</v>
      </c>
      <c r="AJ573" s="380">
        <f t="shared" si="1702"/>
        <v>0</v>
      </c>
      <c r="AK573" s="380">
        <f t="shared" si="1702"/>
        <v>0</v>
      </c>
      <c r="AL573" s="380">
        <f t="shared" si="1702"/>
        <v>0</v>
      </c>
      <c r="AM573" s="629">
        <f t="shared" si="1700"/>
        <v>28561.677106211588</v>
      </c>
    </row>
    <row r="574" spans="1:39">
      <c r="B574" s="326" t="s">
        <v>302</v>
      </c>
      <c r="C574" s="347"/>
      <c r="D574" s="311"/>
      <c r="E574" s="281"/>
      <c r="F574" s="281"/>
      <c r="G574" s="281"/>
      <c r="H574" s="281"/>
      <c r="I574" s="281"/>
      <c r="J574" s="281"/>
      <c r="K574" s="281"/>
      <c r="L574" s="281"/>
      <c r="M574" s="281"/>
      <c r="N574" s="281"/>
      <c r="O574" s="293"/>
      <c r="P574" s="281"/>
      <c r="Q574" s="281"/>
      <c r="R574" s="281"/>
      <c r="S574" s="311"/>
      <c r="T574" s="311"/>
      <c r="U574" s="311"/>
      <c r="V574" s="311"/>
      <c r="W574" s="281"/>
      <c r="X574" s="281"/>
      <c r="Y574" s="380">
        <f>Y564*Y567</f>
        <v>52096.9735</v>
      </c>
      <c r="Z574" s="380">
        <f t="shared" ref="Z574:AL574" si="1703">Z564*Z567</f>
        <v>1601.7665</v>
      </c>
      <c r="AA574" s="380">
        <f t="shared" si="1703"/>
        <v>11959.399090676448</v>
      </c>
      <c r="AB574" s="380">
        <f t="shared" si="1703"/>
        <v>38982.085584483088</v>
      </c>
      <c r="AC574" s="380">
        <f t="shared" si="1703"/>
        <v>0</v>
      </c>
      <c r="AD574" s="380">
        <f t="shared" si="1703"/>
        <v>0</v>
      </c>
      <c r="AE574" s="380">
        <f t="shared" si="1703"/>
        <v>0</v>
      </c>
      <c r="AF574" s="380">
        <f t="shared" si="1703"/>
        <v>0</v>
      </c>
      <c r="AG574" s="380">
        <f t="shared" si="1703"/>
        <v>0</v>
      </c>
      <c r="AH574" s="380">
        <f t="shared" si="1703"/>
        <v>0</v>
      </c>
      <c r="AI574" s="380">
        <f t="shared" si="1703"/>
        <v>0</v>
      </c>
      <c r="AJ574" s="380">
        <f t="shared" si="1703"/>
        <v>0</v>
      </c>
      <c r="AK574" s="380">
        <f t="shared" si="1703"/>
        <v>0</v>
      </c>
      <c r="AL574" s="380">
        <f t="shared" si="1703"/>
        <v>0</v>
      </c>
      <c r="AM574" s="629">
        <f t="shared" si="1700"/>
        <v>104640.22467515952</v>
      </c>
    </row>
    <row r="575" spans="1:39" ht="15.75">
      <c r="B575" s="351" t="s">
        <v>303</v>
      </c>
      <c r="C575" s="347"/>
      <c r="D575" s="338"/>
      <c r="E575" s="336"/>
      <c r="F575" s="336"/>
      <c r="G575" s="336"/>
      <c r="H575" s="336"/>
      <c r="I575" s="336"/>
      <c r="J575" s="336"/>
      <c r="K575" s="336"/>
      <c r="L575" s="336"/>
      <c r="M575" s="336"/>
      <c r="N575" s="336"/>
      <c r="O575" s="302"/>
      <c r="P575" s="336"/>
      <c r="Q575" s="336"/>
      <c r="R575" s="336"/>
      <c r="S575" s="338"/>
      <c r="T575" s="338"/>
      <c r="U575" s="338"/>
      <c r="V575" s="338"/>
      <c r="W575" s="336"/>
      <c r="X575" s="336"/>
      <c r="Y575" s="348">
        <f>SUM(Y568:Y574)</f>
        <v>89317.425909527548</v>
      </c>
      <c r="Z575" s="348">
        <f>SUM(Z568:Z574)</f>
        <v>68625.440700044128</v>
      </c>
      <c r="AA575" s="348">
        <f t="shared" ref="AA575:AE575" si="1704">SUM(AA568:AA574)</f>
        <v>23723.289462929617</v>
      </c>
      <c r="AB575" s="348">
        <f t="shared" si="1704"/>
        <v>38982.085584483088</v>
      </c>
      <c r="AC575" s="348">
        <f t="shared" si="1704"/>
        <v>0</v>
      </c>
      <c r="AD575" s="348">
        <f t="shared" si="1704"/>
        <v>0</v>
      </c>
      <c r="AE575" s="348">
        <f t="shared" si="1704"/>
        <v>0</v>
      </c>
      <c r="AF575" s="348">
        <f>SUM(AF568:AF574)</f>
        <v>0</v>
      </c>
      <c r="AG575" s="348">
        <f>SUM(AG568:AG574)</f>
        <v>0</v>
      </c>
      <c r="AH575" s="348">
        <f t="shared" ref="AH575:AL575" si="1705">SUM(AH568:AH574)</f>
        <v>0</v>
      </c>
      <c r="AI575" s="348">
        <f t="shared" si="1705"/>
        <v>0</v>
      </c>
      <c r="AJ575" s="348">
        <f t="shared" si="1705"/>
        <v>0</v>
      </c>
      <c r="AK575" s="348">
        <f t="shared" si="1705"/>
        <v>0</v>
      </c>
      <c r="AL575" s="348">
        <f t="shared" si="1705"/>
        <v>0</v>
      </c>
      <c r="AM575" s="409">
        <f>SUM(AM568:AM574)</f>
        <v>220648.24165698438</v>
      </c>
    </row>
    <row r="576" spans="1:39" ht="15.75">
      <c r="B576" s="351" t="s">
        <v>304</v>
      </c>
      <c r="C576" s="347"/>
      <c r="D576" s="352"/>
      <c r="E576" s="336"/>
      <c r="F576" s="336"/>
      <c r="G576" s="336"/>
      <c r="H576" s="336"/>
      <c r="I576" s="336"/>
      <c r="J576" s="336"/>
      <c r="K576" s="336"/>
      <c r="L576" s="336"/>
      <c r="M576" s="336"/>
      <c r="N576" s="336"/>
      <c r="O576" s="302"/>
      <c r="P576" s="336"/>
      <c r="Q576" s="336"/>
      <c r="R576" s="336"/>
      <c r="S576" s="338"/>
      <c r="T576" s="338"/>
      <c r="U576" s="338"/>
      <c r="V576" s="338"/>
      <c r="W576" s="336"/>
      <c r="X576" s="336"/>
      <c r="Y576" s="349">
        <f>Y565*Y567</f>
        <v>16274.5363</v>
      </c>
      <c r="Z576" s="349">
        <f t="shared" ref="Z576:AE576" si="1706">Z565*Z567</f>
        <v>7548.8814999999995</v>
      </c>
      <c r="AA576" s="349">
        <f t="shared" si="1706"/>
        <v>35041.429799999998</v>
      </c>
      <c r="AB576" s="349">
        <f t="shared" si="1706"/>
        <v>3018.596</v>
      </c>
      <c r="AC576" s="349">
        <f t="shared" si="1706"/>
        <v>56.207999999999998</v>
      </c>
      <c r="AD576" s="349">
        <f t="shared" si="1706"/>
        <v>0</v>
      </c>
      <c r="AE576" s="349">
        <f t="shared" si="1706"/>
        <v>0</v>
      </c>
      <c r="AF576" s="349">
        <f>AF565*AF567</f>
        <v>0</v>
      </c>
      <c r="AG576" s="349">
        <f t="shared" ref="AG576:AL576" si="1707">AG565*AG567</f>
        <v>0</v>
      </c>
      <c r="AH576" s="349">
        <f t="shared" si="1707"/>
        <v>0</v>
      </c>
      <c r="AI576" s="349">
        <f t="shared" si="1707"/>
        <v>0</v>
      </c>
      <c r="AJ576" s="349">
        <f t="shared" si="1707"/>
        <v>0</v>
      </c>
      <c r="AK576" s="349">
        <f t="shared" si="1707"/>
        <v>0</v>
      </c>
      <c r="AL576" s="349">
        <f t="shared" si="1707"/>
        <v>0</v>
      </c>
      <c r="AM576" s="409">
        <f>SUM(Y576:AL576)</f>
        <v>61939.65159999999</v>
      </c>
    </row>
    <row r="577" spans="1:39" ht="15.75">
      <c r="B577" s="351" t="s">
        <v>305</v>
      </c>
      <c r="C577" s="347"/>
      <c r="D577" s="352"/>
      <c r="E577" s="336"/>
      <c r="F577" s="336"/>
      <c r="G577" s="336"/>
      <c r="H577" s="336"/>
      <c r="I577" s="336"/>
      <c r="J577" s="336"/>
      <c r="K577" s="336"/>
      <c r="L577" s="336"/>
      <c r="M577" s="336"/>
      <c r="N577" s="336"/>
      <c r="O577" s="302"/>
      <c r="P577" s="336"/>
      <c r="Q577" s="336"/>
      <c r="R577" s="336"/>
      <c r="S577" s="352"/>
      <c r="T577" s="352"/>
      <c r="U577" s="352"/>
      <c r="V577" s="352"/>
      <c r="W577" s="336"/>
      <c r="X577" s="336"/>
      <c r="Y577" s="353"/>
      <c r="Z577" s="353"/>
      <c r="AA577" s="353"/>
      <c r="AB577" s="353"/>
      <c r="AC577" s="353"/>
      <c r="AD577" s="353"/>
      <c r="AE577" s="353"/>
      <c r="AF577" s="353"/>
      <c r="AG577" s="353"/>
      <c r="AH577" s="353"/>
      <c r="AI577" s="353"/>
      <c r="AJ577" s="353"/>
      <c r="AK577" s="353"/>
      <c r="AL577" s="353"/>
      <c r="AM577" s="409">
        <f>AM575-AM576</f>
        <v>158708.59005698439</v>
      </c>
    </row>
    <row r="578" spans="1:39">
      <c r="B578" s="326"/>
      <c r="C578" s="352"/>
      <c r="D578" s="352"/>
      <c r="E578" s="336"/>
      <c r="F578" s="336"/>
      <c r="G578" s="336"/>
      <c r="H578" s="336"/>
      <c r="I578" s="336"/>
      <c r="J578" s="336"/>
      <c r="K578" s="336"/>
      <c r="L578" s="336"/>
      <c r="M578" s="336"/>
      <c r="N578" s="336"/>
      <c r="O578" s="302"/>
      <c r="P578" s="336"/>
      <c r="Q578" s="336"/>
      <c r="R578" s="336"/>
      <c r="S578" s="352"/>
      <c r="T578" s="347"/>
      <c r="U578" s="352"/>
      <c r="V578" s="352"/>
      <c r="W578" s="336"/>
      <c r="X578" s="336"/>
      <c r="Y578" s="354"/>
      <c r="Z578" s="354"/>
      <c r="AA578" s="354"/>
      <c r="AB578" s="354"/>
      <c r="AC578" s="354"/>
      <c r="AD578" s="354"/>
      <c r="AE578" s="354"/>
      <c r="AF578" s="354"/>
      <c r="AG578" s="354"/>
      <c r="AH578" s="354"/>
      <c r="AI578" s="354"/>
      <c r="AJ578" s="354"/>
      <c r="AK578" s="354"/>
      <c r="AL578" s="354"/>
      <c r="AM578" s="350"/>
    </row>
    <row r="579" spans="1:39">
      <c r="B579" s="441" t="s">
        <v>306</v>
      </c>
      <c r="C579" s="306"/>
      <c r="D579" s="281"/>
      <c r="E579" s="281"/>
      <c r="F579" s="281"/>
      <c r="G579" s="281"/>
      <c r="H579" s="281"/>
      <c r="I579" s="281"/>
      <c r="J579" s="281"/>
      <c r="K579" s="281"/>
      <c r="L579" s="281"/>
      <c r="M579" s="281"/>
      <c r="N579" s="281"/>
      <c r="O579" s="359"/>
      <c r="P579" s="281"/>
      <c r="Q579" s="281"/>
      <c r="R579" s="281"/>
      <c r="S579" s="306"/>
      <c r="T579" s="311"/>
      <c r="U579" s="311"/>
      <c r="V579" s="281"/>
      <c r="W579" s="281"/>
      <c r="X579" s="311"/>
      <c r="Y579" s="293">
        <f>SUMPRODUCT(E407:E562,Y407:Y562)</f>
        <v>3613012</v>
      </c>
      <c r="Z579" s="293">
        <f>SUMPRODUCT(E407:E562,Z407:Z562)</f>
        <v>115480.18339522612</v>
      </c>
      <c r="AA579" s="293">
        <f t="shared" ref="AA579:AL579" si="1708">IF(AA405="kw",SUMPRODUCT($N$407:$N$562,$P$407:$P$562,AA407:AA562),SUMPRODUCT($E$407:$E$562,AA407:AA562))</f>
        <v>3762.2901924065663</v>
      </c>
      <c r="AB579" s="293">
        <f t="shared" si="1708"/>
        <v>2614.8558179607576</v>
      </c>
      <c r="AC579" s="293">
        <f t="shared" si="1708"/>
        <v>0</v>
      </c>
      <c r="AD579" s="293">
        <f t="shared" si="1708"/>
        <v>0</v>
      </c>
      <c r="AE579" s="293">
        <f t="shared" si="1708"/>
        <v>0</v>
      </c>
      <c r="AF579" s="293">
        <f t="shared" si="1708"/>
        <v>0</v>
      </c>
      <c r="AG579" s="293">
        <f t="shared" si="1708"/>
        <v>0</v>
      </c>
      <c r="AH579" s="293">
        <f t="shared" si="1708"/>
        <v>0</v>
      </c>
      <c r="AI579" s="293">
        <f t="shared" si="1708"/>
        <v>0</v>
      </c>
      <c r="AJ579" s="293">
        <f t="shared" si="1708"/>
        <v>0</v>
      </c>
      <c r="AK579" s="293">
        <f t="shared" si="1708"/>
        <v>0</v>
      </c>
      <c r="AL579" s="293">
        <f t="shared" si="1708"/>
        <v>0</v>
      </c>
      <c r="AM579" s="339"/>
    </row>
    <row r="580" spans="1:39">
      <c r="B580" s="441" t="s">
        <v>307</v>
      </c>
      <c r="C580" s="306"/>
      <c r="D580" s="281"/>
      <c r="E580" s="281"/>
      <c r="F580" s="281"/>
      <c r="G580" s="281"/>
      <c r="H580" s="281"/>
      <c r="I580" s="281"/>
      <c r="J580" s="281"/>
      <c r="K580" s="281"/>
      <c r="L580" s="281"/>
      <c r="M580" s="281"/>
      <c r="N580" s="281"/>
      <c r="O580" s="359"/>
      <c r="P580" s="281"/>
      <c r="Q580" s="281"/>
      <c r="R580" s="281"/>
      <c r="S580" s="306"/>
      <c r="T580" s="311"/>
      <c r="U580" s="311"/>
      <c r="V580" s="281"/>
      <c r="W580" s="281"/>
      <c r="X580" s="311"/>
      <c r="Y580" s="293">
        <f>SUMPRODUCT(F407:F562,Y407:Y562)</f>
        <v>3613012</v>
      </c>
      <c r="Z580" s="293">
        <f>SUMPRODUCT(F407:F562,Z407:Z562)</f>
        <v>110507.85528205858</v>
      </c>
      <c r="AA580" s="293">
        <f t="shared" ref="AA580:AL580" si="1709">IF(AA405="kw",SUMPRODUCT($N$407:$N$562,$Q$407:$Q$562,AA407:AA562),SUMPRODUCT($F$407:$F$562,AA407:AA562))</f>
        <v>3762.2284525354112</v>
      </c>
      <c r="AB580" s="293">
        <f t="shared" si="1709"/>
        <v>2614.8558179607576</v>
      </c>
      <c r="AC580" s="293">
        <f t="shared" si="1709"/>
        <v>0</v>
      </c>
      <c r="AD580" s="293">
        <f t="shared" si="1709"/>
        <v>0</v>
      </c>
      <c r="AE580" s="293">
        <f t="shared" si="1709"/>
        <v>0</v>
      </c>
      <c r="AF580" s="293">
        <f t="shared" si="1709"/>
        <v>0</v>
      </c>
      <c r="AG580" s="293">
        <f t="shared" si="1709"/>
        <v>0</v>
      </c>
      <c r="AH580" s="293">
        <f t="shared" si="1709"/>
        <v>0</v>
      </c>
      <c r="AI580" s="293">
        <f t="shared" si="1709"/>
        <v>0</v>
      </c>
      <c r="AJ580" s="293">
        <f t="shared" si="1709"/>
        <v>0</v>
      </c>
      <c r="AK580" s="293">
        <f t="shared" si="1709"/>
        <v>0</v>
      </c>
      <c r="AL580" s="293">
        <f t="shared" si="1709"/>
        <v>0</v>
      </c>
      <c r="AM580" s="339"/>
    </row>
    <row r="581" spans="1:39">
      <c r="B581" s="442" t="s">
        <v>308</v>
      </c>
      <c r="C581" s="366"/>
      <c r="D581" s="386"/>
      <c r="E581" s="386"/>
      <c r="F581" s="386"/>
      <c r="G581" s="386"/>
      <c r="H581" s="386"/>
      <c r="I581" s="386"/>
      <c r="J581" s="386"/>
      <c r="K581" s="386"/>
      <c r="L581" s="386"/>
      <c r="M581" s="386"/>
      <c r="N581" s="386"/>
      <c r="O581" s="385"/>
      <c r="P581" s="386"/>
      <c r="Q581" s="386"/>
      <c r="R581" s="386"/>
      <c r="S581" s="366"/>
      <c r="T581" s="387"/>
      <c r="U581" s="387"/>
      <c r="V581" s="386"/>
      <c r="W581" s="386"/>
      <c r="X581" s="387"/>
      <c r="Y581" s="328">
        <f>SUMPRODUCT(G407:G562,Y407:Y562)</f>
        <v>3613012</v>
      </c>
      <c r="Z581" s="328">
        <f>SUMPRODUCT(G407:G562,Z407:Z562)</f>
        <v>110507.85528205858</v>
      </c>
      <c r="AA581" s="328">
        <f t="shared" ref="AA581:AL581" si="1710">IF(AA405="kw",SUMPRODUCT($N$407:$N$562,$R$407:$R$562,AA407:AA562),SUMPRODUCT($G$407:$G$562,AA407:AA562))</f>
        <v>3762.2284525354112</v>
      </c>
      <c r="AB581" s="328">
        <f t="shared" si="1710"/>
        <v>2614.8558179607576</v>
      </c>
      <c r="AC581" s="328">
        <f t="shared" si="1710"/>
        <v>0</v>
      </c>
      <c r="AD581" s="328">
        <f t="shared" si="1710"/>
        <v>0</v>
      </c>
      <c r="AE581" s="328">
        <f t="shared" si="1710"/>
        <v>0</v>
      </c>
      <c r="AF581" s="328">
        <f t="shared" si="1710"/>
        <v>0</v>
      </c>
      <c r="AG581" s="328">
        <f t="shared" si="1710"/>
        <v>0</v>
      </c>
      <c r="AH581" s="328">
        <f t="shared" si="1710"/>
        <v>0</v>
      </c>
      <c r="AI581" s="328">
        <f t="shared" si="1710"/>
        <v>0</v>
      </c>
      <c r="AJ581" s="328">
        <f t="shared" si="1710"/>
        <v>0</v>
      </c>
      <c r="AK581" s="328">
        <f t="shared" si="1710"/>
        <v>0</v>
      </c>
      <c r="AL581" s="328">
        <f t="shared" si="1710"/>
        <v>0</v>
      </c>
      <c r="AM581" s="388"/>
    </row>
    <row r="582" spans="1:39" ht="22.5" customHeight="1">
      <c r="B582" s="370" t="s">
        <v>592</v>
      </c>
      <c r="C582" s="389"/>
      <c r="D582" s="390"/>
      <c r="E582" s="390"/>
      <c r="F582" s="390"/>
      <c r="G582" s="390"/>
      <c r="H582" s="390"/>
      <c r="I582" s="390"/>
      <c r="J582" s="390"/>
      <c r="K582" s="390"/>
      <c r="L582" s="390"/>
      <c r="M582" s="390"/>
      <c r="N582" s="390"/>
      <c r="O582" s="390"/>
      <c r="P582" s="390"/>
      <c r="Q582" s="390"/>
      <c r="R582" s="390"/>
      <c r="S582" s="373"/>
      <c r="T582" s="374"/>
      <c r="U582" s="390"/>
      <c r="V582" s="390"/>
      <c r="W582" s="390"/>
      <c r="X582" s="390"/>
      <c r="Y582" s="411"/>
      <c r="Z582" s="411"/>
      <c r="AA582" s="411"/>
      <c r="AB582" s="411"/>
      <c r="AC582" s="411"/>
      <c r="AD582" s="411"/>
      <c r="AE582" s="411"/>
      <c r="AF582" s="411"/>
      <c r="AG582" s="411"/>
      <c r="AH582" s="411"/>
      <c r="AI582" s="411"/>
      <c r="AJ582" s="411"/>
      <c r="AK582" s="411"/>
      <c r="AL582" s="411"/>
      <c r="AM582" s="391"/>
    </row>
    <row r="585" spans="1:39" ht="15.75">
      <c r="B585" s="282" t="s">
        <v>310</v>
      </c>
      <c r="C585" s="283"/>
      <c r="D585" s="590" t="s">
        <v>528</v>
      </c>
      <c r="E585" s="255"/>
      <c r="F585" s="590"/>
      <c r="G585" s="255"/>
      <c r="H585" s="255"/>
      <c r="I585" s="255"/>
      <c r="J585" s="255"/>
      <c r="K585" s="255"/>
      <c r="L585" s="255"/>
      <c r="M585" s="255"/>
      <c r="N585" s="255"/>
      <c r="O585" s="283"/>
      <c r="P585" s="255"/>
      <c r="Q585" s="255"/>
      <c r="R585" s="255"/>
      <c r="S585" s="255"/>
      <c r="T585" s="255"/>
      <c r="U585" s="255"/>
      <c r="V585" s="255"/>
      <c r="W585" s="255"/>
      <c r="X585" s="255"/>
      <c r="Y585" s="272"/>
      <c r="Z585" s="269"/>
      <c r="AA585" s="269"/>
      <c r="AB585" s="269"/>
      <c r="AC585" s="269"/>
      <c r="AD585" s="269"/>
      <c r="AE585" s="269"/>
      <c r="AF585" s="269"/>
      <c r="AG585" s="269"/>
      <c r="AH585" s="269"/>
      <c r="AI585" s="269"/>
      <c r="AJ585" s="269"/>
      <c r="AK585" s="269"/>
      <c r="AL585" s="269"/>
    </row>
    <row r="586" spans="1:39" ht="33.75" customHeight="1">
      <c r="B586" s="870" t="s">
        <v>212</v>
      </c>
      <c r="C586" s="872" t="s">
        <v>33</v>
      </c>
      <c r="D586" s="286" t="s">
        <v>424</v>
      </c>
      <c r="E586" s="874" t="s">
        <v>210</v>
      </c>
      <c r="F586" s="875"/>
      <c r="G586" s="875"/>
      <c r="H586" s="875"/>
      <c r="I586" s="875"/>
      <c r="J586" s="875"/>
      <c r="K586" s="875"/>
      <c r="L586" s="875"/>
      <c r="M586" s="876"/>
      <c r="N586" s="880" t="s">
        <v>214</v>
      </c>
      <c r="O586" s="286" t="s">
        <v>425</v>
      </c>
      <c r="P586" s="874" t="s">
        <v>213</v>
      </c>
      <c r="Q586" s="875"/>
      <c r="R586" s="875"/>
      <c r="S586" s="875"/>
      <c r="T586" s="875"/>
      <c r="U586" s="875"/>
      <c r="V586" s="875"/>
      <c r="W586" s="875"/>
      <c r="X586" s="876"/>
      <c r="Y586" s="877" t="s">
        <v>244</v>
      </c>
      <c r="Z586" s="878"/>
      <c r="AA586" s="878"/>
      <c r="AB586" s="878"/>
      <c r="AC586" s="878"/>
      <c r="AD586" s="878"/>
      <c r="AE586" s="878"/>
      <c r="AF586" s="878"/>
      <c r="AG586" s="878"/>
      <c r="AH586" s="878"/>
      <c r="AI586" s="878"/>
      <c r="AJ586" s="878"/>
      <c r="AK586" s="878"/>
      <c r="AL586" s="878"/>
      <c r="AM586" s="879"/>
    </row>
    <row r="587" spans="1:39" ht="68.25" customHeight="1">
      <c r="B587" s="871"/>
      <c r="C587" s="873"/>
      <c r="D587" s="287">
        <v>2018</v>
      </c>
      <c r="E587" s="287">
        <v>2019</v>
      </c>
      <c r="F587" s="287">
        <v>2020</v>
      </c>
      <c r="G587" s="287">
        <v>2021</v>
      </c>
      <c r="H587" s="287">
        <v>2022</v>
      </c>
      <c r="I587" s="287">
        <v>2023</v>
      </c>
      <c r="J587" s="287">
        <v>2024</v>
      </c>
      <c r="K587" s="287">
        <v>2025</v>
      </c>
      <c r="L587" s="287">
        <v>2026</v>
      </c>
      <c r="M587" s="287">
        <v>2027</v>
      </c>
      <c r="N587" s="881"/>
      <c r="O587" s="287">
        <v>2018</v>
      </c>
      <c r="P587" s="287">
        <v>2019</v>
      </c>
      <c r="Q587" s="287">
        <v>2020</v>
      </c>
      <c r="R587" s="287">
        <v>2021</v>
      </c>
      <c r="S587" s="287">
        <v>2022</v>
      </c>
      <c r="T587" s="287">
        <v>2023</v>
      </c>
      <c r="U587" s="287">
        <v>2024</v>
      </c>
      <c r="V587" s="287">
        <v>2025</v>
      </c>
      <c r="W587" s="287">
        <v>2026</v>
      </c>
      <c r="X587" s="287">
        <v>2027</v>
      </c>
      <c r="Y587" s="287" t="str">
        <f>'1.  LRAMVA Summary'!D50</f>
        <v>Residential</v>
      </c>
      <c r="Z587" s="287" t="str">
        <f>'1.  LRAMVA Summary'!E50</f>
        <v>GS&lt;50 kW</v>
      </c>
      <c r="AA587" s="287" t="str">
        <f>'1.  LRAMVA Summary'!F50</f>
        <v>GS&gt;50 kW</v>
      </c>
      <c r="AB587" s="287" t="str">
        <f>'1.  LRAMVA Summary'!G50</f>
        <v>Streetlights</v>
      </c>
      <c r="AC587" s="287" t="str">
        <f>'1.  LRAMVA Summary'!H50</f>
        <v>Unmetered Scattered Load</v>
      </c>
      <c r="AD587" s="287" t="str">
        <f>'1.  LRAMVA Summary'!I50</f>
        <v/>
      </c>
      <c r="AE587" s="287" t="str">
        <f>'1.  LRAMVA Summary'!J50</f>
        <v/>
      </c>
      <c r="AF587" s="287" t="str">
        <f>'1.  LRAMVA Summary'!K50</f>
        <v/>
      </c>
      <c r="AG587" s="287" t="str">
        <f>'1.  LRAMVA Summary'!L50</f>
        <v/>
      </c>
      <c r="AH587" s="287" t="str">
        <f>'1.  LRAMVA Summary'!M50</f>
        <v/>
      </c>
      <c r="AI587" s="287" t="str">
        <f>'1.  LRAMVA Summary'!N50</f>
        <v/>
      </c>
      <c r="AJ587" s="287" t="str">
        <f>'1.  LRAMVA Summary'!O50</f>
        <v/>
      </c>
      <c r="AK587" s="287" t="str">
        <f>'1.  LRAMVA Summary'!P50</f>
        <v/>
      </c>
      <c r="AL587" s="287" t="str">
        <f>'1.  LRAMVA Summary'!Q50</f>
        <v/>
      </c>
      <c r="AM587" s="289" t="str">
        <f>'1.  LRAMVA Summary'!R50</f>
        <v>Total</v>
      </c>
    </row>
    <row r="588" spans="1:39" ht="15.75" customHeight="1">
      <c r="A588" s="532"/>
      <c r="B588" s="518" t="s">
        <v>506</v>
      </c>
      <c r="C588" s="291"/>
      <c r="D588" s="291"/>
      <c r="E588" s="291"/>
      <c r="F588" s="291"/>
      <c r="G588" s="291"/>
      <c r="H588" s="291"/>
      <c r="I588" s="291"/>
      <c r="J588" s="291"/>
      <c r="K588" s="291"/>
      <c r="L588" s="291"/>
      <c r="M588" s="291"/>
      <c r="N588" s="292"/>
      <c r="O588" s="291"/>
      <c r="P588" s="291"/>
      <c r="Q588" s="291"/>
      <c r="R588" s="291"/>
      <c r="S588" s="291"/>
      <c r="T588" s="291"/>
      <c r="U588" s="291"/>
      <c r="V588" s="291"/>
      <c r="W588" s="291"/>
      <c r="X588" s="291"/>
      <c r="Y588" s="293" t="str">
        <f>'1.  LRAMVA Summary'!D51</f>
        <v>kWh</v>
      </c>
      <c r="Z588" s="293" t="str">
        <f>'1.  LRAMVA Summary'!E51</f>
        <v>kWh</v>
      </c>
      <c r="AA588" s="293" t="str">
        <f>'1.  LRAMVA Summary'!F51</f>
        <v>kW</v>
      </c>
      <c r="AB588" s="293" t="str">
        <f>'1.  LRAMVA Summary'!G51</f>
        <v>kW</v>
      </c>
      <c r="AC588" s="293" t="str">
        <f>'1.  LRAMVA Summary'!H51</f>
        <v>KWh</v>
      </c>
      <c r="AD588" s="293">
        <f>'1.  LRAMVA Summary'!I51</f>
        <v>0</v>
      </c>
      <c r="AE588" s="293">
        <f>'1.  LRAMVA Summary'!J51</f>
        <v>0</v>
      </c>
      <c r="AF588" s="293">
        <f>'1.  LRAMVA Summary'!K51</f>
        <v>0</v>
      </c>
      <c r="AG588" s="293">
        <f>'1.  LRAMVA Summary'!L51</f>
        <v>0</v>
      </c>
      <c r="AH588" s="293">
        <f>'1.  LRAMVA Summary'!M51</f>
        <v>0</v>
      </c>
      <c r="AI588" s="293">
        <f>'1.  LRAMVA Summary'!N51</f>
        <v>0</v>
      </c>
      <c r="AJ588" s="293">
        <f>'1.  LRAMVA Summary'!O51</f>
        <v>0</v>
      </c>
      <c r="AK588" s="293">
        <f>'1.  LRAMVA Summary'!P51</f>
        <v>0</v>
      </c>
      <c r="AL588" s="293">
        <f>'1.  LRAMVA Summary'!Q51</f>
        <v>0</v>
      </c>
      <c r="AM588" s="294"/>
    </row>
    <row r="589" spans="1:39" ht="15.75" hidden="1" outlineLevel="1">
      <c r="A589" s="532"/>
      <c r="B589" s="504" t="s">
        <v>499</v>
      </c>
      <c r="C589" s="291"/>
      <c r="D589" s="291"/>
      <c r="E589" s="291"/>
      <c r="F589" s="291"/>
      <c r="G589" s="291"/>
      <c r="H589" s="291"/>
      <c r="I589" s="291"/>
      <c r="J589" s="291"/>
      <c r="K589" s="291"/>
      <c r="L589" s="291"/>
      <c r="M589" s="291"/>
      <c r="N589" s="292"/>
      <c r="O589" s="291"/>
      <c r="P589" s="291"/>
      <c r="Q589" s="291"/>
      <c r="R589" s="291"/>
      <c r="S589" s="291"/>
      <c r="T589" s="291"/>
      <c r="U589" s="291"/>
      <c r="V589" s="291"/>
      <c r="W589" s="291"/>
      <c r="X589" s="291"/>
      <c r="Y589" s="293"/>
      <c r="Z589" s="293"/>
      <c r="AA589" s="293"/>
      <c r="AB589" s="293"/>
      <c r="AC589" s="293"/>
      <c r="AD589" s="293"/>
      <c r="AE589" s="293"/>
      <c r="AF589" s="293"/>
      <c r="AG589" s="293"/>
      <c r="AH589" s="293"/>
      <c r="AI589" s="293"/>
      <c r="AJ589" s="293"/>
      <c r="AK589" s="293"/>
      <c r="AL589" s="293"/>
      <c r="AM589" s="294"/>
    </row>
    <row r="590" spans="1:39" hidden="1" outlineLevel="1">
      <c r="A590" s="532">
        <v>1</v>
      </c>
      <c r="B590" s="430" t="s">
        <v>95</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2"/>
      <c r="B591" s="296" t="s">
        <v>311</v>
      </c>
      <c r="C591" s="293" t="s">
        <v>164</v>
      </c>
      <c r="D591" s="297"/>
      <c r="E591" s="297"/>
      <c r="F591" s="297"/>
      <c r="G591" s="297"/>
      <c r="H591" s="297"/>
      <c r="I591" s="297"/>
      <c r="J591" s="297"/>
      <c r="K591" s="297"/>
      <c r="L591" s="297"/>
      <c r="M591" s="297"/>
      <c r="N591" s="469"/>
      <c r="O591" s="297"/>
      <c r="P591" s="297"/>
      <c r="Q591" s="297"/>
      <c r="R591" s="297"/>
      <c r="S591" s="297"/>
      <c r="T591" s="297"/>
      <c r="U591" s="297"/>
      <c r="V591" s="297"/>
      <c r="W591" s="297"/>
      <c r="X591" s="297"/>
      <c r="Y591" s="413">
        <f>Y590</f>
        <v>0</v>
      </c>
      <c r="Z591" s="413">
        <f t="shared" ref="Z591" si="1711">Z590</f>
        <v>0</v>
      </c>
      <c r="AA591" s="413">
        <f t="shared" ref="AA591" si="1712">AA590</f>
        <v>0</v>
      </c>
      <c r="AB591" s="413">
        <f t="shared" ref="AB591" si="1713">AB590</f>
        <v>0</v>
      </c>
      <c r="AC591" s="413">
        <f t="shared" ref="AC591" si="1714">AC590</f>
        <v>0</v>
      </c>
      <c r="AD591" s="413">
        <f t="shared" ref="AD591" si="1715">AD590</f>
        <v>0</v>
      </c>
      <c r="AE591" s="413">
        <f t="shared" ref="AE591" si="1716">AE590</f>
        <v>0</v>
      </c>
      <c r="AF591" s="413">
        <f t="shared" ref="AF591" si="1717">AF590</f>
        <v>0</v>
      </c>
      <c r="AG591" s="413">
        <f t="shared" ref="AG591" si="1718">AG590</f>
        <v>0</v>
      </c>
      <c r="AH591" s="413">
        <f t="shared" ref="AH591" si="1719">AH590</f>
        <v>0</v>
      </c>
      <c r="AI591" s="413">
        <f t="shared" ref="AI591" si="1720">AI590</f>
        <v>0</v>
      </c>
      <c r="AJ591" s="413">
        <f t="shared" ref="AJ591" si="1721">AJ590</f>
        <v>0</v>
      </c>
      <c r="AK591" s="413">
        <f t="shared" ref="AK591" si="1722">AK590</f>
        <v>0</v>
      </c>
      <c r="AL591" s="413">
        <f t="shared" ref="AL591" si="1723">AL590</f>
        <v>0</v>
      </c>
      <c r="AM591" s="299"/>
    </row>
    <row r="592" spans="1:39" ht="15.75" hidden="1" outlineLevel="1">
      <c r="A592" s="532"/>
      <c r="B592" s="300"/>
      <c r="C592" s="301"/>
      <c r="D592" s="301"/>
      <c r="E592" s="301"/>
      <c r="F592" s="301"/>
      <c r="G592" s="301"/>
      <c r="H592" s="301"/>
      <c r="I592" s="301"/>
      <c r="J592" s="301"/>
      <c r="K592" s="301"/>
      <c r="L592" s="301"/>
      <c r="M592" s="301"/>
      <c r="N592" s="302"/>
      <c r="O592" s="301"/>
      <c r="P592" s="301"/>
      <c r="Q592" s="301"/>
      <c r="R592" s="301"/>
      <c r="S592" s="301"/>
      <c r="T592" s="301"/>
      <c r="U592" s="301"/>
      <c r="V592" s="301"/>
      <c r="W592" s="301"/>
      <c r="X592" s="301"/>
      <c r="Y592" s="414"/>
      <c r="Z592" s="415"/>
      <c r="AA592" s="415"/>
      <c r="AB592" s="415"/>
      <c r="AC592" s="415"/>
      <c r="AD592" s="415"/>
      <c r="AE592" s="415"/>
      <c r="AF592" s="415"/>
      <c r="AG592" s="415"/>
      <c r="AH592" s="415"/>
      <c r="AI592" s="415"/>
      <c r="AJ592" s="415"/>
      <c r="AK592" s="415"/>
      <c r="AL592" s="415"/>
      <c r="AM592" s="304"/>
    </row>
    <row r="593" spans="1:39" hidden="1" outlineLevel="1">
      <c r="A593" s="532">
        <v>2</v>
      </c>
      <c r="B593" s="430" t="s">
        <v>96</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2"/>
      <c r="B594" s="296" t="s">
        <v>311</v>
      </c>
      <c r="C594" s="293" t="s">
        <v>164</v>
      </c>
      <c r="D594" s="297"/>
      <c r="E594" s="297"/>
      <c r="F594" s="297"/>
      <c r="G594" s="297"/>
      <c r="H594" s="297"/>
      <c r="I594" s="297"/>
      <c r="J594" s="297"/>
      <c r="K594" s="297"/>
      <c r="L594" s="297"/>
      <c r="M594" s="297"/>
      <c r="N594" s="469"/>
      <c r="O594" s="297"/>
      <c r="P594" s="297"/>
      <c r="Q594" s="297"/>
      <c r="R594" s="297"/>
      <c r="S594" s="297"/>
      <c r="T594" s="297"/>
      <c r="U594" s="297"/>
      <c r="V594" s="297"/>
      <c r="W594" s="297"/>
      <c r="X594" s="297"/>
      <c r="Y594" s="413">
        <f>Y593</f>
        <v>0</v>
      </c>
      <c r="Z594" s="413">
        <f t="shared" ref="Z594" si="1724">Z593</f>
        <v>0</v>
      </c>
      <c r="AA594" s="413">
        <f t="shared" ref="AA594" si="1725">AA593</f>
        <v>0</v>
      </c>
      <c r="AB594" s="413">
        <f t="shared" ref="AB594" si="1726">AB593</f>
        <v>0</v>
      </c>
      <c r="AC594" s="413">
        <f t="shared" ref="AC594" si="1727">AC593</f>
        <v>0</v>
      </c>
      <c r="AD594" s="413">
        <f t="shared" ref="AD594" si="1728">AD593</f>
        <v>0</v>
      </c>
      <c r="AE594" s="413">
        <f t="shared" ref="AE594" si="1729">AE593</f>
        <v>0</v>
      </c>
      <c r="AF594" s="413">
        <f t="shared" ref="AF594" si="1730">AF593</f>
        <v>0</v>
      </c>
      <c r="AG594" s="413">
        <f t="shared" ref="AG594" si="1731">AG593</f>
        <v>0</v>
      </c>
      <c r="AH594" s="413">
        <f t="shared" ref="AH594" si="1732">AH593</f>
        <v>0</v>
      </c>
      <c r="AI594" s="413">
        <f t="shared" ref="AI594" si="1733">AI593</f>
        <v>0</v>
      </c>
      <c r="AJ594" s="413">
        <f t="shared" ref="AJ594" si="1734">AJ593</f>
        <v>0</v>
      </c>
      <c r="AK594" s="413">
        <f t="shared" ref="AK594" si="1735">AK593</f>
        <v>0</v>
      </c>
      <c r="AL594" s="413">
        <f t="shared" ref="AL594" si="1736">AL593</f>
        <v>0</v>
      </c>
      <c r="AM594" s="299"/>
    </row>
    <row r="595" spans="1:39" ht="15.75" hidden="1" outlineLevel="1">
      <c r="A595" s="532"/>
      <c r="B595" s="300"/>
      <c r="C595" s="301"/>
      <c r="D595" s="306"/>
      <c r="E595" s="306"/>
      <c r="F595" s="306"/>
      <c r="G595" s="306"/>
      <c r="H595" s="306"/>
      <c r="I595" s="306"/>
      <c r="J595" s="306"/>
      <c r="K595" s="306"/>
      <c r="L595" s="306"/>
      <c r="M595" s="306"/>
      <c r="N595" s="302"/>
      <c r="O595" s="306"/>
      <c r="P595" s="306"/>
      <c r="Q595" s="306"/>
      <c r="R595" s="306"/>
      <c r="S595" s="306"/>
      <c r="T595" s="306"/>
      <c r="U595" s="306"/>
      <c r="V595" s="306"/>
      <c r="W595" s="306"/>
      <c r="X595" s="306"/>
      <c r="Y595" s="414"/>
      <c r="Z595" s="415"/>
      <c r="AA595" s="415"/>
      <c r="AB595" s="415"/>
      <c r="AC595" s="415"/>
      <c r="AD595" s="415"/>
      <c r="AE595" s="415"/>
      <c r="AF595" s="415"/>
      <c r="AG595" s="415"/>
      <c r="AH595" s="415"/>
      <c r="AI595" s="415"/>
      <c r="AJ595" s="415"/>
      <c r="AK595" s="415"/>
      <c r="AL595" s="415"/>
      <c r="AM595" s="304"/>
    </row>
    <row r="596" spans="1:39" hidden="1" outlineLevel="1">
      <c r="A596" s="532">
        <v>3</v>
      </c>
      <c r="B596" s="430" t="s">
        <v>97</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2"/>
      <c r="B597" s="296" t="s">
        <v>311</v>
      </c>
      <c r="C597" s="293" t="s">
        <v>164</v>
      </c>
      <c r="D597" s="297"/>
      <c r="E597" s="297"/>
      <c r="F597" s="297"/>
      <c r="G597" s="297"/>
      <c r="H597" s="297"/>
      <c r="I597" s="297"/>
      <c r="J597" s="297"/>
      <c r="K597" s="297"/>
      <c r="L597" s="297"/>
      <c r="M597" s="297"/>
      <c r="N597" s="469"/>
      <c r="O597" s="297"/>
      <c r="P597" s="297"/>
      <c r="Q597" s="297"/>
      <c r="R597" s="297"/>
      <c r="S597" s="297"/>
      <c r="T597" s="297"/>
      <c r="U597" s="297"/>
      <c r="V597" s="297"/>
      <c r="W597" s="297"/>
      <c r="X597" s="297"/>
      <c r="Y597" s="413">
        <f>Y596</f>
        <v>0</v>
      </c>
      <c r="Z597" s="413">
        <f t="shared" ref="Z597" si="1737">Z596</f>
        <v>0</v>
      </c>
      <c r="AA597" s="413">
        <f t="shared" ref="AA597" si="1738">AA596</f>
        <v>0</v>
      </c>
      <c r="AB597" s="413">
        <f t="shared" ref="AB597" si="1739">AB596</f>
        <v>0</v>
      </c>
      <c r="AC597" s="413">
        <f t="shared" ref="AC597" si="1740">AC596</f>
        <v>0</v>
      </c>
      <c r="AD597" s="413">
        <f t="shared" ref="AD597" si="1741">AD596</f>
        <v>0</v>
      </c>
      <c r="AE597" s="413">
        <f t="shared" ref="AE597" si="1742">AE596</f>
        <v>0</v>
      </c>
      <c r="AF597" s="413">
        <f t="shared" ref="AF597" si="1743">AF596</f>
        <v>0</v>
      </c>
      <c r="AG597" s="413">
        <f t="shared" ref="AG597" si="1744">AG596</f>
        <v>0</v>
      </c>
      <c r="AH597" s="413">
        <f t="shared" ref="AH597" si="1745">AH596</f>
        <v>0</v>
      </c>
      <c r="AI597" s="413">
        <f t="shared" ref="AI597" si="1746">AI596</f>
        <v>0</v>
      </c>
      <c r="AJ597" s="413">
        <f t="shared" ref="AJ597" si="1747">AJ596</f>
        <v>0</v>
      </c>
      <c r="AK597" s="413">
        <f t="shared" ref="AK597" si="1748">AK596</f>
        <v>0</v>
      </c>
      <c r="AL597" s="413">
        <f t="shared" ref="AL597" si="1749">AL596</f>
        <v>0</v>
      </c>
      <c r="AM597" s="299"/>
    </row>
    <row r="598" spans="1:39" hidden="1" outlineLevel="1">
      <c r="A598" s="532"/>
      <c r="B598" s="296"/>
      <c r="C598" s="307"/>
      <c r="D598" s="293"/>
      <c r="E598" s="293"/>
      <c r="F598" s="293"/>
      <c r="G598" s="293"/>
      <c r="H598" s="293"/>
      <c r="I598" s="293"/>
      <c r="J598" s="293"/>
      <c r="K598" s="293"/>
      <c r="L598" s="293"/>
      <c r="M598" s="293"/>
      <c r="N598" s="293"/>
      <c r="O598" s="293"/>
      <c r="P598" s="293"/>
      <c r="Q598" s="293"/>
      <c r="R598" s="293"/>
      <c r="S598" s="293"/>
      <c r="T598" s="293"/>
      <c r="U598" s="293"/>
      <c r="V598" s="293"/>
      <c r="W598" s="293"/>
      <c r="X598" s="293"/>
      <c r="Y598" s="414"/>
      <c r="Z598" s="414"/>
      <c r="AA598" s="414"/>
      <c r="AB598" s="414"/>
      <c r="AC598" s="414"/>
      <c r="AD598" s="414"/>
      <c r="AE598" s="414"/>
      <c r="AF598" s="414"/>
      <c r="AG598" s="414"/>
      <c r="AH598" s="414"/>
      <c r="AI598" s="414"/>
      <c r="AJ598" s="414"/>
      <c r="AK598" s="414"/>
      <c r="AL598" s="414"/>
      <c r="AM598" s="308"/>
    </row>
    <row r="599" spans="1:39" hidden="1" outlineLevel="1">
      <c r="A599" s="532">
        <v>4</v>
      </c>
      <c r="B599" s="430" t="s">
        <v>98</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2"/>
      <c r="B600" s="296" t="s">
        <v>311</v>
      </c>
      <c r="C600" s="293" t="s">
        <v>164</v>
      </c>
      <c r="D600" s="297"/>
      <c r="E600" s="297"/>
      <c r="F600" s="297"/>
      <c r="G600" s="297"/>
      <c r="H600" s="297"/>
      <c r="I600" s="297"/>
      <c r="J600" s="297"/>
      <c r="K600" s="297"/>
      <c r="L600" s="297"/>
      <c r="M600" s="297"/>
      <c r="N600" s="469"/>
      <c r="O600" s="297"/>
      <c r="P600" s="297"/>
      <c r="Q600" s="297"/>
      <c r="R600" s="297"/>
      <c r="S600" s="297"/>
      <c r="T600" s="297"/>
      <c r="U600" s="297"/>
      <c r="V600" s="297"/>
      <c r="W600" s="297"/>
      <c r="X600" s="297"/>
      <c r="Y600" s="413">
        <f>Y599</f>
        <v>0</v>
      </c>
      <c r="Z600" s="413">
        <f t="shared" ref="Z600" si="1750">Z599</f>
        <v>0</v>
      </c>
      <c r="AA600" s="413">
        <f t="shared" ref="AA600" si="1751">AA599</f>
        <v>0</v>
      </c>
      <c r="AB600" s="413">
        <f t="shared" ref="AB600" si="1752">AB599</f>
        <v>0</v>
      </c>
      <c r="AC600" s="413">
        <f t="shared" ref="AC600" si="1753">AC599</f>
        <v>0</v>
      </c>
      <c r="AD600" s="413">
        <f t="shared" ref="AD600" si="1754">AD599</f>
        <v>0</v>
      </c>
      <c r="AE600" s="413">
        <f t="shared" ref="AE600" si="1755">AE599</f>
        <v>0</v>
      </c>
      <c r="AF600" s="413">
        <f t="shared" ref="AF600" si="1756">AF599</f>
        <v>0</v>
      </c>
      <c r="AG600" s="413">
        <f t="shared" ref="AG600" si="1757">AG599</f>
        <v>0</v>
      </c>
      <c r="AH600" s="413">
        <f t="shared" ref="AH600" si="1758">AH599</f>
        <v>0</v>
      </c>
      <c r="AI600" s="413">
        <f t="shared" ref="AI600" si="1759">AI599</f>
        <v>0</v>
      </c>
      <c r="AJ600" s="413">
        <f t="shared" ref="AJ600" si="1760">AJ599</f>
        <v>0</v>
      </c>
      <c r="AK600" s="413">
        <f t="shared" ref="AK600" si="1761">AK599</f>
        <v>0</v>
      </c>
      <c r="AL600" s="413">
        <f t="shared" ref="AL600" si="1762">AL599</f>
        <v>0</v>
      </c>
      <c r="AM600" s="299"/>
    </row>
    <row r="601" spans="1:39" hidden="1" outlineLevel="1">
      <c r="A601" s="532"/>
      <c r="B601" s="296"/>
      <c r="C601" s="307"/>
      <c r="D601" s="306"/>
      <c r="E601" s="306"/>
      <c r="F601" s="306"/>
      <c r="G601" s="306"/>
      <c r="H601" s="306"/>
      <c r="I601" s="306"/>
      <c r="J601" s="306"/>
      <c r="K601" s="306"/>
      <c r="L601" s="306"/>
      <c r="M601" s="306"/>
      <c r="N601" s="293"/>
      <c r="O601" s="306"/>
      <c r="P601" s="306"/>
      <c r="Q601" s="306"/>
      <c r="R601" s="306"/>
      <c r="S601" s="306"/>
      <c r="T601" s="306"/>
      <c r="U601" s="306"/>
      <c r="V601" s="306"/>
      <c r="W601" s="306"/>
      <c r="X601" s="306"/>
      <c r="Y601" s="414"/>
      <c r="Z601" s="414"/>
      <c r="AA601" s="414"/>
      <c r="AB601" s="414"/>
      <c r="AC601" s="414"/>
      <c r="AD601" s="414"/>
      <c r="AE601" s="414"/>
      <c r="AF601" s="414"/>
      <c r="AG601" s="414"/>
      <c r="AH601" s="414"/>
      <c r="AI601" s="414"/>
      <c r="AJ601" s="414"/>
      <c r="AK601" s="414"/>
      <c r="AL601" s="414"/>
      <c r="AM601" s="308"/>
    </row>
    <row r="602" spans="1:39" ht="15.75" hidden="1" customHeight="1" outlineLevel="1">
      <c r="A602" s="532">
        <v>5</v>
      </c>
      <c r="B602" s="430" t="s">
        <v>99</v>
      </c>
      <c r="C602" s="293" t="s">
        <v>25</v>
      </c>
      <c r="D602" s="297"/>
      <c r="E602" s="297"/>
      <c r="F602" s="297"/>
      <c r="G602" s="297"/>
      <c r="H602" s="297"/>
      <c r="I602" s="297"/>
      <c r="J602" s="297"/>
      <c r="K602" s="297"/>
      <c r="L602" s="297"/>
      <c r="M602" s="297"/>
      <c r="N602" s="293"/>
      <c r="O602" s="297"/>
      <c r="P602" s="297"/>
      <c r="Q602" s="297"/>
      <c r="R602" s="297"/>
      <c r="S602" s="297"/>
      <c r="T602" s="297"/>
      <c r="U602" s="297"/>
      <c r="V602" s="297"/>
      <c r="W602" s="297"/>
      <c r="X602" s="297"/>
      <c r="Y602" s="412"/>
      <c r="Z602" s="412"/>
      <c r="AA602" s="412"/>
      <c r="AB602" s="412"/>
      <c r="AC602" s="412"/>
      <c r="AD602" s="412"/>
      <c r="AE602" s="412"/>
      <c r="AF602" s="412"/>
      <c r="AG602" s="412"/>
      <c r="AH602" s="412"/>
      <c r="AI602" s="412"/>
      <c r="AJ602" s="412"/>
      <c r="AK602" s="412"/>
      <c r="AL602" s="412"/>
      <c r="AM602" s="298">
        <f>SUM(Y602:AL602)</f>
        <v>0</v>
      </c>
    </row>
    <row r="603" spans="1:39" hidden="1" outlineLevel="1">
      <c r="A603" s="532"/>
      <c r="B603" s="296" t="s">
        <v>311</v>
      </c>
      <c r="C603" s="293" t="s">
        <v>164</v>
      </c>
      <c r="D603" s="297"/>
      <c r="E603" s="297"/>
      <c r="F603" s="297"/>
      <c r="G603" s="297"/>
      <c r="H603" s="297"/>
      <c r="I603" s="297"/>
      <c r="J603" s="297"/>
      <c r="K603" s="297"/>
      <c r="L603" s="297"/>
      <c r="M603" s="297"/>
      <c r="N603" s="469"/>
      <c r="O603" s="297"/>
      <c r="P603" s="297"/>
      <c r="Q603" s="297"/>
      <c r="R603" s="297"/>
      <c r="S603" s="297"/>
      <c r="T603" s="297"/>
      <c r="U603" s="297"/>
      <c r="V603" s="297"/>
      <c r="W603" s="297"/>
      <c r="X603" s="297"/>
      <c r="Y603" s="413">
        <f>Y602</f>
        <v>0</v>
      </c>
      <c r="Z603" s="413">
        <f t="shared" ref="Z603" si="1763">Z602</f>
        <v>0</v>
      </c>
      <c r="AA603" s="413">
        <f t="shared" ref="AA603" si="1764">AA602</f>
        <v>0</v>
      </c>
      <c r="AB603" s="413">
        <f t="shared" ref="AB603" si="1765">AB602</f>
        <v>0</v>
      </c>
      <c r="AC603" s="413">
        <f t="shared" ref="AC603" si="1766">AC602</f>
        <v>0</v>
      </c>
      <c r="AD603" s="413">
        <f t="shared" ref="AD603" si="1767">AD602</f>
        <v>0</v>
      </c>
      <c r="AE603" s="413">
        <f t="shared" ref="AE603" si="1768">AE602</f>
        <v>0</v>
      </c>
      <c r="AF603" s="413">
        <f t="shared" ref="AF603" si="1769">AF602</f>
        <v>0</v>
      </c>
      <c r="AG603" s="413">
        <f t="shared" ref="AG603" si="1770">AG602</f>
        <v>0</v>
      </c>
      <c r="AH603" s="413">
        <f t="shared" ref="AH603" si="1771">AH602</f>
        <v>0</v>
      </c>
      <c r="AI603" s="413">
        <f t="shared" ref="AI603" si="1772">AI602</f>
        <v>0</v>
      </c>
      <c r="AJ603" s="413">
        <f t="shared" ref="AJ603" si="1773">AJ602</f>
        <v>0</v>
      </c>
      <c r="AK603" s="413">
        <f t="shared" ref="AK603" si="1774">AK602</f>
        <v>0</v>
      </c>
      <c r="AL603" s="413">
        <f t="shared" ref="AL603" si="1775">AL602</f>
        <v>0</v>
      </c>
      <c r="AM603" s="299"/>
    </row>
    <row r="604" spans="1:39" hidden="1" outlineLevel="1">
      <c r="A604" s="532"/>
      <c r="B604" s="296"/>
      <c r="C604" s="293"/>
      <c r="D604" s="293"/>
      <c r="E604" s="293"/>
      <c r="F604" s="293"/>
      <c r="G604" s="293"/>
      <c r="H604" s="293"/>
      <c r="I604" s="293"/>
      <c r="J604" s="293"/>
      <c r="K604" s="293"/>
      <c r="L604" s="293"/>
      <c r="M604" s="293"/>
      <c r="N604" s="293"/>
      <c r="O604" s="293"/>
      <c r="P604" s="293"/>
      <c r="Q604" s="293"/>
      <c r="R604" s="293"/>
      <c r="S604" s="293"/>
      <c r="T604" s="293"/>
      <c r="U604" s="293"/>
      <c r="V604" s="293"/>
      <c r="W604" s="293"/>
      <c r="X604" s="293"/>
      <c r="Y604" s="424"/>
      <c r="Z604" s="425"/>
      <c r="AA604" s="425"/>
      <c r="AB604" s="425"/>
      <c r="AC604" s="425"/>
      <c r="AD604" s="425"/>
      <c r="AE604" s="425"/>
      <c r="AF604" s="425"/>
      <c r="AG604" s="425"/>
      <c r="AH604" s="425"/>
      <c r="AI604" s="425"/>
      <c r="AJ604" s="425"/>
      <c r="AK604" s="425"/>
      <c r="AL604" s="425"/>
      <c r="AM604" s="299"/>
    </row>
    <row r="605" spans="1:39" ht="15.75" hidden="1" outlineLevel="1">
      <c r="A605" s="532"/>
      <c r="B605" s="321" t="s">
        <v>500</v>
      </c>
      <c r="C605" s="291"/>
      <c r="D605" s="291"/>
      <c r="E605" s="291"/>
      <c r="F605" s="291"/>
      <c r="G605" s="291"/>
      <c r="H605" s="291"/>
      <c r="I605" s="291"/>
      <c r="J605" s="291"/>
      <c r="K605" s="291"/>
      <c r="L605" s="291"/>
      <c r="M605" s="291"/>
      <c r="N605" s="292"/>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294"/>
    </row>
    <row r="606" spans="1:39" hidden="1" outlineLevel="1">
      <c r="A606" s="532">
        <v>6</v>
      </c>
      <c r="B606" s="430" t="s">
        <v>100</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2"/>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76">Z606</f>
        <v>0</v>
      </c>
      <c r="AA607" s="413">
        <f t="shared" ref="AA607" si="1777">AA606</f>
        <v>0</v>
      </c>
      <c r="AB607" s="413">
        <f t="shared" ref="AB607" si="1778">AB606</f>
        <v>0</v>
      </c>
      <c r="AC607" s="413">
        <f t="shared" ref="AC607" si="1779">AC606</f>
        <v>0</v>
      </c>
      <c r="AD607" s="413">
        <f t="shared" ref="AD607" si="1780">AD606</f>
        <v>0</v>
      </c>
      <c r="AE607" s="413">
        <f t="shared" ref="AE607" si="1781">AE606</f>
        <v>0</v>
      </c>
      <c r="AF607" s="413">
        <f t="shared" ref="AF607" si="1782">AF606</f>
        <v>0</v>
      </c>
      <c r="AG607" s="413">
        <f t="shared" ref="AG607" si="1783">AG606</f>
        <v>0</v>
      </c>
      <c r="AH607" s="413">
        <f t="shared" ref="AH607" si="1784">AH606</f>
        <v>0</v>
      </c>
      <c r="AI607" s="413">
        <f t="shared" ref="AI607" si="1785">AI606</f>
        <v>0</v>
      </c>
      <c r="AJ607" s="413">
        <f t="shared" ref="AJ607" si="1786">AJ606</f>
        <v>0</v>
      </c>
      <c r="AK607" s="413">
        <f t="shared" ref="AK607" si="1787">AK606</f>
        <v>0</v>
      </c>
      <c r="AL607" s="413">
        <f t="shared" ref="AL607" si="1788">AL606</f>
        <v>0</v>
      </c>
      <c r="AM607" s="313"/>
    </row>
    <row r="608" spans="1:39" hidden="1" outlineLevel="1">
      <c r="A608" s="532"/>
      <c r="B608" s="312"/>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8"/>
      <c r="AA608" s="418"/>
      <c r="AB608" s="418"/>
      <c r="AC608" s="418"/>
      <c r="AD608" s="418"/>
      <c r="AE608" s="418"/>
      <c r="AF608" s="418"/>
      <c r="AG608" s="418"/>
      <c r="AH608" s="418"/>
      <c r="AI608" s="418"/>
      <c r="AJ608" s="418"/>
      <c r="AK608" s="418"/>
      <c r="AL608" s="418"/>
      <c r="AM608" s="315"/>
    </row>
    <row r="609" spans="1:39" ht="30" hidden="1" outlineLevel="1">
      <c r="A609" s="532">
        <v>7</v>
      </c>
      <c r="B609" s="430" t="s">
        <v>101</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2"/>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789">Z609</f>
        <v>0</v>
      </c>
      <c r="AA610" s="413">
        <f t="shared" ref="AA610" si="1790">AA609</f>
        <v>0</v>
      </c>
      <c r="AB610" s="413">
        <f t="shared" ref="AB610" si="1791">AB609</f>
        <v>0</v>
      </c>
      <c r="AC610" s="413">
        <f t="shared" ref="AC610" si="1792">AC609</f>
        <v>0</v>
      </c>
      <c r="AD610" s="413">
        <f t="shared" ref="AD610" si="1793">AD609</f>
        <v>0</v>
      </c>
      <c r="AE610" s="413">
        <f t="shared" ref="AE610" si="1794">AE609</f>
        <v>0</v>
      </c>
      <c r="AF610" s="413">
        <f t="shared" ref="AF610" si="1795">AF609</f>
        <v>0</v>
      </c>
      <c r="AG610" s="413">
        <f t="shared" ref="AG610" si="1796">AG609</f>
        <v>0</v>
      </c>
      <c r="AH610" s="413">
        <f t="shared" ref="AH610" si="1797">AH609</f>
        <v>0</v>
      </c>
      <c r="AI610" s="413">
        <f t="shared" ref="AI610" si="1798">AI609</f>
        <v>0</v>
      </c>
      <c r="AJ610" s="413">
        <f t="shared" ref="AJ610" si="1799">AJ609</f>
        <v>0</v>
      </c>
      <c r="AK610" s="413">
        <f t="shared" ref="AK610" si="1800">AK609</f>
        <v>0</v>
      </c>
      <c r="AL610" s="413">
        <f t="shared" ref="AL610" si="1801">AL609</f>
        <v>0</v>
      </c>
      <c r="AM610" s="313"/>
    </row>
    <row r="611" spans="1:39" hidden="1" outlineLevel="1">
      <c r="A611" s="532"/>
      <c r="B611" s="316"/>
      <c r="C611" s="314"/>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418"/>
      <c r="Z611" s="419"/>
      <c r="AA611" s="418"/>
      <c r="AB611" s="418"/>
      <c r="AC611" s="418"/>
      <c r="AD611" s="418"/>
      <c r="AE611" s="418"/>
      <c r="AF611" s="418"/>
      <c r="AG611" s="418"/>
      <c r="AH611" s="418"/>
      <c r="AI611" s="418"/>
      <c r="AJ611" s="418"/>
      <c r="AK611" s="418"/>
      <c r="AL611" s="418"/>
      <c r="AM611" s="315"/>
    </row>
    <row r="612" spans="1:39" ht="30" hidden="1" outlineLevel="1">
      <c r="A612" s="532">
        <v>8</v>
      </c>
      <c r="B612" s="430" t="s">
        <v>102</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2"/>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02">Z612</f>
        <v>0</v>
      </c>
      <c r="AA613" s="413">
        <f t="shared" ref="AA613" si="1803">AA612</f>
        <v>0</v>
      </c>
      <c r="AB613" s="413">
        <f t="shared" ref="AB613" si="1804">AB612</f>
        <v>0</v>
      </c>
      <c r="AC613" s="413">
        <f t="shared" ref="AC613" si="1805">AC612</f>
        <v>0</v>
      </c>
      <c r="AD613" s="413">
        <f t="shared" ref="AD613" si="1806">AD612</f>
        <v>0</v>
      </c>
      <c r="AE613" s="413">
        <f t="shared" ref="AE613" si="1807">AE612</f>
        <v>0</v>
      </c>
      <c r="AF613" s="413">
        <f t="shared" ref="AF613" si="1808">AF612</f>
        <v>0</v>
      </c>
      <c r="AG613" s="413">
        <f t="shared" ref="AG613" si="1809">AG612</f>
        <v>0</v>
      </c>
      <c r="AH613" s="413">
        <f t="shared" ref="AH613" si="1810">AH612</f>
        <v>0</v>
      </c>
      <c r="AI613" s="413">
        <f t="shared" ref="AI613" si="1811">AI612</f>
        <v>0</v>
      </c>
      <c r="AJ613" s="413">
        <f t="shared" ref="AJ613" si="1812">AJ612</f>
        <v>0</v>
      </c>
      <c r="AK613" s="413">
        <f t="shared" ref="AK613" si="1813">AK612</f>
        <v>0</v>
      </c>
      <c r="AL613" s="413">
        <f t="shared" ref="AL613" si="1814">AL612</f>
        <v>0</v>
      </c>
      <c r="AM613" s="313"/>
    </row>
    <row r="614" spans="1:39" hidden="1" outlineLevel="1">
      <c r="A614" s="532"/>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9"/>
      <c r="AA614" s="418"/>
      <c r="AB614" s="418"/>
      <c r="AC614" s="418"/>
      <c r="AD614" s="418"/>
      <c r="AE614" s="418"/>
      <c r="AF614" s="418"/>
      <c r="AG614" s="418"/>
      <c r="AH614" s="418"/>
      <c r="AI614" s="418"/>
      <c r="AJ614" s="418"/>
      <c r="AK614" s="418"/>
      <c r="AL614" s="418"/>
      <c r="AM614" s="315"/>
    </row>
    <row r="615" spans="1:39" ht="30" hidden="1" outlineLevel="1">
      <c r="A615" s="532">
        <v>9</v>
      </c>
      <c r="B615" s="430" t="s">
        <v>103</v>
      </c>
      <c r="C615" s="293" t="s">
        <v>25</v>
      </c>
      <c r="D615" s="297"/>
      <c r="E615" s="297"/>
      <c r="F615" s="297"/>
      <c r="G615" s="297"/>
      <c r="H615" s="297"/>
      <c r="I615" s="297"/>
      <c r="J615" s="297"/>
      <c r="K615" s="297"/>
      <c r="L615" s="297"/>
      <c r="M615" s="297"/>
      <c r="N615" s="297">
        <v>12</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2"/>
      <c r="B616" s="296" t="s">
        <v>311</v>
      </c>
      <c r="C616" s="293" t="s">
        <v>164</v>
      </c>
      <c r="D616" s="297"/>
      <c r="E616" s="297"/>
      <c r="F616" s="297"/>
      <c r="G616" s="297"/>
      <c r="H616" s="297"/>
      <c r="I616" s="297"/>
      <c r="J616" s="297"/>
      <c r="K616" s="297"/>
      <c r="L616" s="297"/>
      <c r="M616" s="297"/>
      <c r="N616" s="297">
        <f>N615</f>
        <v>12</v>
      </c>
      <c r="O616" s="297"/>
      <c r="P616" s="297"/>
      <c r="Q616" s="297"/>
      <c r="R616" s="297"/>
      <c r="S616" s="297"/>
      <c r="T616" s="297"/>
      <c r="U616" s="297"/>
      <c r="V616" s="297"/>
      <c r="W616" s="297"/>
      <c r="X616" s="297"/>
      <c r="Y616" s="413">
        <f>Y615</f>
        <v>0</v>
      </c>
      <c r="Z616" s="413">
        <f t="shared" ref="Z616" si="1815">Z615</f>
        <v>0</v>
      </c>
      <c r="AA616" s="413">
        <f t="shared" ref="AA616" si="1816">AA615</f>
        <v>0</v>
      </c>
      <c r="AB616" s="413">
        <f t="shared" ref="AB616" si="1817">AB615</f>
        <v>0</v>
      </c>
      <c r="AC616" s="413">
        <f t="shared" ref="AC616" si="1818">AC615</f>
        <v>0</v>
      </c>
      <c r="AD616" s="413">
        <f t="shared" ref="AD616" si="1819">AD615</f>
        <v>0</v>
      </c>
      <c r="AE616" s="413">
        <f t="shared" ref="AE616" si="1820">AE615</f>
        <v>0</v>
      </c>
      <c r="AF616" s="413">
        <f t="shared" ref="AF616" si="1821">AF615</f>
        <v>0</v>
      </c>
      <c r="AG616" s="413">
        <f t="shared" ref="AG616" si="1822">AG615</f>
        <v>0</v>
      </c>
      <c r="AH616" s="413">
        <f t="shared" ref="AH616" si="1823">AH615</f>
        <v>0</v>
      </c>
      <c r="AI616" s="413">
        <f t="shared" ref="AI616" si="1824">AI615</f>
        <v>0</v>
      </c>
      <c r="AJ616" s="413">
        <f t="shared" ref="AJ616" si="1825">AJ615</f>
        <v>0</v>
      </c>
      <c r="AK616" s="413">
        <f t="shared" ref="AK616" si="1826">AK615</f>
        <v>0</v>
      </c>
      <c r="AL616" s="413">
        <f t="shared" ref="AL616" si="1827">AL615</f>
        <v>0</v>
      </c>
      <c r="AM616" s="313"/>
    </row>
    <row r="617" spans="1:39" hidden="1" outlineLevel="1">
      <c r="A617" s="532"/>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8"/>
      <c r="AA617" s="418"/>
      <c r="AB617" s="418"/>
      <c r="AC617" s="418"/>
      <c r="AD617" s="418"/>
      <c r="AE617" s="418"/>
      <c r="AF617" s="418"/>
      <c r="AG617" s="418"/>
      <c r="AH617" s="418"/>
      <c r="AI617" s="418"/>
      <c r="AJ617" s="418"/>
      <c r="AK617" s="418"/>
      <c r="AL617" s="418"/>
      <c r="AM617" s="315"/>
    </row>
    <row r="618" spans="1:39" ht="30" hidden="1" outlineLevel="1">
      <c r="A618" s="532">
        <v>10</v>
      </c>
      <c r="B618" s="430" t="s">
        <v>104</v>
      </c>
      <c r="C618" s="293" t="s">
        <v>25</v>
      </c>
      <c r="D618" s="297"/>
      <c r="E618" s="297"/>
      <c r="F618" s="297"/>
      <c r="G618" s="297"/>
      <c r="H618" s="297"/>
      <c r="I618" s="297"/>
      <c r="J618" s="297"/>
      <c r="K618" s="297"/>
      <c r="L618" s="297"/>
      <c r="M618" s="297"/>
      <c r="N618" s="297">
        <v>3</v>
      </c>
      <c r="O618" s="297"/>
      <c r="P618" s="297"/>
      <c r="Q618" s="297"/>
      <c r="R618" s="297"/>
      <c r="S618" s="297"/>
      <c r="T618" s="297"/>
      <c r="U618" s="297"/>
      <c r="V618" s="297"/>
      <c r="W618" s="297"/>
      <c r="X618" s="297"/>
      <c r="Y618" s="417"/>
      <c r="Z618" s="412"/>
      <c r="AA618" s="412"/>
      <c r="AB618" s="412"/>
      <c r="AC618" s="412"/>
      <c r="AD618" s="412"/>
      <c r="AE618" s="412"/>
      <c r="AF618" s="417"/>
      <c r="AG618" s="417"/>
      <c r="AH618" s="417"/>
      <c r="AI618" s="417"/>
      <c r="AJ618" s="417"/>
      <c r="AK618" s="417"/>
      <c r="AL618" s="417"/>
      <c r="AM618" s="298">
        <f>SUM(Y618:AL618)</f>
        <v>0</v>
      </c>
    </row>
    <row r="619" spans="1:39" hidden="1" outlineLevel="1">
      <c r="A619" s="532"/>
      <c r="B619" s="296" t="s">
        <v>311</v>
      </c>
      <c r="C619" s="293" t="s">
        <v>164</v>
      </c>
      <c r="D619" s="297"/>
      <c r="E619" s="297"/>
      <c r="F619" s="297"/>
      <c r="G619" s="297"/>
      <c r="H619" s="297"/>
      <c r="I619" s="297"/>
      <c r="J619" s="297"/>
      <c r="K619" s="297"/>
      <c r="L619" s="297"/>
      <c r="M619" s="297"/>
      <c r="N619" s="297">
        <f>N618</f>
        <v>3</v>
      </c>
      <c r="O619" s="297"/>
      <c r="P619" s="297"/>
      <c r="Q619" s="297"/>
      <c r="R619" s="297"/>
      <c r="S619" s="297"/>
      <c r="T619" s="297"/>
      <c r="U619" s="297"/>
      <c r="V619" s="297"/>
      <c r="W619" s="297"/>
      <c r="X619" s="297"/>
      <c r="Y619" s="413">
        <f>Y618</f>
        <v>0</v>
      </c>
      <c r="Z619" s="413">
        <f t="shared" ref="Z619" si="1828">Z618</f>
        <v>0</v>
      </c>
      <c r="AA619" s="413">
        <f t="shared" ref="AA619" si="1829">AA618</f>
        <v>0</v>
      </c>
      <c r="AB619" s="413">
        <f t="shared" ref="AB619" si="1830">AB618</f>
        <v>0</v>
      </c>
      <c r="AC619" s="413">
        <f t="shared" ref="AC619" si="1831">AC618</f>
        <v>0</v>
      </c>
      <c r="AD619" s="413">
        <f t="shared" ref="AD619" si="1832">AD618</f>
        <v>0</v>
      </c>
      <c r="AE619" s="413">
        <f t="shared" ref="AE619" si="1833">AE618</f>
        <v>0</v>
      </c>
      <c r="AF619" s="413">
        <f t="shared" ref="AF619" si="1834">AF618</f>
        <v>0</v>
      </c>
      <c r="AG619" s="413">
        <f t="shared" ref="AG619" si="1835">AG618</f>
        <v>0</v>
      </c>
      <c r="AH619" s="413">
        <f t="shared" ref="AH619" si="1836">AH618</f>
        <v>0</v>
      </c>
      <c r="AI619" s="413">
        <f t="shared" ref="AI619" si="1837">AI618</f>
        <v>0</v>
      </c>
      <c r="AJ619" s="413">
        <f t="shared" ref="AJ619" si="1838">AJ618</f>
        <v>0</v>
      </c>
      <c r="AK619" s="413">
        <f t="shared" ref="AK619" si="1839">AK618</f>
        <v>0</v>
      </c>
      <c r="AL619" s="413">
        <f t="shared" ref="AL619" si="1840">AL618</f>
        <v>0</v>
      </c>
      <c r="AM619" s="313"/>
    </row>
    <row r="620" spans="1:39" hidden="1" outlineLevel="1">
      <c r="A620" s="532"/>
      <c r="B620" s="316"/>
      <c r="C620" s="314"/>
      <c r="D620" s="318"/>
      <c r="E620" s="318"/>
      <c r="F620" s="318"/>
      <c r="G620" s="318"/>
      <c r="H620" s="318"/>
      <c r="I620" s="318"/>
      <c r="J620" s="318"/>
      <c r="K620" s="318"/>
      <c r="L620" s="318"/>
      <c r="M620" s="318"/>
      <c r="N620" s="293"/>
      <c r="O620" s="318"/>
      <c r="P620" s="318"/>
      <c r="Q620" s="318"/>
      <c r="R620" s="318"/>
      <c r="S620" s="318"/>
      <c r="T620" s="318"/>
      <c r="U620" s="318"/>
      <c r="V620" s="318"/>
      <c r="W620" s="318"/>
      <c r="X620" s="318"/>
      <c r="Y620" s="418"/>
      <c r="Z620" s="419"/>
      <c r="AA620" s="418"/>
      <c r="AB620" s="418"/>
      <c r="AC620" s="418"/>
      <c r="AD620" s="418"/>
      <c r="AE620" s="418"/>
      <c r="AF620" s="418"/>
      <c r="AG620" s="418"/>
      <c r="AH620" s="418"/>
      <c r="AI620" s="418"/>
      <c r="AJ620" s="418"/>
      <c r="AK620" s="418"/>
      <c r="AL620" s="418"/>
      <c r="AM620" s="315"/>
    </row>
    <row r="621" spans="1:39" ht="15.75" hidden="1" outlineLevel="1">
      <c r="A621" s="532"/>
      <c r="B621" s="290" t="s">
        <v>10</v>
      </c>
      <c r="C621" s="291"/>
      <c r="D621" s="291"/>
      <c r="E621" s="291"/>
      <c r="F621" s="291"/>
      <c r="G621" s="291"/>
      <c r="H621" s="291"/>
      <c r="I621" s="291"/>
      <c r="J621" s="291"/>
      <c r="K621" s="291"/>
      <c r="L621" s="291"/>
      <c r="M621" s="291"/>
      <c r="N621" s="292"/>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294"/>
    </row>
    <row r="622" spans="1:39" ht="30" hidden="1" outlineLevel="1">
      <c r="A622" s="532">
        <v>11</v>
      </c>
      <c r="B622" s="430" t="s">
        <v>105</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28"/>
      <c r="Z622" s="412"/>
      <c r="AA622" s="412"/>
      <c r="AB622" s="412"/>
      <c r="AC622" s="412"/>
      <c r="AD622" s="412"/>
      <c r="AE622" s="412"/>
      <c r="AF622" s="417"/>
      <c r="AG622" s="417"/>
      <c r="AH622" s="417"/>
      <c r="AI622" s="417"/>
      <c r="AJ622" s="417"/>
      <c r="AK622" s="417"/>
      <c r="AL622" s="417"/>
      <c r="AM622" s="298">
        <f>SUM(Y622:AL622)</f>
        <v>0</v>
      </c>
    </row>
    <row r="623" spans="1:39" hidden="1" outlineLevel="1">
      <c r="A623" s="532"/>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41">Z622</f>
        <v>0</v>
      </c>
      <c r="AA623" s="413">
        <f t="shared" ref="AA623" si="1842">AA622</f>
        <v>0</v>
      </c>
      <c r="AB623" s="413">
        <f t="shared" ref="AB623" si="1843">AB622</f>
        <v>0</v>
      </c>
      <c r="AC623" s="413">
        <f t="shared" ref="AC623" si="1844">AC622</f>
        <v>0</v>
      </c>
      <c r="AD623" s="413">
        <f t="shared" ref="AD623" si="1845">AD622</f>
        <v>0</v>
      </c>
      <c r="AE623" s="413">
        <f t="shared" ref="AE623" si="1846">AE622</f>
        <v>0</v>
      </c>
      <c r="AF623" s="413">
        <f t="shared" ref="AF623" si="1847">AF622</f>
        <v>0</v>
      </c>
      <c r="AG623" s="413">
        <f t="shared" ref="AG623" si="1848">AG622</f>
        <v>0</v>
      </c>
      <c r="AH623" s="413">
        <f t="shared" ref="AH623" si="1849">AH622</f>
        <v>0</v>
      </c>
      <c r="AI623" s="413">
        <f t="shared" ref="AI623" si="1850">AI622</f>
        <v>0</v>
      </c>
      <c r="AJ623" s="413">
        <f t="shared" ref="AJ623" si="1851">AJ622</f>
        <v>0</v>
      </c>
      <c r="AK623" s="413">
        <f t="shared" ref="AK623" si="1852">AK622</f>
        <v>0</v>
      </c>
      <c r="AL623" s="413">
        <f t="shared" ref="AL623" si="1853">AL622</f>
        <v>0</v>
      </c>
      <c r="AM623" s="299"/>
    </row>
    <row r="624" spans="1:39" hidden="1" outlineLevel="1">
      <c r="A624" s="532"/>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14"/>
      <c r="Z624" s="423"/>
      <c r="AA624" s="423"/>
      <c r="AB624" s="423"/>
      <c r="AC624" s="423"/>
      <c r="AD624" s="423"/>
      <c r="AE624" s="423"/>
      <c r="AF624" s="423"/>
      <c r="AG624" s="423"/>
      <c r="AH624" s="423"/>
      <c r="AI624" s="423"/>
      <c r="AJ624" s="423"/>
      <c r="AK624" s="423"/>
      <c r="AL624" s="423"/>
      <c r="AM624" s="308"/>
    </row>
    <row r="625" spans="1:40" ht="45" hidden="1" outlineLevel="1">
      <c r="A625" s="532">
        <v>12</v>
      </c>
      <c r="B625" s="430" t="s">
        <v>106</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2"/>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54">Z625</f>
        <v>0</v>
      </c>
      <c r="AA626" s="413">
        <f t="shared" ref="AA626" si="1855">AA625</f>
        <v>0</v>
      </c>
      <c r="AB626" s="413">
        <f t="shared" ref="AB626" si="1856">AB625</f>
        <v>0</v>
      </c>
      <c r="AC626" s="413">
        <f t="shared" ref="AC626" si="1857">AC625</f>
        <v>0</v>
      </c>
      <c r="AD626" s="413">
        <f t="shared" ref="AD626" si="1858">AD625</f>
        <v>0</v>
      </c>
      <c r="AE626" s="413">
        <f t="shared" ref="AE626" si="1859">AE625</f>
        <v>0</v>
      </c>
      <c r="AF626" s="413">
        <f t="shared" ref="AF626" si="1860">AF625</f>
        <v>0</v>
      </c>
      <c r="AG626" s="413">
        <f t="shared" ref="AG626" si="1861">AG625</f>
        <v>0</v>
      </c>
      <c r="AH626" s="413">
        <f t="shared" ref="AH626" si="1862">AH625</f>
        <v>0</v>
      </c>
      <c r="AI626" s="413">
        <f t="shared" ref="AI626" si="1863">AI625</f>
        <v>0</v>
      </c>
      <c r="AJ626" s="413">
        <f t="shared" ref="AJ626" si="1864">AJ625</f>
        <v>0</v>
      </c>
      <c r="AK626" s="413">
        <f t="shared" ref="AK626" si="1865">AK625</f>
        <v>0</v>
      </c>
      <c r="AL626" s="413">
        <f t="shared" ref="AL626" si="1866">AL625</f>
        <v>0</v>
      </c>
      <c r="AM626" s="299"/>
    </row>
    <row r="627" spans="1:40" hidden="1" outlineLevel="1">
      <c r="A627" s="532"/>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24"/>
      <c r="Z627" s="424"/>
      <c r="AA627" s="414"/>
      <c r="AB627" s="414"/>
      <c r="AC627" s="414"/>
      <c r="AD627" s="414"/>
      <c r="AE627" s="414"/>
      <c r="AF627" s="414"/>
      <c r="AG627" s="414"/>
      <c r="AH627" s="414"/>
      <c r="AI627" s="414"/>
      <c r="AJ627" s="414"/>
      <c r="AK627" s="414"/>
      <c r="AL627" s="414"/>
      <c r="AM627" s="308"/>
    </row>
    <row r="628" spans="1:40" ht="30" hidden="1" outlineLevel="1">
      <c r="A628" s="532">
        <v>13</v>
      </c>
      <c r="B628" s="430" t="s">
        <v>107</v>
      </c>
      <c r="C628" s="293" t="s">
        <v>25</v>
      </c>
      <c r="D628" s="297"/>
      <c r="E628" s="297"/>
      <c r="F628" s="297"/>
      <c r="G628" s="297"/>
      <c r="H628" s="297"/>
      <c r="I628" s="297"/>
      <c r="J628" s="297"/>
      <c r="K628" s="297"/>
      <c r="L628" s="297"/>
      <c r="M628" s="297"/>
      <c r="N628" s="297">
        <v>12</v>
      </c>
      <c r="O628" s="297"/>
      <c r="P628" s="297"/>
      <c r="Q628" s="297"/>
      <c r="R628" s="297"/>
      <c r="S628" s="297"/>
      <c r="T628" s="297"/>
      <c r="U628" s="297"/>
      <c r="V628" s="297"/>
      <c r="W628" s="297"/>
      <c r="X628" s="297"/>
      <c r="Y628" s="412"/>
      <c r="Z628" s="412"/>
      <c r="AA628" s="412"/>
      <c r="AB628" s="412"/>
      <c r="AC628" s="412"/>
      <c r="AD628" s="412"/>
      <c r="AE628" s="412"/>
      <c r="AF628" s="417"/>
      <c r="AG628" s="417"/>
      <c r="AH628" s="417"/>
      <c r="AI628" s="417"/>
      <c r="AJ628" s="417"/>
      <c r="AK628" s="417"/>
      <c r="AL628" s="417"/>
      <c r="AM628" s="298">
        <f>SUM(Y628:AL628)</f>
        <v>0</v>
      </c>
    </row>
    <row r="629" spans="1:40" hidden="1" outlineLevel="1">
      <c r="A629" s="532"/>
      <c r="B629" s="296" t="s">
        <v>311</v>
      </c>
      <c r="C629" s="293" t="s">
        <v>164</v>
      </c>
      <c r="D629" s="297"/>
      <c r="E629" s="297"/>
      <c r="F629" s="297"/>
      <c r="G629" s="297"/>
      <c r="H629" s="297"/>
      <c r="I629" s="297"/>
      <c r="J629" s="297"/>
      <c r="K629" s="297"/>
      <c r="L629" s="297"/>
      <c r="M629" s="297"/>
      <c r="N629" s="297">
        <f>N628</f>
        <v>12</v>
      </c>
      <c r="O629" s="297"/>
      <c r="P629" s="297"/>
      <c r="Q629" s="297"/>
      <c r="R629" s="297"/>
      <c r="S629" s="297"/>
      <c r="T629" s="297"/>
      <c r="U629" s="297"/>
      <c r="V629" s="297"/>
      <c r="W629" s="297"/>
      <c r="X629" s="297"/>
      <c r="Y629" s="413">
        <f>Y628</f>
        <v>0</v>
      </c>
      <c r="Z629" s="413">
        <f t="shared" ref="Z629" si="1867">Z628</f>
        <v>0</v>
      </c>
      <c r="AA629" s="413">
        <f t="shared" ref="AA629" si="1868">AA628</f>
        <v>0</v>
      </c>
      <c r="AB629" s="413">
        <f t="shared" ref="AB629" si="1869">AB628</f>
        <v>0</v>
      </c>
      <c r="AC629" s="413">
        <f t="shared" ref="AC629" si="1870">AC628</f>
        <v>0</v>
      </c>
      <c r="AD629" s="413">
        <f t="shared" ref="AD629" si="1871">AD628</f>
        <v>0</v>
      </c>
      <c r="AE629" s="413">
        <f t="shared" ref="AE629" si="1872">AE628</f>
        <v>0</v>
      </c>
      <c r="AF629" s="413">
        <f t="shared" ref="AF629" si="1873">AF628</f>
        <v>0</v>
      </c>
      <c r="AG629" s="413">
        <f t="shared" ref="AG629" si="1874">AG628</f>
        <v>0</v>
      </c>
      <c r="AH629" s="413">
        <f t="shared" ref="AH629" si="1875">AH628</f>
        <v>0</v>
      </c>
      <c r="AI629" s="413">
        <f t="shared" ref="AI629" si="1876">AI628</f>
        <v>0</v>
      </c>
      <c r="AJ629" s="413">
        <f t="shared" ref="AJ629" si="1877">AJ628</f>
        <v>0</v>
      </c>
      <c r="AK629" s="413">
        <f t="shared" ref="AK629" si="1878">AK628</f>
        <v>0</v>
      </c>
      <c r="AL629" s="413">
        <f t="shared" ref="AL629" si="1879">AL628</f>
        <v>0</v>
      </c>
      <c r="AM629" s="308"/>
    </row>
    <row r="630" spans="1:40" hidden="1" outlineLevel="1">
      <c r="A630" s="532"/>
      <c r="B630" s="317"/>
      <c r="C630" s="307"/>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414"/>
      <c r="Z630" s="414"/>
      <c r="AA630" s="414"/>
      <c r="AB630" s="414"/>
      <c r="AC630" s="414"/>
      <c r="AD630" s="414"/>
      <c r="AE630" s="414"/>
      <c r="AF630" s="414"/>
      <c r="AG630" s="414"/>
      <c r="AH630" s="414"/>
      <c r="AI630" s="414"/>
      <c r="AJ630" s="414"/>
      <c r="AK630" s="414"/>
      <c r="AL630" s="414"/>
      <c r="AM630" s="308"/>
    </row>
    <row r="631" spans="1:40" ht="15.75" hidden="1" outlineLevel="1">
      <c r="A631" s="532"/>
      <c r="B631" s="290" t="s">
        <v>108</v>
      </c>
      <c r="C631" s="291"/>
      <c r="D631" s="292"/>
      <c r="E631" s="292"/>
      <c r="F631" s="292"/>
      <c r="G631" s="292"/>
      <c r="H631" s="292"/>
      <c r="I631" s="292"/>
      <c r="J631" s="292"/>
      <c r="K631" s="292"/>
      <c r="L631" s="292"/>
      <c r="M631" s="292"/>
      <c r="N631" s="292"/>
      <c r="O631" s="292"/>
      <c r="P631" s="291"/>
      <c r="Q631" s="291"/>
      <c r="R631" s="291"/>
      <c r="S631" s="291"/>
      <c r="T631" s="291"/>
      <c r="U631" s="291"/>
      <c r="V631" s="291"/>
      <c r="W631" s="291"/>
      <c r="X631" s="291"/>
      <c r="Y631" s="416"/>
      <c r="Z631" s="416"/>
      <c r="AA631" s="416"/>
      <c r="AB631" s="416"/>
      <c r="AC631" s="416"/>
      <c r="AD631" s="416"/>
      <c r="AE631" s="416"/>
      <c r="AF631" s="416"/>
      <c r="AG631" s="416"/>
      <c r="AH631" s="416"/>
      <c r="AI631" s="416"/>
      <c r="AJ631" s="416"/>
      <c r="AK631" s="416"/>
      <c r="AL631" s="416"/>
      <c r="AM631" s="294"/>
    </row>
    <row r="632" spans="1:40" hidden="1" outlineLevel="1">
      <c r="A632" s="532">
        <v>14</v>
      </c>
      <c r="B632" s="317" t="s">
        <v>109</v>
      </c>
      <c r="C632" s="293" t="s">
        <v>25</v>
      </c>
      <c r="D632" s="297"/>
      <c r="E632" s="297"/>
      <c r="F632" s="297"/>
      <c r="G632" s="297"/>
      <c r="H632" s="297"/>
      <c r="I632" s="297"/>
      <c r="J632" s="297"/>
      <c r="K632" s="297"/>
      <c r="L632" s="297"/>
      <c r="M632" s="297"/>
      <c r="N632" s="297">
        <v>12</v>
      </c>
      <c r="O632" s="297"/>
      <c r="P632" s="297"/>
      <c r="Q632" s="297"/>
      <c r="R632" s="297"/>
      <c r="S632" s="297"/>
      <c r="T632" s="297"/>
      <c r="U632" s="297"/>
      <c r="V632" s="297"/>
      <c r="W632" s="297"/>
      <c r="X632" s="297"/>
      <c r="Y632" s="412"/>
      <c r="Z632" s="412"/>
      <c r="AA632" s="412"/>
      <c r="AB632" s="412"/>
      <c r="AC632" s="412"/>
      <c r="AD632" s="412"/>
      <c r="AE632" s="412"/>
      <c r="AF632" s="412"/>
      <c r="AG632" s="412"/>
      <c r="AH632" s="412"/>
      <c r="AI632" s="412"/>
      <c r="AJ632" s="412"/>
      <c r="AK632" s="412"/>
      <c r="AL632" s="412"/>
      <c r="AM632" s="298">
        <f>SUM(Y632:AL632)</f>
        <v>0</v>
      </c>
    </row>
    <row r="633" spans="1:40" hidden="1" outlineLevel="1">
      <c r="A633" s="532"/>
      <c r="B633" s="296" t="s">
        <v>311</v>
      </c>
      <c r="C633" s="293" t="s">
        <v>164</v>
      </c>
      <c r="D633" s="297"/>
      <c r="E633" s="297"/>
      <c r="F633" s="297"/>
      <c r="G633" s="297"/>
      <c r="H633" s="297"/>
      <c r="I633" s="297"/>
      <c r="J633" s="297"/>
      <c r="K633" s="297"/>
      <c r="L633" s="297"/>
      <c r="M633" s="297"/>
      <c r="N633" s="297">
        <f>N632</f>
        <v>12</v>
      </c>
      <c r="O633" s="297"/>
      <c r="P633" s="297"/>
      <c r="Q633" s="297"/>
      <c r="R633" s="297"/>
      <c r="S633" s="297"/>
      <c r="T633" s="297"/>
      <c r="U633" s="297"/>
      <c r="V633" s="297"/>
      <c r="W633" s="297"/>
      <c r="X633" s="297"/>
      <c r="Y633" s="413">
        <f>Y632</f>
        <v>0</v>
      </c>
      <c r="Z633" s="413">
        <f t="shared" ref="Z633" si="1880">Z632</f>
        <v>0</v>
      </c>
      <c r="AA633" s="413">
        <f t="shared" ref="AA633" si="1881">AA632</f>
        <v>0</v>
      </c>
      <c r="AB633" s="413">
        <f t="shared" ref="AB633" si="1882">AB632</f>
        <v>0</v>
      </c>
      <c r="AC633" s="413">
        <f t="shared" ref="AC633" si="1883">AC632</f>
        <v>0</v>
      </c>
      <c r="AD633" s="413">
        <f t="shared" ref="AD633" si="1884">AD632</f>
        <v>0</v>
      </c>
      <c r="AE633" s="413">
        <f t="shared" ref="AE633" si="1885">AE632</f>
        <v>0</v>
      </c>
      <c r="AF633" s="413">
        <f t="shared" ref="AF633" si="1886">AF632</f>
        <v>0</v>
      </c>
      <c r="AG633" s="413">
        <f t="shared" ref="AG633" si="1887">AG632</f>
        <v>0</v>
      </c>
      <c r="AH633" s="413">
        <f t="shared" ref="AH633" si="1888">AH632</f>
        <v>0</v>
      </c>
      <c r="AI633" s="413">
        <f t="shared" ref="AI633" si="1889">AI632</f>
        <v>0</v>
      </c>
      <c r="AJ633" s="413">
        <f t="shared" ref="AJ633" si="1890">AJ632</f>
        <v>0</v>
      </c>
      <c r="AK633" s="413">
        <f t="shared" ref="AK633" si="1891">AK632</f>
        <v>0</v>
      </c>
      <c r="AL633" s="413">
        <f t="shared" ref="AL633" si="1892">AL632</f>
        <v>0</v>
      </c>
      <c r="AM633" s="516"/>
      <c r="AN633" s="630"/>
    </row>
    <row r="634" spans="1:40" hidden="1" outlineLevel="1">
      <c r="A634" s="532"/>
      <c r="B634" s="317"/>
      <c r="C634" s="307"/>
      <c r="D634" s="293"/>
      <c r="E634" s="293"/>
      <c r="F634" s="293"/>
      <c r="G634" s="293"/>
      <c r="H634" s="293"/>
      <c r="I634" s="293"/>
      <c r="J634" s="293"/>
      <c r="K634" s="293"/>
      <c r="L634" s="293"/>
      <c r="M634" s="293"/>
      <c r="N634" s="469"/>
      <c r="O634" s="293"/>
      <c r="P634" s="293"/>
      <c r="Q634" s="293"/>
      <c r="R634" s="293"/>
      <c r="S634" s="293"/>
      <c r="T634" s="293"/>
      <c r="U634" s="293"/>
      <c r="V634" s="293"/>
      <c r="W634" s="293"/>
      <c r="X634" s="293"/>
      <c r="Y634" s="414"/>
      <c r="Z634" s="414"/>
      <c r="AA634" s="414"/>
      <c r="AB634" s="414"/>
      <c r="AC634" s="414"/>
      <c r="AD634" s="414"/>
      <c r="AE634" s="414"/>
      <c r="AF634" s="414"/>
      <c r="AG634" s="414"/>
      <c r="AH634" s="414"/>
      <c r="AI634" s="414"/>
      <c r="AJ634" s="414"/>
      <c r="AK634" s="414"/>
      <c r="AL634" s="414"/>
      <c r="AM634" s="303"/>
      <c r="AN634" s="630"/>
    </row>
    <row r="635" spans="1:40" s="311" customFormat="1" ht="15.75" hidden="1" outlineLevel="1">
      <c r="A635" s="532"/>
      <c r="B635" s="290" t="s">
        <v>492</v>
      </c>
      <c r="C635" s="293"/>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8"/>
      <c r="AF635" s="418"/>
      <c r="AG635" s="418"/>
      <c r="AH635" s="418"/>
      <c r="AI635" s="418"/>
      <c r="AJ635" s="418"/>
      <c r="AK635" s="418"/>
      <c r="AL635" s="418"/>
      <c r="AM635" s="517"/>
      <c r="AN635" s="631"/>
    </row>
    <row r="636" spans="1:40" hidden="1" outlineLevel="1">
      <c r="A636" s="532">
        <v>15</v>
      </c>
      <c r="B636" s="296" t="s">
        <v>497</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hidden="1" outlineLevel="1">
      <c r="A637" s="532"/>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hidden="1" outlineLevel="1">
      <c r="A638" s="532"/>
      <c r="B638" s="317"/>
      <c r="C638" s="307"/>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4"/>
      <c r="AF638" s="414"/>
      <c r="AG638" s="414"/>
      <c r="AH638" s="414"/>
      <c r="AI638" s="414"/>
      <c r="AJ638" s="414"/>
      <c r="AK638" s="414"/>
      <c r="AL638" s="414"/>
      <c r="AM638" s="308"/>
    </row>
    <row r="639" spans="1:40" s="285" customFormat="1" hidden="1" outlineLevel="1">
      <c r="A639" s="532">
        <v>16</v>
      </c>
      <c r="B639" s="326" t="s">
        <v>493</v>
      </c>
      <c r="C639" s="293" t="s">
        <v>25</v>
      </c>
      <c r="D639" s="297"/>
      <c r="E639" s="297"/>
      <c r="F639" s="297"/>
      <c r="G639" s="297"/>
      <c r="H639" s="297"/>
      <c r="I639" s="297"/>
      <c r="J639" s="297"/>
      <c r="K639" s="297"/>
      <c r="L639" s="297"/>
      <c r="M639" s="297"/>
      <c r="N639" s="297">
        <v>0</v>
      </c>
      <c r="O639" s="297"/>
      <c r="P639" s="297"/>
      <c r="Q639" s="297"/>
      <c r="R639" s="297"/>
      <c r="S639" s="297"/>
      <c r="T639" s="297"/>
      <c r="U639" s="297"/>
      <c r="V639" s="297"/>
      <c r="W639" s="297"/>
      <c r="X639" s="297"/>
      <c r="Y639" s="412"/>
      <c r="Z639" s="412"/>
      <c r="AA639" s="412"/>
      <c r="AB639" s="412"/>
      <c r="AC639" s="412"/>
      <c r="AD639" s="412"/>
      <c r="AE639" s="412"/>
      <c r="AF639" s="412"/>
      <c r="AG639" s="412"/>
      <c r="AH639" s="412"/>
      <c r="AI639" s="412"/>
      <c r="AJ639" s="412"/>
      <c r="AK639" s="412"/>
      <c r="AL639" s="412"/>
      <c r="AM639" s="298">
        <f>SUM(Y639:AL639)</f>
        <v>0</v>
      </c>
    </row>
    <row r="640" spans="1:40" s="285" customFormat="1" hidden="1" outlineLevel="1">
      <c r="A640" s="532"/>
      <c r="B640" s="296" t="s">
        <v>311</v>
      </c>
      <c r="C640" s="293" t="s">
        <v>164</v>
      </c>
      <c r="D640" s="297"/>
      <c r="E640" s="297"/>
      <c r="F640" s="297"/>
      <c r="G640" s="297"/>
      <c r="H640" s="297"/>
      <c r="I640" s="297"/>
      <c r="J640" s="297"/>
      <c r="K640" s="297"/>
      <c r="L640" s="297"/>
      <c r="M640" s="297"/>
      <c r="N640" s="297">
        <f>N639</f>
        <v>0</v>
      </c>
      <c r="O640" s="297"/>
      <c r="P640" s="297"/>
      <c r="Q640" s="297"/>
      <c r="R640" s="297"/>
      <c r="S640" s="297"/>
      <c r="T640" s="297"/>
      <c r="U640" s="297"/>
      <c r="V640" s="297"/>
      <c r="W640" s="297"/>
      <c r="X640" s="297"/>
      <c r="Y640" s="413">
        <f>Y639</f>
        <v>0</v>
      </c>
      <c r="Z640" s="413">
        <f t="shared" ref="Z640:AL640" si="1894">Z639</f>
        <v>0</v>
      </c>
      <c r="AA640" s="413">
        <f t="shared" si="1894"/>
        <v>0</v>
      </c>
      <c r="AB640" s="413">
        <f t="shared" si="1894"/>
        <v>0</v>
      </c>
      <c r="AC640" s="413">
        <f t="shared" si="1894"/>
        <v>0</v>
      </c>
      <c r="AD640" s="413">
        <f t="shared" si="1894"/>
        <v>0</v>
      </c>
      <c r="AE640" s="413">
        <f t="shared" si="1894"/>
        <v>0</v>
      </c>
      <c r="AF640" s="413">
        <f t="shared" si="1894"/>
        <v>0</v>
      </c>
      <c r="AG640" s="413">
        <f t="shared" si="1894"/>
        <v>0</v>
      </c>
      <c r="AH640" s="413">
        <f t="shared" si="1894"/>
        <v>0</v>
      </c>
      <c r="AI640" s="413">
        <f t="shared" si="1894"/>
        <v>0</v>
      </c>
      <c r="AJ640" s="413">
        <f t="shared" si="1894"/>
        <v>0</v>
      </c>
      <c r="AK640" s="413">
        <f t="shared" si="1894"/>
        <v>0</v>
      </c>
      <c r="AL640" s="413">
        <f t="shared" si="1894"/>
        <v>0</v>
      </c>
      <c r="AM640" s="299"/>
    </row>
    <row r="641" spans="1:39" s="285" customFormat="1" hidden="1" outlineLevel="1">
      <c r="A641" s="532"/>
      <c r="B641" s="326"/>
      <c r="C641" s="293"/>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414"/>
      <c r="Z641" s="414"/>
      <c r="AA641" s="414"/>
      <c r="AB641" s="414"/>
      <c r="AC641" s="414"/>
      <c r="AD641" s="414"/>
      <c r="AE641" s="418"/>
      <c r="AF641" s="418"/>
      <c r="AG641" s="418"/>
      <c r="AH641" s="418"/>
      <c r="AI641" s="418"/>
      <c r="AJ641" s="418"/>
      <c r="AK641" s="418"/>
      <c r="AL641" s="418"/>
      <c r="AM641" s="315"/>
    </row>
    <row r="642" spans="1:39" ht="15.75" hidden="1" outlineLevel="1">
      <c r="A642" s="532"/>
      <c r="B642" s="519" t="s">
        <v>498</v>
      </c>
      <c r="C642" s="322"/>
      <c r="D642" s="292"/>
      <c r="E642" s="291"/>
      <c r="F642" s="291"/>
      <c r="G642" s="291"/>
      <c r="H642" s="291"/>
      <c r="I642" s="291"/>
      <c r="J642" s="291"/>
      <c r="K642" s="291"/>
      <c r="L642" s="291"/>
      <c r="M642" s="291"/>
      <c r="N642" s="292"/>
      <c r="O642" s="291"/>
      <c r="P642" s="291"/>
      <c r="Q642" s="291"/>
      <c r="R642" s="291"/>
      <c r="S642" s="291"/>
      <c r="T642" s="291"/>
      <c r="U642" s="291"/>
      <c r="V642" s="291"/>
      <c r="W642" s="291"/>
      <c r="X642" s="291"/>
      <c r="Y642" s="416"/>
      <c r="Z642" s="416"/>
      <c r="AA642" s="416"/>
      <c r="AB642" s="416"/>
      <c r="AC642" s="416"/>
      <c r="AD642" s="416"/>
      <c r="AE642" s="416"/>
      <c r="AF642" s="416"/>
      <c r="AG642" s="416"/>
      <c r="AH642" s="416"/>
      <c r="AI642" s="416"/>
      <c r="AJ642" s="416"/>
      <c r="AK642" s="416"/>
      <c r="AL642" s="416"/>
      <c r="AM642" s="294"/>
    </row>
    <row r="643" spans="1:39" hidden="1" outlineLevel="1">
      <c r="A643" s="532">
        <v>17</v>
      </c>
      <c r="B643" s="430" t="s">
        <v>113</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2"/>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2"/>
      <c r="B645" s="296"/>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4"/>
      <c r="Z645" s="427"/>
      <c r="AA645" s="427"/>
      <c r="AB645" s="427"/>
      <c r="AC645" s="427"/>
      <c r="AD645" s="427"/>
      <c r="AE645" s="427"/>
      <c r="AF645" s="427"/>
      <c r="AG645" s="427"/>
      <c r="AH645" s="427"/>
      <c r="AI645" s="427"/>
      <c r="AJ645" s="427"/>
      <c r="AK645" s="427"/>
      <c r="AL645" s="427"/>
      <c r="AM645" s="308"/>
    </row>
    <row r="646" spans="1:39" hidden="1" outlineLevel="1">
      <c r="A646" s="532">
        <v>18</v>
      </c>
      <c r="B646" s="430" t="s">
        <v>110</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2"/>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308"/>
    </row>
    <row r="648" spans="1:39" hidden="1" outlineLevel="1">
      <c r="A648" s="532"/>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25"/>
      <c r="Z648" s="426"/>
      <c r="AA648" s="426"/>
      <c r="AB648" s="426"/>
      <c r="AC648" s="426"/>
      <c r="AD648" s="426"/>
      <c r="AE648" s="426"/>
      <c r="AF648" s="426"/>
      <c r="AG648" s="426"/>
      <c r="AH648" s="426"/>
      <c r="AI648" s="426"/>
      <c r="AJ648" s="426"/>
      <c r="AK648" s="426"/>
      <c r="AL648" s="426"/>
      <c r="AM648" s="299"/>
    </row>
    <row r="649" spans="1:39" hidden="1" outlineLevel="1">
      <c r="A649" s="532">
        <v>19</v>
      </c>
      <c r="B649" s="430" t="s">
        <v>112</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2"/>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299"/>
    </row>
    <row r="651" spans="1:39" hidden="1" outlineLevel="1">
      <c r="A651" s="532"/>
      <c r="B651" s="324"/>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idden="1" outlineLevel="1">
      <c r="A652" s="532">
        <v>20</v>
      </c>
      <c r="B652" s="430" t="s">
        <v>111</v>
      </c>
      <c r="C652" s="293" t="s">
        <v>25</v>
      </c>
      <c r="D652" s="297"/>
      <c r="E652" s="297"/>
      <c r="F652" s="297"/>
      <c r="G652" s="297"/>
      <c r="H652" s="297"/>
      <c r="I652" s="297"/>
      <c r="J652" s="297"/>
      <c r="K652" s="297"/>
      <c r="L652" s="297"/>
      <c r="M652" s="297"/>
      <c r="N652" s="297">
        <v>0</v>
      </c>
      <c r="O652" s="297"/>
      <c r="P652" s="297"/>
      <c r="Q652" s="297"/>
      <c r="R652" s="297"/>
      <c r="S652" s="297"/>
      <c r="T652" s="297"/>
      <c r="U652" s="297"/>
      <c r="V652" s="297"/>
      <c r="W652" s="297"/>
      <c r="X652" s="297"/>
      <c r="Y652" s="428"/>
      <c r="Z652" s="412"/>
      <c r="AA652" s="412"/>
      <c r="AB652" s="412"/>
      <c r="AC652" s="412"/>
      <c r="AD652" s="412"/>
      <c r="AE652" s="412"/>
      <c r="AF652" s="417"/>
      <c r="AG652" s="417"/>
      <c r="AH652" s="417"/>
      <c r="AI652" s="417"/>
      <c r="AJ652" s="417"/>
      <c r="AK652" s="417"/>
      <c r="AL652" s="417"/>
      <c r="AM652" s="298">
        <f>SUM(Y652:AL652)</f>
        <v>0</v>
      </c>
    </row>
    <row r="653" spans="1:39" hidden="1" outlineLevel="1">
      <c r="A653" s="532"/>
      <c r="B653" s="296" t="s">
        <v>311</v>
      </c>
      <c r="C653" s="293" t="s">
        <v>164</v>
      </c>
      <c r="D653" s="297"/>
      <c r="E653" s="297"/>
      <c r="F653" s="297"/>
      <c r="G653" s="297"/>
      <c r="H653" s="297"/>
      <c r="I653" s="297"/>
      <c r="J653" s="297"/>
      <c r="K653" s="297"/>
      <c r="L653" s="297"/>
      <c r="M653" s="297"/>
      <c r="N653" s="297">
        <f>N652</f>
        <v>0</v>
      </c>
      <c r="O653" s="297"/>
      <c r="P653" s="297"/>
      <c r="Q653" s="297"/>
      <c r="R653" s="297"/>
      <c r="S653" s="297"/>
      <c r="T653" s="297"/>
      <c r="U653" s="297"/>
      <c r="V653" s="297"/>
      <c r="W653" s="297"/>
      <c r="X653" s="297"/>
      <c r="Y653" s="413">
        <f>Y652</f>
        <v>0</v>
      </c>
      <c r="Z653" s="413">
        <f t="shared" ref="Z653:AL653" si="1898">Z652</f>
        <v>0</v>
      </c>
      <c r="AA653" s="413">
        <f t="shared" si="1898"/>
        <v>0</v>
      </c>
      <c r="AB653" s="413">
        <f t="shared" si="1898"/>
        <v>0</v>
      </c>
      <c r="AC653" s="413">
        <f t="shared" si="1898"/>
        <v>0</v>
      </c>
      <c r="AD653" s="413">
        <f t="shared" si="1898"/>
        <v>0</v>
      </c>
      <c r="AE653" s="413">
        <f t="shared" si="1898"/>
        <v>0</v>
      </c>
      <c r="AF653" s="413">
        <f t="shared" si="1898"/>
        <v>0</v>
      </c>
      <c r="AG653" s="413">
        <f t="shared" si="1898"/>
        <v>0</v>
      </c>
      <c r="AH653" s="413">
        <f t="shared" si="1898"/>
        <v>0</v>
      </c>
      <c r="AI653" s="413">
        <f t="shared" si="1898"/>
        <v>0</v>
      </c>
      <c r="AJ653" s="413">
        <f t="shared" si="1898"/>
        <v>0</v>
      </c>
      <c r="AK653" s="413">
        <f t="shared" si="1898"/>
        <v>0</v>
      </c>
      <c r="AL653" s="413">
        <f t="shared" si="1898"/>
        <v>0</v>
      </c>
      <c r="AM653" s="308"/>
    </row>
    <row r="654" spans="1:39" ht="15.75" hidden="1" outlineLevel="1">
      <c r="A654" s="532"/>
      <c r="B654" s="325"/>
      <c r="C654" s="302"/>
      <c r="D654" s="293"/>
      <c r="E654" s="293"/>
      <c r="F654" s="293"/>
      <c r="G654" s="293"/>
      <c r="H654" s="293"/>
      <c r="I654" s="293"/>
      <c r="J654" s="293"/>
      <c r="K654" s="293"/>
      <c r="L654" s="293"/>
      <c r="M654" s="293"/>
      <c r="N654" s="302"/>
      <c r="O654" s="293"/>
      <c r="P654" s="293"/>
      <c r="Q654" s="293"/>
      <c r="R654" s="293"/>
      <c r="S654" s="293"/>
      <c r="T654" s="293"/>
      <c r="U654" s="293"/>
      <c r="V654" s="293"/>
      <c r="W654" s="293"/>
      <c r="X654" s="293"/>
      <c r="Y654" s="414"/>
      <c r="Z654" s="414"/>
      <c r="AA654" s="414"/>
      <c r="AB654" s="414"/>
      <c r="AC654" s="414"/>
      <c r="AD654" s="414"/>
      <c r="AE654" s="414"/>
      <c r="AF654" s="414"/>
      <c r="AG654" s="414"/>
      <c r="AH654" s="414"/>
      <c r="AI654" s="414"/>
      <c r="AJ654" s="414"/>
      <c r="AK654" s="414"/>
      <c r="AL654" s="414"/>
      <c r="AM654" s="308"/>
    </row>
    <row r="655" spans="1:39" ht="15.75" hidden="1" outlineLevel="1">
      <c r="A655" s="532"/>
      <c r="B655" s="518" t="s">
        <v>505</v>
      </c>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424"/>
      <c r="Z655" s="427"/>
      <c r="AA655" s="427"/>
      <c r="AB655" s="427"/>
      <c r="AC655" s="427"/>
      <c r="AD655" s="427"/>
      <c r="AE655" s="427"/>
      <c r="AF655" s="427"/>
      <c r="AG655" s="427"/>
      <c r="AH655" s="427"/>
      <c r="AI655" s="427"/>
      <c r="AJ655" s="427"/>
      <c r="AK655" s="427"/>
      <c r="AL655" s="427"/>
      <c r="AM655" s="308"/>
    </row>
    <row r="656" spans="1:39" ht="15.75" hidden="1" outlineLevel="1">
      <c r="A656" s="532"/>
      <c r="B656" s="504" t="s">
        <v>501</v>
      </c>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idden="1" outlineLevel="1">
      <c r="A657" s="532">
        <v>21</v>
      </c>
      <c r="B657" s="430" t="s">
        <v>114</v>
      </c>
      <c r="C657" s="293" t="s">
        <v>25</v>
      </c>
      <c r="D657" s="297">
        <v>271890.06815899105</v>
      </c>
      <c r="E657" s="297">
        <f>E474/$D474*$D657</f>
        <v>209892.38498815559</v>
      </c>
      <c r="F657" s="297">
        <f t="shared" ref="F657:M657" si="1899">F474/$D474*$D657</f>
        <v>209892.38498815559</v>
      </c>
      <c r="G657" s="297">
        <f t="shared" si="1899"/>
        <v>209892.38498815559</v>
      </c>
      <c r="H657" s="297">
        <f t="shared" si="1899"/>
        <v>209892.38498815559</v>
      </c>
      <c r="I657" s="297">
        <f t="shared" si="1899"/>
        <v>209892.49769519121</v>
      </c>
      <c r="J657" s="297">
        <f t="shared" si="1899"/>
        <v>209892.49769519118</v>
      </c>
      <c r="K657" s="297">
        <f t="shared" si="1899"/>
        <v>209886.31934586566</v>
      </c>
      <c r="L657" s="297">
        <f t="shared" si="1899"/>
        <v>209886.31934586566</v>
      </c>
      <c r="M657" s="297">
        <f t="shared" si="1899"/>
        <v>209669.8364955259</v>
      </c>
      <c r="N657" s="293"/>
      <c r="O657" s="297">
        <v>21.752625453295522</v>
      </c>
      <c r="P657" s="297">
        <f>P474/$O474*$O657</f>
        <v>16.941863334063779</v>
      </c>
      <c r="Q657" s="297">
        <f t="shared" ref="Q657:X657" si="1900">Q474/$O474*$O657</f>
        <v>16.941863334063779</v>
      </c>
      <c r="R657" s="297">
        <f t="shared" si="1900"/>
        <v>16.941863334063779</v>
      </c>
      <c r="S657" s="297">
        <f t="shared" si="1900"/>
        <v>16.941863334063779</v>
      </c>
      <c r="T657" s="297">
        <f t="shared" si="1900"/>
        <v>16.941863334063779</v>
      </c>
      <c r="U657" s="297">
        <f t="shared" si="1900"/>
        <v>16.941863334063779</v>
      </c>
      <c r="V657" s="297">
        <f t="shared" si="1900"/>
        <v>16.941148261145489</v>
      </c>
      <c r="W657" s="297">
        <f t="shared" si="1900"/>
        <v>16.941148261145489</v>
      </c>
      <c r="X657" s="297">
        <f t="shared" si="1900"/>
        <v>0.41445665796699499</v>
      </c>
      <c r="Y657" s="412">
        <v>1</v>
      </c>
      <c r="Z657" s="412"/>
      <c r="AA657" s="412"/>
      <c r="AB657" s="412"/>
      <c r="AC657" s="412"/>
      <c r="AD657" s="412"/>
      <c r="AE657" s="412"/>
      <c r="AF657" s="412"/>
      <c r="AG657" s="412"/>
      <c r="AH657" s="412"/>
      <c r="AI657" s="412"/>
      <c r="AJ657" s="412"/>
      <c r="AK657" s="412"/>
      <c r="AL657" s="412"/>
      <c r="AM657" s="298">
        <f>SUM(Y657:AL657)</f>
        <v>1</v>
      </c>
    </row>
    <row r="658" spans="1:39" hidden="1" outlineLevel="1">
      <c r="A658" s="532"/>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1</v>
      </c>
      <c r="Z658" s="413">
        <f t="shared" ref="Z658" si="1901">Z657</f>
        <v>0</v>
      </c>
      <c r="AA658" s="413">
        <f t="shared" ref="AA658" si="1902">AA657</f>
        <v>0</v>
      </c>
      <c r="AB658" s="413">
        <f t="shared" ref="AB658" si="1903">AB657</f>
        <v>0</v>
      </c>
      <c r="AC658" s="413">
        <f t="shared" ref="AC658" si="1904">AC657</f>
        <v>0</v>
      </c>
      <c r="AD658" s="413">
        <f t="shared" ref="AD658" si="1905">AD657</f>
        <v>0</v>
      </c>
      <c r="AE658" s="413">
        <f t="shared" ref="AE658" si="1906">AE657</f>
        <v>0</v>
      </c>
      <c r="AF658" s="413">
        <f t="shared" ref="AF658" si="1907">AF657</f>
        <v>0</v>
      </c>
      <c r="AG658" s="413">
        <f t="shared" ref="AG658" si="1908">AG657</f>
        <v>0</v>
      </c>
      <c r="AH658" s="413">
        <f t="shared" ref="AH658" si="1909">AH657</f>
        <v>0</v>
      </c>
      <c r="AI658" s="413">
        <f t="shared" ref="AI658" si="1910">AI657</f>
        <v>0</v>
      </c>
      <c r="AJ658" s="413">
        <f t="shared" ref="AJ658" si="1911">AJ657</f>
        <v>0</v>
      </c>
      <c r="AK658" s="413">
        <f t="shared" ref="AK658" si="1912">AK657</f>
        <v>0</v>
      </c>
      <c r="AL658" s="413">
        <f t="shared" ref="AL658" si="1913">AL657</f>
        <v>0</v>
      </c>
      <c r="AM658" s="308"/>
    </row>
    <row r="659" spans="1:39" hidden="1" outlineLevel="1">
      <c r="A659" s="532"/>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2">
        <v>22</v>
      </c>
      <c r="B660" s="430" t="s">
        <v>115</v>
      </c>
      <c r="C660" s="293" t="s">
        <v>25</v>
      </c>
      <c r="D660" s="297">
        <v>49013.947039999999</v>
      </c>
      <c r="E660" s="297">
        <f>E477/$D477*$D660</f>
        <v>49013.947039999999</v>
      </c>
      <c r="F660" s="297">
        <f t="shared" ref="F660:M660" si="1914">F477/$D477*$D660</f>
        <v>49013.947039999999</v>
      </c>
      <c r="G660" s="297">
        <f t="shared" si="1914"/>
        <v>49013.947039999999</v>
      </c>
      <c r="H660" s="297">
        <f t="shared" si="1914"/>
        <v>49013.947039999999</v>
      </c>
      <c r="I660" s="297">
        <f t="shared" si="1914"/>
        <v>49024.248216026434</v>
      </c>
      <c r="J660" s="297">
        <f t="shared" si="1914"/>
        <v>49024.248216026434</v>
      </c>
      <c r="K660" s="297">
        <f t="shared" si="1914"/>
        <v>49024.248216026434</v>
      </c>
      <c r="L660" s="297">
        <f t="shared" si="1914"/>
        <v>49024.248216026434</v>
      </c>
      <c r="M660" s="297">
        <f t="shared" si="1914"/>
        <v>49024.248216026434</v>
      </c>
      <c r="N660" s="293"/>
      <c r="O660" s="297">
        <v>17.675409913999992</v>
      </c>
      <c r="P660" s="297">
        <f>P477/$O477*$O660</f>
        <v>17.675409913999992</v>
      </c>
      <c r="Q660" s="297">
        <f t="shared" ref="Q660:X660" si="1915">Q477/$O477*$O660</f>
        <v>17.675409913999992</v>
      </c>
      <c r="R660" s="297">
        <f t="shared" si="1915"/>
        <v>17.675409913999992</v>
      </c>
      <c r="S660" s="297">
        <f t="shared" si="1915"/>
        <v>17.675409913999992</v>
      </c>
      <c r="T660" s="297">
        <f t="shared" si="1915"/>
        <v>17.675409913999992</v>
      </c>
      <c r="U660" s="297">
        <f t="shared" si="1915"/>
        <v>17.675409913999992</v>
      </c>
      <c r="V660" s="297">
        <f t="shared" si="1915"/>
        <v>17.675409913999992</v>
      </c>
      <c r="W660" s="297">
        <f t="shared" si="1915"/>
        <v>17.675409913999992</v>
      </c>
      <c r="X660" s="297">
        <f t="shared" si="1915"/>
        <v>71.502467289644002</v>
      </c>
      <c r="Y660" s="412">
        <v>1</v>
      </c>
      <c r="Z660" s="412"/>
      <c r="AA660" s="412"/>
      <c r="AB660" s="412"/>
      <c r="AC660" s="412"/>
      <c r="AD660" s="412"/>
      <c r="AE660" s="412"/>
      <c r="AF660" s="412"/>
      <c r="AG660" s="412"/>
      <c r="AH660" s="412"/>
      <c r="AI660" s="412"/>
      <c r="AJ660" s="412"/>
      <c r="AK660" s="412"/>
      <c r="AL660" s="412"/>
      <c r="AM660" s="298">
        <f>SUM(Y660:AL660)</f>
        <v>1</v>
      </c>
    </row>
    <row r="661" spans="1:39" hidden="1" outlineLevel="1">
      <c r="A661" s="532"/>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1</v>
      </c>
      <c r="Z661" s="413">
        <f t="shared" ref="Z661" si="1916">Z660</f>
        <v>0</v>
      </c>
      <c r="AA661" s="413">
        <f t="shared" ref="AA661" si="1917">AA660</f>
        <v>0</v>
      </c>
      <c r="AB661" s="413">
        <f t="shared" ref="AB661" si="1918">AB660</f>
        <v>0</v>
      </c>
      <c r="AC661" s="413">
        <f t="shared" ref="AC661" si="1919">AC660</f>
        <v>0</v>
      </c>
      <c r="AD661" s="413">
        <f t="shared" ref="AD661" si="1920">AD660</f>
        <v>0</v>
      </c>
      <c r="AE661" s="413">
        <f t="shared" ref="AE661" si="1921">AE660</f>
        <v>0</v>
      </c>
      <c r="AF661" s="413">
        <f t="shared" ref="AF661" si="1922">AF660</f>
        <v>0</v>
      </c>
      <c r="AG661" s="413">
        <f t="shared" ref="AG661" si="1923">AG660</f>
        <v>0</v>
      </c>
      <c r="AH661" s="413">
        <f t="shared" ref="AH661" si="1924">AH660</f>
        <v>0</v>
      </c>
      <c r="AI661" s="413">
        <f t="shared" ref="AI661" si="1925">AI660</f>
        <v>0</v>
      </c>
      <c r="AJ661" s="413">
        <f t="shared" ref="AJ661" si="1926">AJ660</f>
        <v>0</v>
      </c>
      <c r="AK661" s="413">
        <f t="shared" ref="AK661" si="1927">AK660</f>
        <v>0</v>
      </c>
      <c r="AL661" s="413">
        <f t="shared" ref="AL661" si="1928">AL660</f>
        <v>0</v>
      </c>
      <c r="AM661" s="308"/>
    </row>
    <row r="662" spans="1:39" hidden="1" outlineLevel="1">
      <c r="A662" s="532"/>
      <c r="B662" s="296"/>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2">
        <v>23</v>
      </c>
      <c r="B663" s="430" t="s">
        <v>116</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2"/>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29">Z663</f>
        <v>0</v>
      </c>
      <c r="AA664" s="413">
        <f t="shared" ref="AA664" si="1930">AA663</f>
        <v>0</v>
      </c>
      <c r="AB664" s="413">
        <f t="shared" ref="AB664" si="1931">AB663</f>
        <v>0</v>
      </c>
      <c r="AC664" s="413">
        <f t="shared" ref="AC664" si="1932">AC663</f>
        <v>0</v>
      </c>
      <c r="AD664" s="413">
        <f t="shared" ref="AD664" si="1933">AD663</f>
        <v>0</v>
      </c>
      <c r="AE664" s="413">
        <f t="shared" ref="AE664" si="1934">AE663</f>
        <v>0</v>
      </c>
      <c r="AF664" s="413">
        <f t="shared" ref="AF664" si="1935">AF663</f>
        <v>0</v>
      </c>
      <c r="AG664" s="413">
        <f t="shared" ref="AG664" si="1936">AG663</f>
        <v>0</v>
      </c>
      <c r="AH664" s="413">
        <f t="shared" ref="AH664" si="1937">AH663</f>
        <v>0</v>
      </c>
      <c r="AI664" s="413">
        <f t="shared" ref="AI664" si="1938">AI663</f>
        <v>0</v>
      </c>
      <c r="AJ664" s="413">
        <f t="shared" ref="AJ664" si="1939">AJ663</f>
        <v>0</v>
      </c>
      <c r="AK664" s="413">
        <f t="shared" ref="AK664" si="1940">AK663</f>
        <v>0</v>
      </c>
      <c r="AL664" s="413">
        <f t="shared" ref="AL664" si="1941">AL663</f>
        <v>0</v>
      </c>
      <c r="AM664" s="308"/>
    </row>
    <row r="665" spans="1:39" hidden="1" outlineLevel="1">
      <c r="A665" s="532"/>
      <c r="B665" s="432"/>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24"/>
      <c r="Z665" s="427"/>
      <c r="AA665" s="427"/>
      <c r="AB665" s="427"/>
      <c r="AC665" s="427"/>
      <c r="AD665" s="427"/>
      <c r="AE665" s="427"/>
      <c r="AF665" s="427"/>
      <c r="AG665" s="427"/>
      <c r="AH665" s="427"/>
      <c r="AI665" s="427"/>
      <c r="AJ665" s="427"/>
      <c r="AK665" s="427"/>
      <c r="AL665" s="427"/>
      <c r="AM665" s="308"/>
    </row>
    <row r="666" spans="1:39" ht="30" hidden="1" outlineLevel="1">
      <c r="A666" s="532">
        <v>24</v>
      </c>
      <c r="B666" s="430" t="s">
        <v>117</v>
      </c>
      <c r="C666" s="293" t="s">
        <v>25</v>
      </c>
      <c r="D666" s="297">
        <v>10958.78608228311</v>
      </c>
      <c r="E666" s="297">
        <f>E483/$D483*$D666</f>
        <v>10958.78608228311</v>
      </c>
      <c r="F666" s="297">
        <f t="shared" ref="F666:M666" si="1942">F483/$D483*$D666</f>
        <v>10958.78608228311</v>
      </c>
      <c r="G666" s="297">
        <f t="shared" si="1942"/>
        <v>10958.78608228311</v>
      </c>
      <c r="H666" s="297">
        <f t="shared" si="1942"/>
        <v>10958.78608228311</v>
      </c>
      <c r="I666" s="297">
        <f t="shared" si="1942"/>
        <v>10960.496787433918</v>
      </c>
      <c r="J666" s="297">
        <f t="shared" si="1942"/>
        <v>10960.496787433918</v>
      </c>
      <c r="K666" s="297">
        <f t="shared" si="1942"/>
        <v>10960.496787433918</v>
      </c>
      <c r="L666" s="297">
        <f t="shared" si="1942"/>
        <v>10960.496787433918</v>
      </c>
      <c r="M666" s="297">
        <f t="shared" si="1942"/>
        <v>10960.496787433918</v>
      </c>
      <c r="N666" s="293"/>
      <c r="O666" s="297">
        <v>1.6455255255255252</v>
      </c>
      <c r="P666" s="297">
        <f>P483/$O483*$O666</f>
        <v>1.6455255255255252</v>
      </c>
      <c r="Q666" s="297">
        <f t="shared" ref="Q666:X666" si="1943">Q483/$O483*$O666</f>
        <v>1.6455255255255252</v>
      </c>
      <c r="R666" s="297">
        <f t="shared" si="1943"/>
        <v>1.6455255255255252</v>
      </c>
      <c r="S666" s="297">
        <f t="shared" si="1943"/>
        <v>1.6455255255255252</v>
      </c>
      <c r="T666" s="297">
        <f t="shared" si="1943"/>
        <v>1.6455255255255252</v>
      </c>
      <c r="U666" s="297">
        <f t="shared" si="1943"/>
        <v>1.6455255255255252</v>
      </c>
      <c r="V666" s="297">
        <f t="shared" si="1943"/>
        <v>1.6455255255255252</v>
      </c>
      <c r="W666" s="297">
        <f t="shared" si="1943"/>
        <v>1.6455255255255252</v>
      </c>
      <c r="X666" s="297">
        <f t="shared" si="1943"/>
        <v>4.8319294273974238</v>
      </c>
      <c r="Y666" s="412">
        <v>1</v>
      </c>
      <c r="Z666" s="412"/>
      <c r="AA666" s="412"/>
      <c r="AB666" s="412"/>
      <c r="AC666" s="412"/>
      <c r="AD666" s="412"/>
      <c r="AE666" s="412"/>
      <c r="AF666" s="412"/>
      <c r="AG666" s="412"/>
      <c r="AH666" s="412"/>
      <c r="AI666" s="412"/>
      <c r="AJ666" s="412"/>
      <c r="AK666" s="412"/>
      <c r="AL666" s="412"/>
      <c r="AM666" s="298">
        <f>SUM(Y666:AL666)</f>
        <v>1</v>
      </c>
    </row>
    <row r="667" spans="1:39" hidden="1" outlineLevel="1">
      <c r="A667" s="532"/>
      <c r="B667" s="296" t="s">
        <v>311</v>
      </c>
      <c r="C667" s="293" t="s">
        <v>164</v>
      </c>
      <c r="D667" s="297"/>
      <c r="E667" s="297"/>
      <c r="F667" s="297"/>
      <c r="G667" s="297"/>
      <c r="H667" s="297"/>
      <c r="I667" s="297"/>
      <c r="J667" s="297"/>
      <c r="K667" s="297"/>
      <c r="L667" s="297"/>
      <c r="M667" s="297"/>
      <c r="N667" s="293"/>
      <c r="O667" s="297"/>
      <c r="P667" s="297"/>
      <c r="Q667" s="297"/>
      <c r="R667" s="297"/>
      <c r="S667" s="297"/>
      <c r="T667" s="297"/>
      <c r="U667" s="297"/>
      <c r="V667" s="297"/>
      <c r="W667" s="297"/>
      <c r="X667" s="297"/>
      <c r="Y667" s="413">
        <f>Y666</f>
        <v>1</v>
      </c>
      <c r="Z667" s="413">
        <f t="shared" ref="Z667" si="1944">Z666</f>
        <v>0</v>
      </c>
      <c r="AA667" s="413">
        <f t="shared" ref="AA667" si="1945">AA666</f>
        <v>0</v>
      </c>
      <c r="AB667" s="413">
        <f t="shared" ref="AB667" si="1946">AB666</f>
        <v>0</v>
      </c>
      <c r="AC667" s="413">
        <f t="shared" ref="AC667" si="1947">AC666</f>
        <v>0</v>
      </c>
      <c r="AD667" s="413">
        <f t="shared" ref="AD667" si="1948">AD666</f>
        <v>0</v>
      </c>
      <c r="AE667" s="413">
        <f t="shared" ref="AE667" si="1949">AE666</f>
        <v>0</v>
      </c>
      <c r="AF667" s="413">
        <f t="shared" ref="AF667" si="1950">AF666</f>
        <v>0</v>
      </c>
      <c r="AG667" s="413">
        <f t="shared" ref="AG667" si="1951">AG666</f>
        <v>0</v>
      </c>
      <c r="AH667" s="413">
        <f t="shared" ref="AH667" si="1952">AH666</f>
        <v>0</v>
      </c>
      <c r="AI667" s="413">
        <f t="shared" ref="AI667" si="1953">AI666</f>
        <v>0</v>
      </c>
      <c r="AJ667" s="413">
        <f t="shared" ref="AJ667" si="1954">AJ666</f>
        <v>0</v>
      </c>
      <c r="AK667" s="413">
        <f t="shared" ref="AK667" si="1955">AK666</f>
        <v>0</v>
      </c>
      <c r="AL667" s="413">
        <f t="shared" ref="AL667" si="1956">AL666</f>
        <v>0</v>
      </c>
      <c r="AM667" s="308"/>
    </row>
    <row r="668" spans="1:39" hidden="1" outlineLevel="1">
      <c r="A668" s="532"/>
      <c r="B668" s="296"/>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414"/>
      <c r="Z668" s="427"/>
      <c r="AA668" s="427"/>
      <c r="AB668" s="427"/>
      <c r="AC668" s="427"/>
      <c r="AD668" s="427"/>
      <c r="AE668" s="427"/>
      <c r="AF668" s="427"/>
      <c r="AG668" s="427"/>
      <c r="AH668" s="427"/>
      <c r="AI668" s="427"/>
      <c r="AJ668" s="427"/>
      <c r="AK668" s="427"/>
      <c r="AL668" s="427"/>
      <c r="AM668" s="308"/>
    </row>
    <row r="669" spans="1:39" ht="15.75" hidden="1" outlineLevel="1">
      <c r="A669" s="532"/>
      <c r="B669" s="290" t="s">
        <v>502</v>
      </c>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2">
        <v>25</v>
      </c>
      <c r="B670" s="430" t="s">
        <v>118</v>
      </c>
      <c r="C670" s="293" t="s">
        <v>25</v>
      </c>
      <c r="D670" s="297">
        <v>65333.669668554627</v>
      </c>
      <c r="E670" s="297">
        <f>D670</f>
        <v>65333.669668554627</v>
      </c>
      <c r="F670" s="297">
        <f>E670</f>
        <v>65333.669668554627</v>
      </c>
      <c r="G670" s="297">
        <f>F670</f>
        <v>65333.669668554627</v>
      </c>
      <c r="H670" s="297">
        <f>G670</f>
        <v>65333.669668554627</v>
      </c>
      <c r="I670" s="297">
        <f>H670</f>
        <v>65333.669668554627</v>
      </c>
      <c r="J670" s="297"/>
      <c r="K670" s="297"/>
      <c r="L670" s="297"/>
      <c r="M670" s="297"/>
      <c r="N670" s="297">
        <v>12</v>
      </c>
      <c r="O670" s="297">
        <v>2.9020556650926572</v>
      </c>
      <c r="P670" s="297">
        <f>O670</f>
        <v>2.9020556650926572</v>
      </c>
      <c r="Q670" s="297">
        <f>P670</f>
        <v>2.9020556650926572</v>
      </c>
      <c r="R670" s="297">
        <f>Q670</f>
        <v>2.9020556650926572</v>
      </c>
      <c r="S670" s="297">
        <f>R670</f>
        <v>2.9020556650926572</v>
      </c>
      <c r="T670" s="297">
        <f>S670</f>
        <v>2.9020556650926572</v>
      </c>
      <c r="U670" s="297"/>
      <c r="V670" s="297"/>
      <c r="W670" s="297"/>
      <c r="X670" s="297"/>
      <c r="Y670" s="428"/>
      <c r="Z670" s="412"/>
      <c r="AA670" s="412">
        <v>1</v>
      </c>
      <c r="AB670" s="412"/>
      <c r="AC670" s="412"/>
      <c r="AD670" s="412"/>
      <c r="AE670" s="412"/>
      <c r="AF670" s="417"/>
      <c r="AG670" s="417"/>
      <c r="AH670" s="417"/>
      <c r="AI670" s="417"/>
      <c r="AJ670" s="417"/>
      <c r="AK670" s="417"/>
      <c r="AL670" s="417"/>
      <c r="AM670" s="298">
        <f>SUM(Y670:AL670)</f>
        <v>1</v>
      </c>
    </row>
    <row r="671" spans="1:39" hidden="1" outlineLevel="1">
      <c r="A671" s="532"/>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57">Z670</f>
        <v>0</v>
      </c>
      <c r="AA671" s="413">
        <f t="shared" ref="AA671" si="1958">AA670</f>
        <v>1</v>
      </c>
      <c r="AB671" s="413">
        <f t="shared" ref="AB671" si="1959">AB670</f>
        <v>0</v>
      </c>
      <c r="AC671" s="413">
        <f t="shared" ref="AC671" si="1960">AC670</f>
        <v>0</v>
      </c>
      <c r="AD671" s="413">
        <f t="shared" ref="AD671" si="1961">AD670</f>
        <v>0</v>
      </c>
      <c r="AE671" s="413">
        <f t="shared" ref="AE671" si="1962">AE670</f>
        <v>0</v>
      </c>
      <c r="AF671" s="413">
        <f t="shared" ref="AF671" si="1963">AF670</f>
        <v>0</v>
      </c>
      <c r="AG671" s="413">
        <f t="shared" ref="AG671" si="1964">AG670</f>
        <v>0</v>
      </c>
      <c r="AH671" s="413">
        <f t="shared" ref="AH671" si="1965">AH670</f>
        <v>0</v>
      </c>
      <c r="AI671" s="413">
        <f t="shared" ref="AI671" si="1966">AI670</f>
        <v>0</v>
      </c>
      <c r="AJ671" s="413">
        <f t="shared" ref="AJ671" si="1967">AJ670</f>
        <v>0</v>
      </c>
      <c r="AK671" s="413">
        <f t="shared" ref="AK671" si="1968">AK670</f>
        <v>0</v>
      </c>
      <c r="AL671" s="413">
        <f t="shared" ref="AL671" si="1969">AL670</f>
        <v>0</v>
      </c>
      <c r="AM671" s="308"/>
    </row>
    <row r="672" spans="1:39" hidden="1" outlineLevel="1">
      <c r="A672" s="532"/>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idden="1" outlineLevel="1">
      <c r="A673" s="532">
        <v>26</v>
      </c>
      <c r="B673" s="430" t="s">
        <v>119</v>
      </c>
      <c r="C673" s="293" t="s">
        <v>25</v>
      </c>
      <c r="D673" s="297">
        <v>179589.48075877121</v>
      </c>
      <c r="E673" s="297">
        <f>E490/$D490*$D673</f>
        <v>182127.22259724347</v>
      </c>
      <c r="F673" s="297">
        <f t="shared" ref="F673:M673" si="1970">F490/$D490*$D673</f>
        <v>182127.22259724347</v>
      </c>
      <c r="G673" s="297">
        <f t="shared" si="1970"/>
        <v>182127.22259724347</v>
      </c>
      <c r="H673" s="297">
        <f t="shared" si="1970"/>
        <v>182127.22259724347</v>
      </c>
      <c r="I673" s="297">
        <f t="shared" si="1970"/>
        <v>180263.76424856743</v>
      </c>
      <c r="J673" s="297">
        <f t="shared" si="1970"/>
        <v>180263.76424856743</v>
      </c>
      <c r="K673" s="297">
        <f t="shared" si="1970"/>
        <v>180263.76424856743</v>
      </c>
      <c r="L673" s="297">
        <f t="shared" si="1970"/>
        <v>179748.13841675699</v>
      </c>
      <c r="M673" s="297">
        <f t="shared" si="1970"/>
        <v>179748.13841675699</v>
      </c>
      <c r="N673" s="297">
        <v>12</v>
      </c>
      <c r="O673" s="297">
        <v>40.767988437388688</v>
      </c>
      <c r="P673" s="297">
        <f>P490/$O490*$O673</f>
        <v>42.116364960396929</v>
      </c>
      <c r="Q673" s="297">
        <f t="shared" ref="Q673:X673" si="1971">Q490/$O490*$O673</f>
        <v>42.116364960396929</v>
      </c>
      <c r="R673" s="297">
        <f t="shared" si="1971"/>
        <v>42.116364960396929</v>
      </c>
      <c r="S673" s="297">
        <f t="shared" si="1971"/>
        <v>42.116364960396929</v>
      </c>
      <c r="T673" s="297">
        <f t="shared" si="1971"/>
        <v>41.540106914720731</v>
      </c>
      <c r="U673" s="297">
        <f t="shared" si="1971"/>
        <v>41.540106914720731</v>
      </c>
      <c r="V673" s="297">
        <f t="shared" si="1971"/>
        <v>41.540106914720731</v>
      </c>
      <c r="W673" s="297">
        <f t="shared" si="1971"/>
        <v>41.540106914720731</v>
      </c>
      <c r="X673" s="297">
        <f t="shared" si="1971"/>
        <v>1.2621477048889553</v>
      </c>
      <c r="Y673" s="428"/>
      <c r="Z673" s="412"/>
      <c r="AA673" s="412">
        <v>1</v>
      </c>
      <c r="AB673" s="412"/>
      <c r="AC673" s="412"/>
      <c r="AD673" s="412"/>
      <c r="AE673" s="412"/>
      <c r="AF673" s="417"/>
      <c r="AG673" s="417"/>
      <c r="AH673" s="417"/>
      <c r="AI673" s="417"/>
      <c r="AJ673" s="417"/>
      <c r="AK673" s="417"/>
      <c r="AL673" s="417"/>
      <c r="AM673" s="298">
        <f>SUM(Y673:AL673)</f>
        <v>1</v>
      </c>
    </row>
    <row r="674" spans="1:39" hidden="1" outlineLevel="1">
      <c r="A674" s="532"/>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2">Z673</f>
        <v>0</v>
      </c>
      <c r="AA674" s="413">
        <f t="shared" ref="AA674" si="1973">AA673</f>
        <v>1</v>
      </c>
      <c r="AB674" s="413">
        <f t="shared" ref="AB674" si="1974">AB673</f>
        <v>0</v>
      </c>
      <c r="AC674" s="413">
        <f t="shared" ref="AC674" si="1975">AC673</f>
        <v>0</v>
      </c>
      <c r="AD674" s="413">
        <f t="shared" ref="AD674" si="1976">AD673</f>
        <v>0</v>
      </c>
      <c r="AE674" s="413">
        <f t="shared" ref="AE674" si="1977">AE673</f>
        <v>0</v>
      </c>
      <c r="AF674" s="413">
        <f t="shared" ref="AF674" si="1978">AF673</f>
        <v>0</v>
      </c>
      <c r="AG674" s="413">
        <f t="shared" ref="AG674" si="1979">AG673</f>
        <v>0</v>
      </c>
      <c r="AH674" s="413">
        <f t="shared" ref="AH674" si="1980">AH673</f>
        <v>0</v>
      </c>
      <c r="AI674" s="413">
        <f t="shared" ref="AI674" si="1981">AI673</f>
        <v>0</v>
      </c>
      <c r="AJ674" s="413">
        <f t="shared" ref="AJ674" si="1982">AJ673</f>
        <v>0</v>
      </c>
      <c r="AK674" s="413">
        <f t="shared" ref="AK674" si="1983">AK673</f>
        <v>0</v>
      </c>
      <c r="AL674" s="413">
        <f t="shared" ref="AL674" si="1984">AL673</f>
        <v>0</v>
      </c>
      <c r="AM674" s="308"/>
    </row>
    <row r="675" spans="1:39" hidden="1" outlineLevel="1">
      <c r="A675" s="532"/>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2">
        <v>27</v>
      </c>
      <c r="B676" s="430" t="s">
        <v>120</v>
      </c>
      <c r="C676" s="293" t="s">
        <v>25</v>
      </c>
      <c r="D676" s="297">
        <v>24544.112735547347</v>
      </c>
      <c r="E676" s="297">
        <f>E493/$D493*$D676</f>
        <v>24544.112735547347</v>
      </c>
      <c r="F676" s="297">
        <f t="shared" ref="F676:M676" si="1985">F493/$D493*$D676</f>
        <v>23297.316714055421</v>
      </c>
      <c r="G676" s="297">
        <f t="shared" si="1985"/>
        <v>23297.316714055421</v>
      </c>
      <c r="H676" s="297">
        <f t="shared" si="1985"/>
        <v>23297.316714055421</v>
      </c>
      <c r="I676" s="297">
        <f t="shared" si="1985"/>
        <v>17625.405423592234</v>
      </c>
      <c r="J676" s="297">
        <f t="shared" si="1985"/>
        <v>13508.566546637543</v>
      </c>
      <c r="K676" s="297">
        <f t="shared" si="1985"/>
        <v>11692.445656587786</v>
      </c>
      <c r="L676" s="297">
        <f t="shared" si="1985"/>
        <v>9909.9228209453413</v>
      </c>
      <c r="M676" s="297">
        <f t="shared" si="1985"/>
        <v>8583.4830623927919</v>
      </c>
      <c r="N676" s="297">
        <v>12</v>
      </c>
      <c r="O676" s="297">
        <v>4.9298763361692437</v>
      </c>
      <c r="P676" s="297">
        <f>P493/$O493*$O676</f>
        <v>4.9298763361692437</v>
      </c>
      <c r="Q676" s="297">
        <f t="shared" ref="Q676:X676" si="1986">Q493/$O493*$O676</f>
        <v>4.8327732860761969</v>
      </c>
      <c r="R676" s="297">
        <f t="shared" si="1986"/>
        <v>4.8327732860761969</v>
      </c>
      <c r="S676" s="297">
        <f t="shared" si="1986"/>
        <v>4.8327732860761969</v>
      </c>
      <c r="T676" s="297">
        <f t="shared" si="1986"/>
        <v>4.106902699378046</v>
      </c>
      <c r="U676" s="297">
        <f t="shared" si="1986"/>
        <v>3.4261698586215834</v>
      </c>
      <c r="V676" s="297">
        <f t="shared" si="1986"/>
        <v>3.0717690130345918</v>
      </c>
      <c r="W676" s="297">
        <f t="shared" si="1986"/>
        <v>2.7676898001781121</v>
      </c>
      <c r="X676" s="297">
        <f t="shared" si="1986"/>
        <v>5.0623477212690124</v>
      </c>
      <c r="Y676" s="428"/>
      <c r="Z676" s="412">
        <v>1</v>
      </c>
      <c r="AA676" s="412"/>
      <c r="AB676" s="412"/>
      <c r="AC676" s="412"/>
      <c r="AD676" s="412"/>
      <c r="AE676" s="412"/>
      <c r="AF676" s="417"/>
      <c r="AG676" s="417"/>
      <c r="AH676" s="417"/>
      <c r="AI676" s="417"/>
      <c r="AJ676" s="417"/>
      <c r="AK676" s="417"/>
      <c r="AL676" s="417"/>
      <c r="AM676" s="298">
        <f>SUM(Y676:AL676)</f>
        <v>1</v>
      </c>
    </row>
    <row r="677" spans="1:39" hidden="1" outlineLevel="1">
      <c r="A677" s="532"/>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7">Z676</f>
        <v>1</v>
      </c>
      <c r="AA677" s="413">
        <f t="shared" ref="AA677" si="1988">AA676</f>
        <v>0</v>
      </c>
      <c r="AB677" s="413">
        <f t="shared" ref="AB677" si="1989">AB676</f>
        <v>0</v>
      </c>
      <c r="AC677" s="413">
        <f t="shared" ref="AC677" si="1990">AC676</f>
        <v>0</v>
      </c>
      <c r="AD677" s="413">
        <f t="shared" ref="AD677" si="1991">AD676</f>
        <v>0</v>
      </c>
      <c r="AE677" s="413">
        <f t="shared" ref="AE677" si="1992">AE676</f>
        <v>0</v>
      </c>
      <c r="AF677" s="413">
        <f t="shared" ref="AF677" si="1993">AF676</f>
        <v>0</v>
      </c>
      <c r="AG677" s="413">
        <f t="shared" ref="AG677" si="1994">AG676</f>
        <v>0</v>
      </c>
      <c r="AH677" s="413">
        <f t="shared" ref="AH677" si="1995">AH676</f>
        <v>0</v>
      </c>
      <c r="AI677" s="413">
        <f t="shared" ref="AI677" si="1996">AI676</f>
        <v>0</v>
      </c>
      <c r="AJ677" s="413">
        <f t="shared" ref="AJ677" si="1997">AJ676</f>
        <v>0</v>
      </c>
      <c r="AK677" s="413">
        <f t="shared" ref="AK677" si="1998">AK676</f>
        <v>0</v>
      </c>
      <c r="AL677" s="413">
        <f t="shared" ref="AL677" si="1999">AL676</f>
        <v>0</v>
      </c>
      <c r="AM677" s="308"/>
    </row>
    <row r="678" spans="1:39" hidden="1" outlineLevel="1">
      <c r="A678" s="532"/>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2">
        <v>28</v>
      </c>
      <c r="B679" s="430" t="s">
        <v>121</v>
      </c>
      <c r="C679" s="293" t="s">
        <v>25</v>
      </c>
      <c r="D679" s="297"/>
      <c r="E679" s="297"/>
      <c r="F679" s="297"/>
      <c r="G679" s="297"/>
      <c r="H679" s="297"/>
      <c r="I679" s="297"/>
      <c r="J679" s="297"/>
      <c r="K679" s="297"/>
      <c r="L679" s="297"/>
      <c r="M679" s="297"/>
      <c r="N679" s="297">
        <v>12</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2"/>
      <c r="B680" s="296" t="s">
        <v>311</v>
      </c>
      <c r="C680" s="293" t="s">
        <v>164</v>
      </c>
      <c r="D680" s="297"/>
      <c r="E680" s="297"/>
      <c r="F680" s="297"/>
      <c r="G680" s="297"/>
      <c r="H680" s="297"/>
      <c r="I680" s="297"/>
      <c r="J680" s="297"/>
      <c r="K680" s="297"/>
      <c r="L680" s="297"/>
      <c r="M680" s="297"/>
      <c r="N680" s="297">
        <f>N679</f>
        <v>12</v>
      </c>
      <c r="O680" s="297"/>
      <c r="P680" s="297"/>
      <c r="Q680" s="297"/>
      <c r="R680" s="297"/>
      <c r="S680" s="297"/>
      <c r="T680" s="297"/>
      <c r="U680" s="297"/>
      <c r="V680" s="297"/>
      <c r="W680" s="297"/>
      <c r="X680" s="297"/>
      <c r="Y680" s="413">
        <f>Y679</f>
        <v>0</v>
      </c>
      <c r="Z680" s="413">
        <f t="shared" ref="Z680" si="2000">Z679</f>
        <v>0</v>
      </c>
      <c r="AA680" s="413">
        <f t="shared" ref="AA680" si="2001">AA679</f>
        <v>0</v>
      </c>
      <c r="AB680" s="413">
        <f t="shared" ref="AB680" si="2002">AB679</f>
        <v>0</v>
      </c>
      <c r="AC680" s="413">
        <f t="shared" ref="AC680" si="2003">AC679</f>
        <v>0</v>
      </c>
      <c r="AD680" s="413">
        <f t="shared" ref="AD680" si="2004">AD679</f>
        <v>0</v>
      </c>
      <c r="AE680" s="413">
        <f t="shared" ref="AE680" si="2005">AE679</f>
        <v>0</v>
      </c>
      <c r="AF680" s="413">
        <f t="shared" ref="AF680" si="2006">AF679</f>
        <v>0</v>
      </c>
      <c r="AG680" s="413">
        <f t="shared" ref="AG680" si="2007">AG679</f>
        <v>0</v>
      </c>
      <c r="AH680" s="413">
        <f t="shared" ref="AH680" si="2008">AH679</f>
        <v>0</v>
      </c>
      <c r="AI680" s="413">
        <f t="shared" ref="AI680" si="2009">AI679</f>
        <v>0</v>
      </c>
      <c r="AJ680" s="413">
        <f t="shared" ref="AJ680" si="2010">AJ679</f>
        <v>0</v>
      </c>
      <c r="AK680" s="413">
        <f t="shared" ref="AK680" si="2011">AK679</f>
        <v>0</v>
      </c>
      <c r="AL680" s="413">
        <f t="shared" ref="AL680" si="2012">AL679</f>
        <v>0</v>
      </c>
      <c r="AM680" s="308"/>
    </row>
    <row r="681" spans="1:39" hidden="1" outlineLevel="1">
      <c r="A681" s="532"/>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2">
        <v>29</v>
      </c>
      <c r="B682" s="430" t="s">
        <v>122</v>
      </c>
      <c r="C682" s="293" t="s">
        <v>25</v>
      </c>
      <c r="D682" s="297"/>
      <c r="E682" s="297"/>
      <c r="F682" s="297"/>
      <c r="G682" s="297"/>
      <c r="H682" s="297"/>
      <c r="I682" s="297"/>
      <c r="J682" s="297"/>
      <c r="K682" s="297"/>
      <c r="L682" s="297"/>
      <c r="M682" s="297"/>
      <c r="N682" s="297">
        <v>3</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2"/>
      <c r="B683" s="296" t="s">
        <v>311</v>
      </c>
      <c r="C683" s="293" t="s">
        <v>164</v>
      </c>
      <c r="D683" s="297"/>
      <c r="E683" s="297"/>
      <c r="F683" s="297"/>
      <c r="G683" s="297"/>
      <c r="H683" s="297"/>
      <c r="I683" s="297"/>
      <c r="J683" s="297"/>
      <c r="K683" s="297"/>
      <c r="L683" s="297"/>
      <c r="M683" s="297"/>
      <c r="N683" s="297">
        <f>N682</f>
        <v>3</v>
      </c>
      <c r="O683" s="297"/>
      <c r="P683" s="297"/>
      <c r="Q683" s="297"/>
      <c r="R683" s="297"/>
      <c r="S683" s="297"/>
      <c r="T683" s="297"/>
      <c r="U683" s="297"/>
      <c r="V683" s="297"/>
      <c r="W683" s="297"/>
      <c r="X683" s="297"/>
      <c r="Y683" s="413">
        <f>Y682</f>
        <v>0</v>
      </c>
      <c r="Z683" s="413">
        <f t="shared" ref="Z683" si="2013">Z682</f>
        <v>0</v>
      </c>
      <c r="AA683" s="413">
        <f t="shared" ref="AA683" si="2014">AA682</f>
        <v>0</v>
      </c>
      <c r="AB683" s="413">
        <f t="shared" ref="AB683" si="2015">AB682</f>
        <v>0</v>
      </c>
      <c r="AC683" s="413">
        <f t="shared" ref="AC683" si="2016">AC682</f>
        <v>0</v>
      </c>
      <c r="AD683" s="413">
        <f t="shared" ref="AD683" si="2017">AD682</f>
        <v>0</v>
      </c>
      <c r="AE683" s="413">
        <f t="shared" ref="AE683" si="2018">AE682</f>
        <v>0</v>
      </c>
      <c r="AF683" s="413">
        <f t="shared" ref="AF683" si="2019">AF682</f>
        <v>0</v>
      </c>
      <c r="AG683" s="413">
        <f t="shared" ref="AG683" si="2020">AG682</f>
        <v>0</v>
      </c>
      <c r="AH683" s="413">
        <f t="shared" ref="AH683" si="2021">AH682</f>
        <v>0</v>
      </c>
      <c r="AI683" s="413">
        <f t="shared" ref="AI683" si="2022">AI682</f>
        <v>0</v>
      </c>
      <c r="AJ683" s="413">
        <f t="shared" ref="AJ683" si="2023">AJ682</f>
        <v>0</v>
      </c>
      <c r="AK683" s="413">
        <f t="shared" ref="AK683" si="2024">AK682</f>
        <v>0</v>
      </c>
      <c r="AL683" s="413">
        <f t="shared" ref="AL683" si="2025">AL682</f>
        <v>0</v>
      </c>
      <c r="AM683" s="308"/>
    </row>
    <row r="684" spans="1:39" hidden="1" outlineLevel="1">
      <c r="A684" s="532"/>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2">
        <v>30</v>
      </c>
      <c r="B685" s="430" t="s">
        <v>123</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2"/>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6">Z685</f>
        <v>0</v>
      </c>
      <c r="AA686" s="413">
        <f t="shared" ref="AA686" si="2027">AA685</f>
        <v>0</v>
      </c>
      <c r="AB686" s="413">
        <f t="shared" ref="AB686" si="2028">AB685</f>
        <v>0</v>
      </c>
      <c r="AC686" s="413">
        <f t="shared" ref="AC686" si="2029">AC685</f>
        <v>0</v>
      </c>
      <c r="AD686" s="413">
        <f t="shared" ref="AD686" si="2030">AD685</f>
        <v>0</v>
      </c>
      <c r="AE686" s="413">
        <f t="shared" ref="AE686" si="2031">AE685</f>
        <v>0</v>
      </c>
      <c r="AF686" s="413">
        <f t="shared" ref="AF686" si="2032">AF685</f>
        <v>0</v>
      </c>
      <c r="AG686" s="413">
        <f t="shared" ref="AG686" si="2033">AG685</f>
        <v>0</v>
      </c>
      <c r="AH686" s="413">
        <f t="shared" ref="AH686" si="2034">AH685</f>
        <v>0</v>
      </c>
      <c r="AI686" s="413">
        <f t="shared" ref="AI686" si="2035">AI685</f>
        <v>0</v>
      </c>
      <c r="AJ686" s="413">
        <f t="shared" ref="AJ686" si="2036">AJ685</f>
        <v>0</v>
      </c>
      <c r="AK686" s="413">
        <f t="shared" ref="AK686" si="2037">AK685</f>
        <v>0</v>
      </c>
      <c r="AL686" s="413">
        <f t="shared" ref="AL686" si="2038">AL685</f>
        <v>0</v>
      </c>
      <c r="AM686" s="308"/>
    </row>
    <row r="687" spans="1:39" hidden="1" outlineLevel="1">
      <c r="A687" s="532"/>
      <c r="B687" s="296"/>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2">
        <v>31</v>
      </c>
      <c r="B688" s="430" t="s">
        <v>124</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2"/>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39">Z688</f>
        <v>0</v>
      </c>
      <c r="AA689" s="413">
        <f t="shared" ref="AA689" si="2040">AA688</f>
        <v>0</v>
      </c>
      <c r="AB689" s="413">
        <f t="shared" ref="AB689" si="2041">AB688</f>
        <v>0</v>
      </c>
      <c r="AC689" s="413">
        <f t="shared" ref="AC689" si="2042">AC688</f>
        <v>0</v>
      </c>
      <c r="AD689" s="413">
        <f t="shared" ref="AD689" si="2043">AD688</f>
        <v>0</v>
      </c>
      <c r="AE689" s="413">
        <f t="shared" ref="AE689" si="2044">AE688</f>
        <v>0</v>
      </c>
      <c r="AF689" s="413">
        <f t="shared" ref="AF689" si="2045">AF688</f>
        <v>0</v>
      </c>
      <c r="AG689" s="413">
        <f t="shared" ref="AG689" si="2046">AG688</f>
        <v>0</v>
      </c>
      <c r="AH689" s="413">
        <f t="shared" ref="AH689" si="2047">AH688</f>
        <v>0</v>
      </c>
      <c r="AI689" s="413">
        <f t="shared" ref="AI689" si="2048">AI688</f>
        <v>0</v>
      </c>
      <c r="AJ689" s="413">
        <f t="shared" ref="AJ689" si="2049">AJ688</f>
        <v>0</v>
      </c>
      <c r="AK689" s="413">
        <f t="shared" ref="AK689" si="2050">AK688</f>
        <v>0</v>
      </c>
      <c r="AL689" s="413">
        <f t="shared" ref="AL689" si="2051">AL688</f>
        <v>0</v>
      </c>
      <c r="AM689" s="308"/>
    </row>
    <row r="690" spans="1:39" hidden="1" outlineLevel="1">
      <c r="A690" s="532"/>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30" hidden="1" outlineLevel="1">
      <c r="A691" s="532">
        <v>32</v>
      </c>
      <c r="B691" s="430" t="s">
        <v>125</v>
      </c>
      <c r="C691" s="293" t="s">
        <v>25</v>
      </c>
      <c r="D691" s="297"/>
      <c r="E691" s="297"/>
      <c r="F691" s="297"/>
      <c r="G691" s="297"/>
      <c r="H691" s="297"/>
      <c r="I691" s="297"/>
      <c r="J691" s="297"/>
      <c r="K691" s="297"/>
      <c r="L691" s="297"/>
      <c r="M691" s="297"/>
      <c r="N691" s="297">
        <v>12</v>
      </c>
      <c r="O691" s="297"/>
      <c r="P691" s="297"/>
      <c r="Q691" s="297"/>
      <c r="R691" s="297"/>
      <c r="S691" s="297"/>
      <c r="T691" s="297"/>
      <c r="U691" s="297"/>
      <c r="V691" s="297"/>
      <c r="W691" s="297"/>
      <c r="X691" s="297"/>
      <c r="Y691" s="428"/>
      <c r="Z691" s="412"/>
      <c r="AA691" s="412"/>
      <c r="AB691" s="412"/>
      <c r="AC691" s="412"/>
      <c r="AD691" s="412"/>
      <c r="AE691" s="412"/>
      <c r="AF691" s="417"/>
      <c r="AG691" s="417"/>
      <c r="AH691" s="417"/>
      <c r="AI691" s="417"/>
      <c r="AJ691" s="417"/>
      <c r="AK691" s="417"/>
      <c r="AL691" s="417"/>
      <c r="AM691" s="298">
        <f>SUM(Y691:AL691)</f>
        <v>0</v>
      </c>
    </row>
    <row r="692" spans="1:39" hidden="1" outlineLevel="1">
      <c r="A692" s="532"/>
      <c r="B692" s="296" t="s">
        <v>311</v>
      </c>
      <c r="C692" s="293" t="s">
        <v>164</v>
      </c>
      <c r="D692" s="297"/>
      <c r="E692" s="297"/>
      <c r="F692" s="297"/>
      <c r="G692" s="297"/>
      <c r="H692" s="297"/>
      <c r="I692" s="297"/>
      <c r="J692" s="297"/>
      <c r="K692" s="297"/>
      <c r="L692" s="297"/>
      <c r="M692" s="297"/>
      <c r="N692" s="297">
        <f>N691</f>
        <v>12</v>
      </c>
      <c r="O692" s="297"/>
      <c r="P692" s="297"/>
      <c r="Q692" s="297"/>
      <c r="R692" s="297"/>
      <c r="S692" s="297"/>
      <c r="T692" s="297"/>
      <c r="U692" s="297"/>
      <c r="V692" s="297"/>
      <c r="W692" s="297"/>
      <c r="X692" s="297"/>
      <c r="Y692" s="413">
        <f>Y691</f>
        <v>0</v>
      </c>
      <c r="Z692" s="413">
        <f t="shared" ref="Z692" si="2052">Z691</f>
        <v>0</v>
      </c>
      <c r="AA692" s="413">
        <f t="shared" ref="AA692" si="2053">AA691</f>
        <v>0</v>
      </c>
      <c r="AB692" s="413">
        <f t="shared" ref="AB692" si="2054">AB691</f>
        <v>0</v>
      </c>
      <c r="AC692" s="413">
        <f t="shared" ref="AC692" si="2055">AC691</f>
        <v>0</v>
      </c>
      <c r="AD692" s="413">
        <f t="shared" ref="AD692" si="2056">AD691</f>
        <v>0</v>
      </c>
      <c r="AE692" s="413">
        <f t="shared" ref="AE692" si="2057">AE691</f>
        <v>0</v>
      </c>
      <c r="AF692" s="413">
        <f t="shared" ref="AF692" si="2058">AF691</f>
        <v>0</v>
      </c>
      <c r="AG692" s="413">
        <f t="shared" ref="AG692" si="2059">AG691</f>
        <v>0</v>
      </c>
      <c r="AH692" s="413">
        <f t="shared" ref="AH692" si="2060">AH691</f>
        <v>0</v>
      </c>
      <c r="AI692" s="413">
        <f t="shared" ref="AI692" si="2061">AI691</f>
        <v>0</v>
      </c>
      <c r="AJ692" s="413">
        <f t="shared" ref="AJ692" si="2062">AJ691</f>
        <v>0</v>
      </c>
      <c r="AK692" s="413">
        <f t="shared" ref="AK692" si="2063">AK691</f>
        <v>0</v>
      </c>
      <c r="AL692" s="413">
        <f t="shared" ref="AL692" si="2064">AL691</f>
        <v>0</v>
      </c>
      <c r="AM692" s="308"/>
    </row>
    <row r="693" spans="1:39" hidden="1" outlineLevel="1">
      <c r="A693" s="532"/>
      <c r="B693" s="430"/>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414"/>
      <c r="Z693" s="427"/>
      <c r="AA693" s="427"/>
      <c r="AB693" s="427"/>
      <c r="AC693" s="427"/>
      <c r="AD693" s="427"/>
      <c r="AE693" s="427"/>
      <c r="AF693" s="427"/>
      <c r="AG693" s="427"/>
      <c r="AH693" s="427"/>
      <c r="AI693" s="427"/>
      <c r="AJ693" s="427"/>
      <c r="AK693" s="427"/>
      <c r="AL693" s="427"/>
      <c r="AM693" s="308"/>
    </row>
    <row r="694" spans="1:39" ht="15.75" hidden="1" outlineLevel="1">
      <c r="A694" s="532"/>
      <c r="B694" s="290" t="s">
        <v>503</v>
      </c>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2">
        <v>33</v>
      </c>
      <c r="B695" s="430" t="s">
        <v>126</v>
      </c>
      <c r="C695" s="293" t="s">
        <v>25</v>
      </c>
      <c r="D695" s="297">
        <v>4010.9310357084169</v>
      </c>
      <c r="E695" s="297">
        <f>D695</f>
        <v>4010.9310357084169</v>
      </c>
      <c r="F695" s="297">
        <f>E695</f>
        <v>4010.9310357084169</v>
      </c>
      <c r="G695" s="297">
        <f>F695</f>
        <v>4010.9310357084169</v>
      </c>
      <c r="H695" s="297"/>
      <c r="I695" s="297"/>
      <c r="J695" s="297"/>
      <c r="K695" s="297"/>
      <c r="L695" s="297"/>
      <c r="M695" s="297"/>
      <c r="N695" s="297">
        <v>12</v>
      </c>
      <c r="O695" s="297">
        <v>1.1373116409974244</v>
      </c>
      <c r="P695" s="297">
        <f>O695</f>
        <v>1.1373116409974244</v>
      </c>
      <c r="Q695" s="297">
        <f>P695</f>
        <v>1.1373116409974244</v>
      </c>
      <c r="R695" s="297">
        <f>Q695</f>
        <v>1.1373116409974244</v>
      </c>
      <c r="S695" s="297"/>
      <c r="T695" s="297"/>
      <c r="U695" s="297"/>
      <c r="V695" s="297"/>
      <c r="W695" s="297"/>
      <c r="X695" s="297"/>
      <c r="Y695" s="428">
        <v>1</v>
      </c>
      <c r="Z695" s="412"/>
      <c r="AA695" s="412"/>
      <c r="AB695" s="412"/>
      <c r="AC695" s="412"/>
      <c r="AD695" s="412"/>
      <c r="AE695" s="412"/>
      <c r="AF695" s="417"/>
      <c r="AG695" s="417"/>
      <c r="AH695" s="417"/>
      <c r="AI695" s="417"/>
      <c r="AJ695" s="417"/>
      <c r="AK695" s="417"/>
      <c r="AL695" s="417"/>
      <c r="AM695" s="298">
        <f>SUM(Y695:AL695)</f>
        <v>1</v>
      </c>
    </row>
    <row r="696" spans="1:39" hidden="1" outlineLevel="1">
      <c r="A696" s="532"/>
      <c r="B696" s="296" t="s">
        <v>311</v>
      </c>
      <c r="C696" s="293" t="s">
        <v>164</v>
      </c>
      <c r="D696" s="297"/>
      <c r="E696" s="297"/>
      <c r="F696" s="297"/>
      <c r="G696" s="297"/>
      <c r="H696" s="297"/>
      <c r="I696" s="297"/>
      <c r="J696" s="297"/>
      <c r="K696" s="297"/>
      <c r="L696" s="297"/>
      <c r="M696" s="297"/>
      <c r="N696" s="297">
        <f>N695</f>
        <v>12</v>
      </c>
      <c r="O696" s="297"/>
      <c r="P696" s="297"/>
      <c r="Q696" s="297"/>
      <c r="R696" s="297"/>
      <c r="S696" s="297"/>
      <c r="T696" s="297"/>
      <c r="U696" s="297"/>
      <c r="V696" s="297"/>
      <c r="W696" s="297"/>
      <c r="X696" s="297"/>
      <c r="Y696" s="413">
        <f>Y695</f>
        <v>1</v>
      </c>
      <c r="Z696" s="413">
        <f t="shared" ref="Z696" si="2065">Z695</f>
        <v>0</v>
      </c>
      <c r="AA696" s="413">
        <f t="shared" ref="AA696" si="2066">AA695</f>
        <v>0</v>
      </c>
      <c r="AB696" s="413">
        <f t="shared" ref="AB696" si="2067">AB695</f>
        <v>0</v>
      </c>
      <c r="AC696" s="413">
        <f t="shared" ref="AC696" si="2068">AC695</f>
        <v>0</v>
      </c>
      <c r="AD696" s="413">
        <f t="shared" ref="AD696" si="2069">AD695</f>
        <v>0</v>
      </c>
      <c r="AE696" s="413">
        <f t="shared" ref="AE696" si="2070">AE695</f>
        <v>0</v>
      </c>
      <c r="AF696" s="413">
        <f t="shared" ref="AF696" si="2071">AF695</f>
        <v>0</v>
      </c>
      <c r="AG696" s="413">
        <f t="shared" ref="AG696" si="2072">AG695</f>
        <v>0</v>
      </c>
      <c r="AH696" s="413">
        <f t="shared" ref="AH696" si="2073">AH695</f>
        <v>0</v>
      </c>
      <c r="AI696" s="413">
        <f t="shared" ref="AI696" si="2074">AI695</f>
        <v>0</v>
      </c>
      <c r="AJ696" s="413">
        <f t="shared" ref="AJ696" si="2075">AJ695</f>
        <v>0</v>
      </c>
      <c r="AK696" s="413">
        <f t="shared" ref="AK696" si="2076">AK695</f>
        <v>0</v>
      </c>
      <c r="AL696" s="413">
        <f t="shared" ref="AL696" si="2077">AL695</f>
        <v>0</v>
      </c>
      <c r="AM696" s="308"/>
    </row>
    <row r="697" spans="1:39" hidden="1" outlineLevel="1">
      <c r="A697" s="532"/>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2">
        <v>34</v>
      </c>
      <c r="B698" s="430" t="s">
        <v>127</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2"/>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78">Z698</f>
        <v>0</v>
      </c>
      <c r="AA699" s="413">
        <f t="shared" ref="AA699" si="2079">AA698</f>
        <v>0</v>
      </c>
      <c r="AB699" s="413">
        <f t="shared" ref="AB699" si="2080">AB698</f>
        <v>0</v>
      </c>
      <c r="AC699" s="413">
        <f t="shared" ref="AC699" si="2081">AC698</f>
        <v>0</v>
      </c>
      <c r="AD699" s="413">
        <f t="shared" ref="AD699" si="2082">AD698</f>
        <v>0</v>
      </c>
      <c r="AE699" s="413">
        <f t="shared" ref="AE699" si="2083">AE698</f>
        <v>0</v>
      </c>
      <c r="AF699" s="413">
        <f t="shared" ref="AF699" si="2084">AF698</f>
        <v>0</v>
      </c>
      <c r="AG699" s="413">
        <f t="shared" ref="AG699" si="2085">AG698</f>
        <v>0</v>
      </c>
      <c r="AH699" s="413">
        <f t="shared" ref="AH699" si="2086">AH698</f>
        <v>0</v>
      </c>
      <c r="AI699" s="413">
        <f t="shared" ref="AI699" si="2087">AI698</f>
        <v>0</v>
      </c>
      <c r="AJ699" s="413">
        <f t="shared" ref="AJ699" si="2088">AJ698</f>
        <v>0</v>
      </c>
      <c r="AK699" s="413">
        <f t="shared" ref="AK699" si="2089">AK698</f>
        <v>0</v>
      </c>
      <c r="AL699" s="413">
        <f t="shared" ref="AL699" si="2090">AL698</f>
        <v>0</v>
      </c>
      <c r="AM699" s="308"/>
    </row>
    <row r="700" spans="1:39" hidden="1" outlineLevel="1">
      <c r="A700" s="532"/>
      <c r="B700" s="430"/>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idden="1" outlineLevel="1">
      <c r="A701" s="532">
        <v>35</v>
      </c>
      <c r="B701" s="430" t="s">
        <v>128</v>
      </c>
      <c r="C701" s="293" t="s">
        <v>25</v>
      </c>
      <c r="D701" s="297">
        <v>48240.44814704312</v>
      </c>
      <c r="E701" s="297">
        <f>E518/$D518*$D701</f>
        <v>48240.44814704312</v>
      </c>
      <c r="F701" s="297">
        <f t="shared" ref="F701:M701" si="2091">F518/$D518*$D701</f>
        <v>48240.44814704312</v>
      </c>
      <c r="G701" s="297">
        <f t="shared" si="2091"/>
        <v>48240.44814704312</v>
      </c>
      <c r="H701" s="297">
        <f t="shared" si="2091"/>
        <v>0</v>
      </c>
      <c r="I701" s="297">
        <f t="shared" si="2091"/>
        <v>0</v>
      </c>
      <c r="J701" s="297">
        <f t="shared" si="2091"/>
        <v>0</v>
      </c>
      <c r="K701" s="297">
        <f t="shared" si="2091"/>
        <v>0</v>
      </c>
      <c r="L701" s="297">
        <f t="shared" si="2091"/>
        <v>0</v>
      </c>
      <c r="M701" s="297">
        <f t="shared" si="2091"/>
        <v>0</v>
      </c>
      <c r="N701" s="297">
        <v>0</v>
      </c>
      <c r="O701" s="297">
        <v>0</v>
      </c>
      <c r="P701" s="297">
        <f>P518/$O518*$O701</f>
        <v>0</v>
      </c>
      <c r="Q701" s="297">
        <f t="shared" ref="Q701:X701" si="2092">Q518/$O518*$O701</f>
        <v>0</v>
      </c>
      <c r="R701" s="297">
        <f t="shared" si="2092"/>
        <v>0</v>
      </c>
      <c r="S701" s="297">
        <f t="shared" si="2092"/>
        <v>0</v>
      </c>
      <c r="T701" s="297">
        <f t="shared" si="2092"/>
        <v>0</v>
      </c>
      <c r="U701" s="297">
        <f t="shared" si="2092"/>
        <v>0</v>
      </c>
      <c r="V701" s="297">
        <f t="shared" si="2092"/>
        <v>0</v>
      </c>
      <c r="W701" s="297">
        <f t="shared" si="2092"/>
        <v>0</v>
      </c>
      <c r="X701" s="297">
        <f t="shared" si="2092"/>
        <v>0</v>
      </c>
      <c r="Y701" s="428">
        <v>1</v>
      </c>
      <c r="Z701" s="412"/>
      <c r="AA701" s="412"/>
      <c r="AB701" s="412"/>
      <c r="AC701" s="412"/>
      <c r="AD701" s="412"/>
      <c r="AE701" s="412"/>
      <c r="AF701" s="417"/>
      <c r="AG701" s="417"/>
      <c r="AH701" s="417"/>
      <c r="AI701" s="417"/>
      <c r="AJ701" s="417"/>
      <c r="AK701" s="417"/>
      <c r="AL701" s="417"/>
      <c r="AM701" s="298">
        <f>SUM(Y701:AL701)</f>
        <v>1</v>
      </c>
    </row>
    <row r="702" spans="1:39" hidden="1" outlineLevel="1">
      <c r="A702" s="532"/>
      <c r="B702" s="296" t="s">
        <v>311</v>
      </c>
      <c r="C702" s="293" t="s">
        <v>164</v>
      </c>
      <c r="D702" s="297"/>
      <c r="E702" s="297"/>
      <c r="F702" s="297"/>
      <c r="G702" s="297"/>
      <c r="H702" s="297"/>
      <c r="I702" s="297"/>
      <c r="J702" s="297"/>
      <c r="K702" s="297"/>
      <c r="L702" s="297"/>
      <c r="M702" s="297"/>
      <c r="N702" s="297">
        <f>N701</f>
        <v>0</v>
      </c>
      <c r="O702" s="297"/>
      <c r="P702" s="297"/>
      <c r="Q702" s="297"/>
      <c r="R702" s="297"/>
      <c r="S702" s="297"/>
      <c r="T702" s="297"/>
      <c r="U702" s="297"/>
      <c r="V702" s="297"/>
      <c r="W702" s="297"/>
      <c r="X702" s="297"/>
      <c r="Y702" s="413">
        <f>Y701</f>
        <v>1</v>
      </c>
      <c r="Z702" s="413">
        <f t="shared" ref="Z702" si="2093">Z701</f>
        <v>0</v>
      </c>
      <c r="AA702" s="413">
        <f t="shared" ref="AA702" si="2094">AA701</f>
        <v>0</v>
      </c>
      <c r="AB702" s="413">
        <f t="shared" ref="AB702" si="2095">AB701</f>
        <v>0</v>
      </c>
      <c r="AC702" s="413">
        <f t="shared" ref="AC702" si="2096">AC701</f>
        <v>0</v>
      </c>
      <c r="AD702" s="413">
        <f t="shared" ref="AD702" si="2097">AD701</f>
        <v>0</v>
      </c>
      <c r="AE702" s="413">
        <f t="shared" ref="AE702" si="2098">AE701</f>
        <v>0</v>
      </c>
      <c r="AF702" s="413">
        <f t="shared" ref="AF702" si="2099">AF701</f>
        <v>0</v>
      </c>
      <c r="AG702" s="413">
        <f t="shared" ref="AG702" si="2100">AG701</f>
        <v>0</v>
      </c>
      <c r="AH702" s="413">
        <f t="shared" ref="AH702" si="2101">AH701</f>
        <v>0</v>
      </c>
      <c r="AI702" s="413">
        <f t="shared" ref="AI702" si="2102">AI701</f>
        <v>0</v>
      </c>
      <c r="AJ702" s="413">
        <f t="shared" ref="AJ702" si="2103">AJ701</f>
        <v>0</v>
      </c>
      <c r="AK702" s="413">
        <f t="shared" ref="AK702" si="2104">AK701</f>
        <v>0</v>
      </c>
      <c r="AL702" s="413">
        <f t="shared" ref="AL702" si="2105">AL701</f>
        <v>0</v>
      </c>
      <c r="AM702" s="308"/>
    </row>
    <row r="703" spans="1:39" hidden="1" outlineLevel="1">
      <c r="A703" s="532"/>
      <c r="B703" s="433"/>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414"/>
      <c r="Z703" s="427"/>
      <c r="AA703" s="427"/>
      <c r="AB703" s="427"/>
      <c r="AC703" s="427"/>
      <c r="AD703" s="427"/>
      <c r="AE703" s="427"/>
      <c r="AF703" s="427"/>
      <c r="AG703" s="427"/>
      <c r="AH703" s="427"/>
      <c r="AI703" s="427"/>
      <c r="AJ703" s="427"/>
      <c r="AK703" s="427"/>
      <c r="AL703" s="427"/>
      <c r="AM703" s="308"/>
    </row>
    <row r="704" spans="1:39" ht="15.75" hidden="1" outlineLevel="1">
      <c r="A704" s="532"/>
      <c r="B704" s="290" t="s">
        <v>504</v>
      </c>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45" hidden="1" outlineLevel="1">
      <c r="A705" s="532">
        <v>36</v>
      </c>
      <c r="B705" s="430" t="s">
        <v>129</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2"/>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2"/>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t="30" hidden="1" outlineLevel="1">
      <c r="A708" s="532">
        <v>37</v>
      </c>
      <c r="B708" s="430" t="s">
        <v>130</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2"/>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2"/>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idden="1" outlineLevel="1">
      <c r="A711" s="532">
        <v>38</v>
      </c>
      <c r="B711" s="430" t="s">
        <v>131</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2"/>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2"/>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2">
        <v>39</v>
      </c>
      <c r="B714" s="430" t="s">
        <v>132</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2"/>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2"/>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30" hidden="1" outlineLevel="1">
      <c r="A717" s="532">
        <v>40</v>
      </c>
      <c r="B717" s="430" t="s">
        <v>133</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2"/>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2"/>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2">
        <v>41</v>
      </c>
      <c r="B720" s="430" t="s">
        <v>134</v>
      </c>
      <c r="C720" s="293" t="s">
        <v>25</v>
      </c>
      <c r="D720" s="297"/>
      <c r="E720" s="297"/>
      <c r="F720" s="297"/>
      <c r="G720" s="297"/>
      <c r="H720" s="297"/>
      <c r="I720" s="297"/>
      <c r="J720" s="297"/>
      <c r="K720" s="297"/>
      <c r="L720" s="297"/>
      <c r="M720" s="297"/>
      <c r="N720" s="297">
        <v>0</v>
      </c>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2"/>
      <c r="B721" s="296" t="s">
        <v>311</v>
      </c>
      <c r="C721" s="293" t="s">
        <v>164</v>
      </c>
      <c r="D721" s="297"/>
      <c r="E721" s="297"/>
      <c r="F721" s="297"/>
      <c r="G721" s="297"/>
      <c r="H721" s="297"/>
      <c r="I721" s="297"/>
      <c r="J721" s="297"/>
      <c r="K721" s="297"/>
      <c r="L721" s="297"/>
      <c r="M721" s="297"/>
      <c r="N721" s="297">
        <f>N720</f>
        <v>0</v>
      </c>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2"/>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45" hidden="1" outlineLevel="1">
      <c r="A723" s="532">
        <v>42</v>
      </c>
      <c r="B723" s="430" t="s">
        <v>135</v>
      </c>
      <c r="C723" s="293" t="s">
        <v>25</v>
      </c>
      <c r="D723" s="297"/>
      <c r="E723" s="297"/>
      <c r="F723" s="297"/>
      <c r="G723" s="297"/>
      <c r="H723" s="297"/>
      <c r="I723" s="297"/>
      <c r="J723" s="297"/>
      <c r="K723" s="297"/>
      <c r="L723" s="297"/>
      <c r="M723" s="297"/>
      <c r="N723" s="293"/>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2"/>
      <c r="B724" s="296" t="s">
        <v>311</v>
      </c>
      <c r="C724" s="293" t="s">
        <v>164</v>
      </c>
      <c r="D724" s="297"/>
      <c r="E724" s="297"/>
      <c r="F724" s="297"/>
      <c r="G724" s="297"/>
      <c r="H724" s="297"/>
      <c r="I724" s="297"/>
      <c r="J724" s="297"/>
      <c r="K724" s="297"/>
      <c r="L724" s="297"/>
      <c r="M724" s="297"/>
      <c r="N724" s="469"/>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2"/>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30" hidden="1" outlineLevel="1">
      <c r="A726" s="532">
        <v>43</v>
      </c>
      <c r="B726" s="430" t="s">
        <v>136</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2"/>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2"/>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45" hidden="1" outlineLevel="1">
      <c r="A729" s="532">
        <v>44</v>
      </c>
      <c r="B729" s="430" t="s">
        <v>137</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2"/>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2"/>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2">
        <v>45</v>
      </c>
      <c r="B732" s="430" t="s">
        <v>138</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2"/>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2"/>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2">
        <v>46</v>
      </c>
      <c r="B735" s="430" t="s">
        <v>139</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2"/>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2"/>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30" hidden="1" outlineLevel="1">
      <c r="A738" s="532">
        <v>47</v>
      </c>
      <c r="B738" s="430" t="s">
        <v>140</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2"/>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2"/>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45" hidden="1" outlineLevel="1">
      <c r="A741" s="532">
        <v>48</v>
      </c>
      <c r="B741" s="430" t="s">
        <v>141</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2"/>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2"/>
      <c r="B743" s="430"/>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27"/>
      <c r="AA743" s="427"/>
      <c r="AB743" s="427"/>
      <c r="AC743" s="427"/>
      <c r="AD743" s="427"/>
      <c r="AE743" s="427"/>
      <c r="AF743" s="427"/>
      <c r="AG743" s="427"/>
      <c r="AH743" s="427"/>
      <c r="AI743" s="427"/>
      <c r="AJ743" s="427"/>
      <c r="AK743" s="427"/>
      <c r="AL743" s="427"/>
      <c r="AM743" s="308"/>
    </row>
    <row r="744" spans="1:40" ht="30" hidden="1" outlineLevel="1">
      <c r="A744" s="532">
        <v>49</v>
      </c>
      <c r="B744" s="430" t="s">
        <v>142</v>
      </c>
      <c r="C744" s="293" t="s">
        <v>25</v>
      </c>
      <c r="D744" s="297"/>
      <c r="E744" s="297"/>
      <c r="F744" s="297"/>
      <c r="G744" s="297"/>
      <c r="H744" s="297"/>
      <c r="I744" s="297"/>
      <c r="J744" s="297"/>
      <c r="K744" s="297"/>
      <c r="L744" s="297"/>
      <c r="M744" s="297"/>
      <c r="N744" s="297">
        <v>0</v>
      </c>
      <c r="O744" s="297"/>
      <c r="P744" s="297"/>
      <c r="Q744" s="297"/>
      <c r="R744" s="297"/>
      <c r="S744" s="297"/>
      <c r="T744" s="297"/>
      <c r="U744" s="297"/>
      <c r="V744" s="297"/>
      <c r="W744" s="297"/>
      <c r="X744" s="297"/>
      <c r="Y744" s="428"/>
      <c r="Z744" s="412"/>
      <c r="AA744" s="412"/>
      <c r="AB744" s="412"/>
      <c r="AC744" s="412"/>
      <c r="AD744" s="412"/>
      <c r="AE744" s="412"/>
      <c r="AF744" s="417"/>
      <c r="AG744" s="417"/>
      <c r="AH744" s="417"/>
      <c r="AI744" s="417"/>
      <c r="AJ744" s="417"/>
      <c r="AK744" s="417"/>
      <c r="AL744" s="417"/>
      <c r="AM744" s="298">
        <f>SUM(Y744:AL744)</f>
        <v>0</v>
      </c>
    </row>
    <row r="745" spans="1:40" hidden="1" outlineLevel="1">
      <c r="A745" s="532"/>
      <c r="B745" s="296" t="s">
        <v>311</v>
      </c>
      <c r="C745" s="293" t="s">
        <v>164</v>
      </c>
      <c r="D745" s="297"/>
      <c r="E745" s="297"/>
      <c r="F745" s="297"/>
      <c r="G745" s="297"/>
      <c r="H745" s="297"/>
      <c r="I745" s="297"/>
      <c r="J745" s="297"/>
      <c r="K745" s="297"/>
      <c r="L745" s="297"/>
      <c r="M745" s="297"/>
      <c r="N745" s="297">
        <f>N744</f>
        <v>0</v>
      </c>
      <c r="O745" s="297"/>
      <c r="P745" s="297"/>
      <c r="Q745" s="297"/>
      <c r="R745" s="297"/>
      <c r="S745" s="297"/>
      <c r="T745" s="297"/>
      <c r="U745" s="297"/>
      <c r="V745" s="297"/>
      <c r="W745" s="297"/>
      <c r="X745" s="297"/>
      <c r="Y745" s="413">
        <f>Y744</f>
        <v>0</v>
      </c>
      <c r="Z745" s="413">
        <f t="shared" ref="Z745" si="2275">Z744</f>
        <v>0</v>
      </c>
      <c r="AA745" s="413">
        <f t="shared" ref="AA745" si="2276">AA744</f>
        <v>0</v>
      </c>
      <c r="AB745" s="413">
        <f t="shared" ref="AB745" si="2277">AB744</f>
        <v>0</v>
      </c>
      <c r="AC745" s="413">
        <f t="shared" ref="AC745" si="2278">AC744</f>
        <v>0</v>
      </c>
      <c r="AD745" s="413">
        <f t="shared" ref="AD745" si="2279">AD744</f>
        <v>0</v>
      </c>
      <c r="AE745" s="413">
        <f t="shared" ref="AE745" si="2280">AE744</f>
        <v>0</v>
      </c>
      <c r="AF745" s="413">
        <f t="shared" ref="AF745" si="2281">AF744</f>
        <v>0</v>
      </c>
      <c r="AG745" s="413">
        <f t="shared" ref="AG745" si="2282">AG744</f>
        <v>0</v>
      </c>
      <c r="AH745" s="413">
        <f t="shared" ref="AH745" si="2283">AH744</f>
        <v>0</v>
      </c>
      <c r="AI745" s="413">
        <f t="shared" ref="AI745" si="2284">AI744</f>
        <v>0</v>
      </c>
      <c r="AJ745" s="413">
        <f t="shared" ref="AJ745" si="2285">AJ744</f>
        <v>0</v>
      </c>
      <c r="AK745" s="413">
        <f t="shared" ref="AK745" si="2286">AK744</f>
        <v>0</v>
      </c>
      <c r="AL745" s="413">
        <f t="shared" ref="AL745" si="2287">AL744</f>
        <v>0</v>
      </c>
      <c r="AM745" s="308"/>
    </row>
    <row r="746" spans="1:40" hidden="1" outlineLevel="1">
      <c r="A746" s="532"/>
      <c r="B746" s="296"/>
      <c r="C746" s="307"/>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414"/>
      <c r="Z746" s="414"/>
      <c r="AA746" s="414"/>
      <c r="AB746" s="414"/>
      <c r="AC746" s="414"/>
      <c r="AD746" s="414"/>
      <c r="AE746" s="414"/>
      <c r="AF746" s="414"/>
      <c r="AG746" s="414"/>
      <c r="AH746" s="414"/>
      <c r="AI746" s="414"/>
      <c r="AJ746" s="414"/>
      <c r="AK746" s="414"/>
      <c r="AL746" s="414"/>
      <c r="AM746" s="308"/>
    </row>
    <row r="747" spans="1:40" ht="15.75" collapsed="1">
      <c r="B747" s="329" t="s">
        <v>312</v>
      </c>
      <c r="C747" s="331"/>
      <c r="D747" s="331">
        <f>SUM(D590:D745)</f>
        <v>653581.44362689892</v>
      </c>
      <c r="E747" s="331"/>
      <c r="F747" s="331"/>
      <c r="G747" s="331"/>
      <c r="H747" s="331"/>
      <c r="I747" s="331"/>
      <c r="J747" s="331"/>
      <c r="K747" s="331"/>
      <c r="L747" s="331"/>
      <c r="M747" s="331"/>
      <c r="N747" s="331"/>
      <c r="O747" s="331">
        <f>SUM(O590:O745)</f>
        <v>90.810792972469045</v>
      </c>
      <c r="P747" s="331"/>
      <c r="Q747" s="331"/>
      <c r="R747" s="331"/>
      <c r="S747" s="331"/>
      <c r="T747" s="331"/>
      <c r="U747" s="331"/>
      <c r="V747" s="331"/>
      <c r="W747" s="331"/>
      <c r="X747" s="331"/>
      <c r="Y747" s="331">
        <f>IF(Y588="kWh",SUMPRODUCT(D590:D745,Y590:Y745))</f>
        <v>384114.1804640257</v>
      </c>
      <c r="Z747" s="331">
        <f>IF(Z588="kWh",SUMPRODUCT(D590:D745,Z590:Z745))</f>
        <v>24544.112735547347</v>
      </c>
      <c r="AA747" s="331">
        <f>IF(AA588="kw",SUMPRODUCT(N590:N745,O590:O745,AA590:AA745),SUMPRODUCT(D590:D745,AA590:AA745))</f>
        <v>524.04052922977621</v>
      </c>
      <c r="AB747" s="331">
        <f>IF(AB588="kw",SUMPRODUCT(N590:N745,O590:O745,AB590:AB745),SUMPRODUCT(D590:D745,AB590:AB745))</f>
        <v>0</v>
      </c>
      <c r="AC747" s="331">
        <f>IF(AC588="kw",SUMPRODUCT(N590:N745,O590:O745,AC590:AC745),SUMPRODUCT(D590:D745,AC590:AC745))</f>
        <v>0</v>
      </c>
      <c r="AD747" s="331">
        <f>IF(AD588="kw",SUMPRODUCT(N590:N745,O590:O745,AD590:AD745),SUMPRODUCT(D590:D745,AD590:AD745))</f>
        <v>0</v>
      </c>
      <c r="AE747" s="331">
        <f>IF(AE588="kw",SUMPRODUCT(N590:N745,O590:O745,AE590:AE745),SUMPRODUCT(D590:D745,AE590:AE745))</f>
        <v>0</v>
      </c>
      <c r="AF747" s="331">
        <f>IF(AF588="kw",SUMPRODUCT(N590:N745,O590:O745,AF590:AF745),SUMPRODUCT(D590:D745,AF590:AF745))</f>
        <v>0</v>
      </c>
      <c r="AG747" s="331">
        <f>IF(AG588="kw",SUMPRODUCT(N590:N745,O590:O745,AG590:AG745),SUMPRODUCT(D590:D745,AG590:AG745))</f>
        <v>0</v>
      </c>
      <c r="AH747" s="331">
        <f>IF(AH588="kw",SUMPRODUCT(N590:N745,O590:O745,AH590:AH745),SUMPRODUCT(D590:D745,AH590:AH745))</f>
        <v>0</v>
      </c>
      <c r="AI747" s="331">
        <f>IF(AI588="kw",SUMPRODUCT(N590:N745,O590:O745,AI590:AI745),SUMPRODUCT(D590:D745,AI590:AI745))</f>
        <v>0</v>
      </c>
      <c r="AJ747" s="331">
        <f>IF(AJ588="kw",SUMPRODUCT(N590:N745,O590:O745,AJ590:AJ745),SUMPRODUCT(D590:D745,AJ590:AJ745))</f>
        <v>0</v>
      </c>
      <c r="AK747" s="331">
        <f>IF(AK588="kw",SUMPRODUCT(N590:N745,O590:O745,AK590:AK745),SUMPRODUCT(D590:D745,AK590:AK745))</f>
        <v>0</v>
      </c>
      <c r="AL747" s="331">
        <f>IF(AL588="kw",SUMPRODUCT(N590:N745,O590:O745,AL590:AL745),SUMPRODUCT(D590:D745,AL590:AL745))</f>
        <v>0</v>
      </c>
      <c r="AM747" s="332"/>
    </row>
    <row r="748" spans="1:40" ht="15.75">
      <c r="B748" s="393" t="s">
        <v>313</v>
      </c>
      <c r="C748" s="394"/>
      <c r="D748" s="394"/>
      <c r="E748" s="394"/>
      <c r="F748" s="394"/>
      <c r="G748" s="394"/>
      <c r="H748" s="394"/>
      <c r="I748" s="394"/>
      <c r="J748" s="394"/>
      <c r="K748" s="394"/>
      <c r="L748" s="394"/>
      <c r="M748" s="394"/>
      <c r="N748" s="394"/>
      <c r="O748" s="394"/>
      <c r="P748" s="394"/>
      <c r="Q748" s="394"/>
      <c r="R748" s="394"/>
      <c r="S748" s="394"/>
      <c r="T748" s="394"/>
      <c r="U748" s="394"/>
      <c r="V748" s="394"/>
      <c r="W748" s="394"/>
      <c r="X748" s="394"/>
      <c r="Y748" s="394">
        <f>HLOOKUP(Y404,'2. LRAMVA Threshold'!$B$42:$Q$53,10,FALSE)</f>
        <v>1345003</v>
      </c>
      <c r="Z748" s="394">
        <f>HLOOKUP(Z404,'2. LRAMVA Threshold'!$B$42:$Q$53,10,FALSE)</f>
        <v>543085</v>
      </c>
      <c r="AA748" s="394">
        <f>HLOOKUP(AA404,'2. LRAMVA Threshold'!$B$42:$Q$53,10,FALSE)</f>
        <v>10671</v>
      </c>
      <c r="AB748" s="394">
        <f>HLOOKUP(AB404,'2. LRAMVA Threshold'!$B$42:$Q$53,10,FALSE)</f>
        <v>196</v>
      </c>
      <c r="AC748" s="394">
        <f>HLOOKUP(AC404,'2. LRAMVA Threshold'!$B$42:$Q$53,10,FALSE)</f>
        <v>4684</v>
      </c>
      <c r="AD748" s="394">
        <f>HLOOKUP(AD404,'2. LRAMVA Threshold'!$B$42:$Q$53,10,FALSE)</f>
        <v>0</v>
      </c>
      <c r="AE748" s="394">
        <f>HLOOKUP(AE404,'2. LRAMVA Threshold'!$B$42:$Q$53,10,FALSE)</f>
        <v>0</v>
      </c>
      <c r="AF748" s="394">
        <f>HLOOKUP(AF404,'2. LRAMVA Threshold'!$B$42:$Q$53,10,FALSE)</f>
        <v>0</v>
      </c>
      <c r="AG748" s="394">
        <f>HLOOKUP(AG404,'2. LRAMVA Threshold'!$B$42:$Q$53,10,FALSE)</f>
        <v>0</v>
      </c>
      <c r="AH748" s="394">
        <f>HLOOKUP(AH404,'2. LRAMVA Threshold'!$B$42:$Q$53,10,FALSE)</f>
        <v>0</v>
      </c>
      <c r="AI748" s="394">
        <f>HLOOKUP(AI404,'2. LRAMVA Threshold'!$B$42:$Q$53,10,FALSE)</f>
        <v>0</v>
      </c>
      <c r="AJ748" s="394">
        <f>HLOOKUP(AJ404,'2. LRAMVA Threshold'!$B$42:$Q$53,10,FALSE)</f>
        <v>0</v>
      </c>
      <c r="AK748" s="394">
        <f>HLOOKUP(AK404,'2. LRAMVA Threshold'!$B$42:$Q$53,10,FALSE)</f>
        <v>0</v>
      </c>
      <c r="AL748" s="394">
        <f>HLOOKUP(AL404,'2. LRAMVA Threshold'!$B$42:$Q$53,10,FALSE)</f>
        <v>0</v>
      </c>
      <c r="AM748" s="444"/>
    </row>
    <row r="749" spans="1:40">
      <c r="B749" s="396"/>
      <c r="C749" s="434"/>
      <c r="D749" s="435"/>
      <c r="E749" s="435"/>
      <c r="F749" s="435"/>
      <c r="G749" s="435"/>
      <c r="H749" s="435"/>
      <c r="I749" s="435"/>
      <c r="J749" s="435"/>
      <c r="K749" s="435"/>
      <c r="L749" s="435"/>
      <c r="M749" s="435"/>
      <c r="N749" s="435"/>
      <c r="O749" s="436"/>
      <c r="P749" s="435"/>
      <c r="Q749" s="435"/>
      <c r="R749" s="435"/>
      <c r="S749" s="437"/>
      <c r="T749" s="437"/>
      <c r="U749" s="437"/>
      <c r="V749" s="437"/>
      <c r="W749" s="435"/>
      <c r="X749" s="435"/>
      <c r="Y749" s="438"/>
      <c r="Z749" s="438"/>
      <c r="AA749" s="438"/>
      <c r="AB749" s="438"/>
      <c r="AC749" s="438"/>
      <c r="AD749" s="438"/>
      <c r="AE749" s="438"/>
      <c r="AF749" s="401"/>
      <c r="AG749" s="401"/>
      <c r="AH749" s="401"/>
      <c r="AI749" s="401"/>
      <c r="AJ749" s="401"/>
      <c r="AK749" s="401"/>
      <c r="AL749" s="401"/>
      <c r="AM749" s="402"/>
    </row>
    <row r="750" spans="1:40">
      <c r="B750" s="326" t="s">
        <v>314</v>
      </c>
      <c r="C750" s="340"/>
      <c r="D750" s="340"/>
      <c r="E750" s="378"/>
      <c r="F750" s="378"/>
      <c r="G750" s="378"/>
      <c r="H750" s="378"/>
      <c r="I750" s="378"/>
      <c r="J750" s="378"/>
      <c r="K750" s="378"/>
      <c r="L750" s="378"/>
      <c r="M750" s="378"/>
      <c r="N750" s="378"/>
      <c r="O750" s="293"/>
      <c r="P750" s="342"/>
      <c r="Q750" s="342"/>
      <c r="R750" s="342"/>
      <c r="S750" s="341"/>
      <c r="T750" s="341"/>
      <c r="U750" s="341"/>
      <c r="V750" s="341"/>
      <c r="W750" s="342"/>
      <c r="X750" s="342"/>
      <c r="Y750" s="343">
        <f>HLOOKUP(Y$35,'3.  Distribution Rates'!$C$122:$P$133,10,FALSE)</f>
        <v>7.1000000000000004E-3</v>
      </c>
      <c r="Z750" s="343">
        <f>HLOOKUP(Z$35,'3.  Distribution Rates'!$C$122:$P$133,10,FALSE)</f>
        <v>1.41E-2</v>
      </c>
      <c r="AA750" s="343">
        <f>HLOOKUP(AA$35,'3.  Distribution Rates'!$C$122:$P$133,10,FALSE)</f>
        <v>3.3248000000000002</v>
      </c>
      <c r="AB750" s="343">
        <f>HLOOKUP(AB$35,'3.  Distribution Rates'!$C$122:$P$133,10,FALSE)</f>
        <v>15.6023</v>
      </c>
      <c r="AC750" s="343">
        <f>HLOOKUP(AC$35,'3.  Distribution Rates'!$C$122:$P$133,10,FALSE)</f>
        <v>1.2200000000000001E-2</v>
      </c>
      <c r="AD750" s="343">
        <f>HLOOKUP(AD$35,'3.  Distribution Rates'!$C$122:$P$133,10,FALSE)</f>
        <v>0</v>
      </c>
      <c r="AE750" s="343">
        <f>HLOOKUP(AE$35,'3.  Distribution Rates'!$C$122:$P$133,10,FALSE)</f>
        <v>0</v>
      </c>
      <c r="AF750" s="343">
        <f>HLOOKUP(AF$35,'3.  Distribution Rates'!$C$122:$P$133,10,FALSE)</f>
        <v>0</v>
      </c>
      <c r="AG750" s="343">
        <f>HLOOKUP(AG$35,'3.  Distribution Rates'!$C$122:$P$133,10,FALSE)</f>
        <v>0</v>
      </c>
      <c r="AH750" s="343">
        <f>HLOOKUP(AH$35,'3.  Distribution Rates'!$C$122:$P$133,10,FALSE)</f>
        <v>0</v>
      </c>
      <c r="AI750" s="343">
        <f>HLOOKUP(AI$35,'3.  Distribution Rates'!$C$122:$P$133,10,FALSE)</f>
        <v>0</v>
      </c>
      <c r="AJ750" s="343">
        <f>HLOOKUP(AJ$35,'3.  Distribution Rates'!$C$122:$P$133,10,FALSE)</f>
        <v>0</v>
      </c>
      <c r="AK750" s="343">
        <f>HLOOKUP(AK$35,'3.  Distribution Rates'!$C$122:$P$133,10,FALSE)</f>
        <v>0</v>
      </c>
      <c r="AL750" s="343">
        <f>HLOOKUP(AL$35,'3.  Distribution Rates'!$C$122:$P$133,10,FALSE)</f>
        <v>0</v>
      </c>
      <c r="AM750" s="350"/>
      <c r="AN750" s="445"/>
    </row>
    <row r="751" spans="1:40">
      <c r="B751" s="326" t="s">
        <v>315</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LRAM'!Y141*Y750</f>
        <v>1069.4906140768419</v>
      </c>
      <c r="Z751" s="380">
        <f>'4.  2011-2014 LRAM'!Z141*Z750</f>
        <v>2400.3114455869818</v>
      </c>
      <c r="AA751" s="380">
        <f>'4.  2011-2014 LRAM'!AA141*AA750</f>
        <v>1741.8095232000001</v>
      </c>
      <c r="AB751" s="380">
        <f>'4.  2011-2014 LRAM'!AB141*AB750</f>
        <v>0</v>
      </c>
      <c r="AC751" s="380">
        <f>'4.  2011-2014 LRAM'!AC141*AC750</f>
        <v>0</v>
      </c>
      <c r="AD751" s="380">
        <f>'4.  2011-2014 LRAM'!AD141*AD750</f>
        <v>0</v>
      </c>
      <c r="AE751" s="380">
        <f>'4.  2011-2014 LRAM'!AE141*AE750</f>
        <v>0</v>
      </c>
      <c r="AF751" s="380">
        <f>'4.  2011-2014 LRAM'!AF141*AF750</f>
        <v>0</v>
      </c>
      <c r="AG751" s="380">
        <f>'4.  2011-2014 LRAM'!AG141*AG750</f>
        <v>0</v>
      </c>
      <c r="AH751" s="380">
        <f>'4.  2011-2014 LRAM'!AH141*AH750</f>
        <v>0</v>
      </c>
      <c r="AI751" s="380">
        <f>'4.  2011-2014 LRAM'!AI141*AI750</f>
        <v>0</v>
      </c>
      <c r="AJ751" s="380">
        <f>'4.  2011-2014 LRAM'!AJ141*AJ750</f>
        <v>0</v>
      </c>
      <c r="AK751" s="380">
        <f>'4.  2011-2014 LRAM'!AK141*AK750</f>
        <v>0</v>
      </c>
      <c r="AL751" s="380">
        <f>'4.  2011-2014 LRAM'!AL141*AL750</f>
        <v>0</v>
      </c>
      <c r="AM751" s="629">
        <f t="shared" ref="AM751:AM758" si="2288">SUM(Y751:AL751)</f>
        <v>5211.6115828638231</v>
      </c>
      <c r="AN751" s="445"/>
    </row>
    <row r="752" spans="1:40">
      <c r="B752" s="326" t="s">
        <v>316</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'4.  2011-2014 LRAM'!Y270*Y750</f>
        <v>718.27966078777411</v>
      </c>
      <c r="Z752" s="380">
        <f>'4.  2011-2014 LRAM'!Z270*Z750</f>
        <v>15398.480413790794</v>
      </c>
      <c r="AA752" s="380">
        <f>'4.  2011-2014 LRAM'!AA270*AA750</f>
        <v>1433.3709161822674</v>
      </c>
      <c r="AB752" s="380">
        <f>'4.  2011-2014 LRAM'!AB270*AB750</f>
        <v>0</v>
      </c>
      <c r="AC752" s="380">
        <f>'4.  2011-2014 LRAM'!AC270*AC750</f>
        <v>0</v>
      </c>
      <c r="AD752" s="380">
        <f>'4.  2011-2014 LRAM'!AD270*AD750</f>
        <v>0</v>
      </c>
      <c r="AE752" s="380">
        <f>'4.  2011-2014 LRAM'!AE270*AE750</f>
        <v>0</v>
      </c>
      <c r="AF752" s="380">
        <f>'4.  2011-2014 LRAM'!AF270*AF750</f>
        <v>0</v>
      </c>
      <c r="AG752" s="380">
        <f>'4.  2011-2014 LRAM'!AG270*AG750</f>
        <v>0</v>
      </c>
      <c r="AH752" s="380">
        <f>'4.  2011-2014 LRAM'!AH270*AH750</f>
        <v>0</v>
      </c>
      <c r="AI752" s="380">
        <f>'4.  2011-2014 LRAM'!AI270*AI750</f>
        <v>0</v>
      </c>
      <c r="AJ752" s="380">
        <f>'4.  2011-2014 LRAM'!AJ270*AJ750</f>
        <v>0</v>
      </c>
      <c r="AK752" s="380">
        <f>'4.  2011-2014 LRAM'!AK270*AK750</f>
        <v>0</v>
      </c>
      <c r="AL752" s="380">
        <f>'4.  2011-2014 LRAM'!AL270*AL750</f>
        <v>0</v>
      </c>
      <c r="AM752" s="629">
        <f t="shared" si="2288"/>
        <v>17550.130990760834</v>
      </c>
      <c r="AN752" s="445"/>
    </row>
    <row r="753" spans="2:40">
      <c r="B753" s="326" t="s">
        <v>317</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'4.  2011-2014 LRAM'!Y399*Y750</f>
        <v>999.75778777509925</v>
      </c>
      <c r="Z753" s="380">
        <f>'4.  2011-2014 LRAM'!Z399*Z750</f>
        <v>15270.815036850703</v>
      </c>
      <c r="AA753" s="380">
        <f>'4.  2011-2014 LRAM'!AA399*AA750</f>
        <v>869.56555908875862</v>
      </c>
      <c r="AB753" s="380">
        <f>'4.  2011-2014 LRAM'!AB399*AB750</f>
        <v>0</v>
      </c>
      <c r="AC753" s="380">
        <f>'4.  2011-2014 LRAM'!AC399*AC750</f>
        <v>0</v>
      </c>
      <c r="AD753" s="380">
        <f>'4.  2011-2014 LRAM'!AD399*AD750</f>
        <v>0</v>
      </c>
      <c r="AE753" s="380">
        <f>'4.  2011-2014 LRAM'!AE399*AE750</f>
        <v>0</v>
      </c>
      <c r="AF753" s="380">
        <f>'4.  2011-2014 LRAM'!AF399*AF750</f>
        <v>0</v>
      </c>
      <c r="AG753" s="380">
        <f>'4.  2011-2014 LRAM'!AG399*AG750</f>
        <v>0</v>
      </c>
      <c r="AH753" s="380">
        <f>'4.  2011-2014 LRAM'!AH399*AH750</f>
        <v>0</v>
      </c>
      <c r="AI753" s="380">
        <f>'4.  2011-2014 LRAM'!AI399*AI750</f>
        <v>0</v>
      </c>
      <c r="AJ753" s="380">
        <f>'4.  2011-2014 LRAM'!AJ399*AJ750</f>
        <v>0</v>
      </c>
      <c r="AK753" s="380">
        <f>'4.  2011-2014 LRAM'!AK399*AK750</f>
        <v>0</v>
      </c>
      <c r="AL753" s="380">
        <f>'4.  2011-2014 LRAM'!AL399*AL750</f>
        <v>0</v>
      </c>
      <c r="AM753" s="629">
        <f t="shared" si="2288"/>
        <v>17140.138383714562</v>
      </c>
      <c r="AN753" s="445"/>
    </row>
    <row r="754" spans="2:40">
      <c r="B754" s="326" t="s">
        <v>318</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'4.  2011-2014 LRAM'!Y529*Y750</f>
        <v>3743.2717277376842</v>
      </c>
      <c r="Z754" s="380">
        <f>'4.  2011-2014 LRAM'!Z529*Z750</f>
        <v>14355.576704607505</v>
      </c>
      <c r="AA754" s="380">
        <f>'4.  2011-2014 LRAM'!AA529*AA750</f>
        <v>756.48510596389201</v>
      </c>
      <c r="AB754" s="380">
        <f>'4.  2011-2014 LRAM'!AB529*AB750</f>
        <v>0</v>
      </c>
      <c r="AC754" s="380">
        <f>'4.  2011-2014 LRAM'!AC529*AC750</f>
        <v>0</v>
      </c>
      <c r="AD754" s="380">
        <f>'4.  2011-2014 LRAM'!AD529*AD750</f>
        <v>0</v>
      </c>
      <c r="AE754" s="380">
        <f>'4.  2011-2014 LRAM'!AE529*AE750</f>
        <v>0</v>
      </c>
      <c r="AF754" s="380">
        <f>'4.  2011-2014 LRAM'!AF529*AF750</f>
        <v>0</v>
      </c>
      <c r="AG754" s="380">
        <f>'4.  2011-2014 LRAM'!AG529*AG750</f>
        <v>0</v>
      </c>
      <c r="AH754" s="380">
        <f>'4.  2011-2014 LRAM'!AH529*AH750</f>
        <v>0</v>
      </c>
      <c r="AI754" s="380">
        <f>'4.  2011-2014 LRAM'!AI529*AI750</f>
        <v>0</v>
      </c>
      <c r="AJ754" s="380">
        <f>'4.  2011-2014 LRAM'!AJ529*AJ750</f>
        <v>0</v>
      </c>
      <c r="AK754" s="380">
        <f>'4.  2011-2014 LRAM'!AK529*AK750</f>
        <v>0</v>
      </c>
      <c r="AL754" s="380">
        <f>'4.  2011-2014 LRAM'!AL529*AL750</f>
        <v>0</v>
      </c>
      <c r="AM754" s="629">
        <f t="shared" si="2288"/>
        <v>18855.333538309082</v>
      </c>
      <c r="AN754" s="445"/>
    </row>
    <row r="755" spans="2:40">
      <c r="B755" s="326" t="s">
        <v>319</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 t="shared" ref="Y755:AL755" si="2289">Y210*Y750</f>
        <v>4101.3916487224833</v>
      </c>
      <c r="Z755" s="380">
        <f t="shared" si="2289"/>
        <v>13563.517055925418</v>
      </c>
      <c r="AA755" s="380">
        <f t="shared" si="2289"/>
        <v>2354.4191815763297</v>
      </c>
      <c r="AB755" s="380">
        <f t="shared" si="2289"/>
        <v>0</v>
      </c>
      <c r="AC755" s="380">
        <f t="shared" si="2289"/>
        <v>0</v>
      </c>
      <c r="AD755" s="380">
        <f t="shared" si="2289"/>
        <v>0</v>
      </c>
      <c r="AE755" s="380">
        <f t="shared" si="2289"/>
        <v>0</v>
      </c>
      <c r="AF755" s="380">
        <f t="shared" si="2289"/>
        <v>0</v>
      </c>
      <c r="AG755" s="380">
        <f t="shared" si="2289"/>
        <v>0</v>
      </c>
      <c r="AH755" s="380">
        <f t="shared" si="2289"/>
        <v>0</v>
      </c>
      <c r="AI755" s="380">
        <f t="shared" si="2289"/>
        <v>0</v>
      </c>
      <c r="AJ755" s="380">
        <f t="shared" si="2289"/>
        <v>0</v>
      </c>
      <c r="AK755" s="380">
        <f t="shared" si="2289"/>
        <v>0</v>
      </c>
      <c r="AL755" s="380">
        <f t="shared" si="2289"/>
        <v>0</v>
      </c>
      <c r="AM755" s="629">
        <f t="shared" si="2288"/>
        <v>20019.327886224233</v>
      </c>
      <c r="AN755" s="445"/>
    </row>
    <row r="756" spans="2:40">
      <c r="B756" s="326" t="s">
        <v>320</v>
      </c>
      <c r="C756" s="347"/>
      <c r="D756" s="311"/>
      <c r="E756" s="281"/>
      <c r="F756" s="281"/>
      <c r="G756" s="281"/>
      <c r="H756" s="281"/>
      <c r="I756" s="281"/>
      <c r="J756" s="281"/>
      <c r="K756" s="281"/>
      <c r="L756" s="281"/>
      <c r="M756" s="281"/>
      <c r="N756" s="281"/>
      <c r="O756" s="293"/>
      <c r="P756" s="281"/>
      <c r="Q756" s="281"/>
      <c r="R756" s="281"/>
      <c r="S756" s="311"/>
      <c r="T756" s="311"/>
      <c r="U756" s="311"/>
      <c r="V756" s="311"/>
      <c r="W756" s="281"/>
      <c r="X756" s="281"/>
      <c r="Y756" s="380">
        <f t="shared" ref="Y756:AL756" si="2290">Y396*Y750</f>
        <v>10843.083015649421</v>
      </c>
      <c r="Z756" s="380">
        <f t="shared" si="2290"/>
        <v>7110.6234259695275</v>
      </c>
      <c r="AA756" s="380">
        <f t="shared" si="2290"/>
        <v>3111.2228756548739</v>
      </c>
      <c r="AB756" s="380">
        <f t="shared" si="2290"/>
        <v>0</v>
      </c>
      <c r="AC756" s="380">
        <f t="shared" si="2290"/>
        <v>0</v>
      </c>
      <c r="AD756" s="380">
        <f t="shared" si="2290"/>
        <v>0</v>
      </c>
      <c r="AE756" s="380">
        <f t="shared" si="2290"/>
        <v>0</v>
      </c>
      <c r="AF756" s="380">
        <f t="shared" si="2290"/>
        <v>0</v>
      </c>
      <c r="AG756" s="380">
        <f t="shared" si="2290"/>
        <v>0</v>
      </c>
      <c r="AH756" s="380">
        <f t="shared" si="2290"/>
        <v>0</v>
      </c>
      <c r="AI756" s="380">
        <f t="shared" si="2290"/>
        <v>0</v>
      </c>
      <c r="AJ756" s="380">
        <f t="shared" si="2290"/>
        <v>0</v>
      </c>
      <c r="AK756" s="380">
        <f t="shared" si="2290"/>
        <v>0</v>
      </c>
      <c r="AL756" s="380">
        <f t="shared" si="2290"/>
        <v>0</v>
      </c>
      <c r="AM756" s="629">
        <f t="shared" si="2288"/>
        <v>21064.929317273825</v>
      </c>
      <c r="AN756" s="445"/>
    </row>
    <row r="757" spans="2:40">
      <c r="B757" s="326" t="s">
        <v>321</v>
      </c>
      <c r="C757" s="347"/>
      <c r="D757" s="311"/>
      <c r="E757" s="281"/>
      <c r="F757" s="281"/>
      <c r="G757" s="281"/>
      <c r="H757" s="281"/>
      <c r="I757" s="281"/>
      <c r="J757" s="281"/>
      <c r="K757" s="281"/>
      <c r="L757" s="281"/>
      <c r="M757" s="281"/>
      <c r="N757" s="281"/>
      <c r="O757" s="293"/>
      <c r="P757" s="281"/>
      <c r="Q757" s="281"/>
      <c r="R757" s="281"/>
      <c r="S757" s="311"/>
      <c r="T757" s="311"/>
      <c r="U757" s="311"/>
      <c r="V757" s="311"/>
      <c r="W757" s="281"/>
      <c r="X757" s="281"/>
      <c r="Y757" s="380">
        <f t="shared" ref="Y757:AL757" si="2291">Y579*Y750</f>
        <v>25652.385200000001</v>
      </c>
      <c r="Z757" s="380">
        <f t="shared" si="2291"/>
        <v>1628.2705858726883</v>
      </c>
      <c r="AA757" s="380">
        <f t="shared" si="2291"/>
        <v>12508.862431713353</v>
      </c>
      <c r="AB757" s="380">
        <f t="shared" si="2291"/>
        <v>40797.76492856913</v>
      </c>
      <c r="AC757" s="380">
        <f t="shared" si="2291"/>
        <v>0</v>
      </c>
      <c r="AD757" s="380">
        <f t="shared" si="2291"/>
        <v>0</v>
      </c>
      <c r="AE757" s="380">
        <f t="shared" si="2291"/>
        <v>0</v>
      </c>
      <c r="AF757" s="380">
        <f t="shared" si="2291"/>
        <v>0</v>
      </c>
      <c r="AG757" s="380">
        <f t="shared" si="2291"/>
        <v>0</v>
      </c>
      <c r="AH757" s="380">
        <f t="shared" si="2291"/>
        <v>0</v>
      </c>
      <c r="AI757" s="380">
        <f t="shared" si="2291"/>
        <v>0</v>
      </c>
      <c r="AJ757" s="380">
        <f t="shared" si="2291"/>
        <v>0</v>
      </c>
      <c r="AK757" s="380">
        <f t="shared" si="2291"/>
        <v>0</v>
      </c>
      <c r="AL757" s="380">
        <f t="shared" si="2291"/>
        <v>0</v>
      </c>
      <c r="AM757" s="629">
        <f t="shared" si="2288"/>
        <v>80587.283146155169</v>
      </c>
      <c r="AN757" s="445"/>
    </row>
    <row r="758" spans="2:40">
      <c r="B758" s="326" t="s">
        <v>322</v>
      </c>
      <c r="C758" s="347"/>
      <c r="D758" s="311"/>
      <c r="E758" s="281"/>
      <c r="F758" s="281"/>
      <c r="G758" s="281"/>
      <c r="H758" s="281"/>
      <c r="I758" s="281"/>
      <c r="J758" s="281"/>
      <c r="K758" s="281"/>
      <c r="L758" s="281"/>
      <c r="M758" s="281"/>
      <c r="N758" s="281"/>
      <c r="O758" s="293"/>
      <c r="P758" s="281"/>
      <c r="Q758" s="281"/>
      <c r="R758" s="281"/>
      <c r="S758" s="311"/>
      <c r="T758" s="311"/>
      <c r="U758" s="311"/>
      <c r="V758" s="311"/>
      <c r="W758" s="281"/>
      <c r="X758" s="281"/>
      <c r="Y758" s="380">
        <f>Y747*Y750</f>
        <v>2727.2106812945826</v>
      </c>
      <c r="Z758" s="380">
        <f t="shared" ref="Z758:AL758" si="2292">Z747*Z750</f>
        <v>346.07198957121761</v>
      </c>
      <c r="AA758" s="380">
        <f t="shared" si="2292"/>
        <v>1742.32995158316</v>
      </c>
      <c r="AB758" s="380">
        <f t="shared" si="2292"/>
        <v>0</v>
      </c>
      <c r="AC758" s="380">
        <f t="shared" si="2292"/>
        <v>0</v>
      </c>
      <c r="AD758" s="380">
        <f t="shared" si="2292"/>
        <v>0</v>
      </c>
      <c r="AE758" s="380">
        <f t="shared" si="2292"/>
        <v>0</v>
      </c>
      <c r="AF758" s="380">
        <f t="shared" si="2292"/>
        <v>0</v>
      </c>
      <c r="AG758" s="380">
        <f t="shared" si="2292"/>
        <v>0</v>
      </c>
      <c r="AH758" s="380">
        <f t="shared" si="2292"/>
        <v>0</v>
      </c>
      <c r="AI758" s="380">
        <f t="shared" si="2292"/>
        <v>0</v>
      </c>
      <c r="AJ758" s="380">
        <f t="shared" si="2292"/>
        <v>0</v>
      </c>
      <c r="AK758" s="380">
        <f t="shared" si="2292"/>
        <v>0</v>
      </c>
      <c r="AL758" s="380">
        <f t="shared" si="2292"/>
        <v>0</v>
      </c>
      <c r="AM758" s="629">
        <f t="shared" si="2288"/>
        <v>4815.6126224489599</v>
      </c>
      <c r="AN758" s="445"/>
    </row>
    <row r="759" spans="2:40" ht="15.75">
      <c r="B759" s="351" t="s">
        <v>323</v>
      </c>
      <c r="C759" s="347"/>
      <c r="D759" s="338"/>
      <c r="E759" s="336"/>
      <c r="F759" s="336"/>
      <c r="G759" s="336"/>
      <c r="H759" s="336"/>
      <c r="I759" s="336"/>
      <c r="J759" s="336"/>
      <c r="K759" s="336"/>
      <c r="L759" s="336"/>
      <c r="M759" s="336"/>
      <c r="N759" s="336"/>
      <c r="O759" s="302"/>
      <c r="P759" s="336"/>
      <c r="Q759" s="336"/>
      <c r="R759" s="336"/>
      <c r="S759" s="338"/>
      <c r="T759" s="338"/>
      <c r="U759" s="338"/>
      <c r="V759" s="338"/>
      <c r="W759" s="336"/>
      <c r="X759" s="336"/>
      <c r="Y759" s="348">
        <f>SUM(Y751:Y758)</f>
        <v>49854.870336043896</v>
      </c>
      <c r="Z759" s="348">
        <f t="shared" ref="Z759:AE759" si="2293">SUM(Z751:Z758)</f>
        <v>70073.666658174843</v>
      </c>
      <c r="AA759" s="348">
        <f t="shared" si="2293"/>
        <v>24518.065544962636</v>
      </c>
      <c r="AB759" s="348">
        <f t="shared" si="2293"/>
        <v>40797.76492856913</v>
      </c>
      <c r="AC759" s="348">
        <f t="shared" si="2293"/>
        <v>0</v>
      </c>
      <c r="AD759" s="348">
        <f t="shared" si="2293"/>
        <v>0</v>
      </c>
      <c r="AE759" s="348">
        <f t="shared" si="2293"/>
        <v>0</v>
      </c>
      <c r="AF759" s="348">
        <f t="shared" ref="AF759:AL759" si="2294">SUM(AF751:AF758)</f>
        <v>0</v>
      </c>
      <c r="AG759" s="348">
        <f t="shared" si="2294"/>
        <v>0</v>
      </c>
      <c r="AH759" s="348">
        <f t="shared" si="2294"/>
        <v>0</v>
      </c>
      <c r="AI759" s="348">
        <f t="shared" si="2294"/>
        <v>0</v>
      </c>
      <c r="AJ759" s="348">
        <f t="shared" si="2294"/>
        <v>0</v>
      </c>
      <c r="AK759" s="348">
        <f t="shared" si="2294"/>
        <v>0</v>
      </c>
      <c r="AL759" s="348">
        <f t="shared" si="2294"/>
        <v>0</v>
      </c>
      <c r="AM759" s="409">
        <f>SUM(AM751:AM758)</f>
        <v>185244.3674677505</v>
      </c>
      <c r="AN759" s="445"/>
    </row>
    <row r="760" spans="2:40" ht="15.75">
      <c r="B760" s="351" t="s">
        <v>324</v>
      </c>
      <c r="C760" s="347"/>
      <c r="D760" s="352"/>
      <c r="E760" s="336"/>
      <c r="F760" s="336"/>
      <c r="G760" s="336"/>
      <c r="H760" s="336"/>
      <c r="I760" s="336"/>
      <c r="J760" s="336"/>
      <c r="K760" s="336"/>
      <c r="L760" s="336"/>
      <c r="M760" s="336"/>
      <c r="N760" s="336"/>
      <c r="O760" s="302"/>
      <c r="P760" s="336"/>
      <c r="Q760" s="336"/>
      <c r="R760" s="336"/>
      <c r="S760" s="338"/>
      <c r="T760" s="338"/>
      <c r="U760" s="338"/>
      <c r="V760" s="338"/>
      <c r="W760" s="336"/>
      <c r="X760" s="336"/>
      <c r="Y760" s="349">
        <f>Y748*Y750</f>
        <v>9549.5213000000003</v>
      </c>
      <c r="Z760" s="349">
        <f t="shared" ref="Z760:AE760" si="2295">Z748*Z750</f>
        <v>7657.4984999999997</v>
      </c>
      <c r="AA760" s="349">
        <f t="shared" si="2295"/>
        <v>35478.940800000004</v>
      </c>
      <c r="AB760" s="349">
        <f t="shared" si="2295"/>
        <v>3058.0508</v>
      </c>
      <c r="AC760" s="349">
        <f t="shared" si="2295"/>
        <v>57.144800000000004</v>
      </c>
      <c r="AD760" s="349">
        <f t="shared" si="2295"/>
        <v>0</v>
      </c>
      <c r="AE760" s="349">
        <f t="shared" si="2295"/>
        <v>0</v>
      </c>
      <c r="AF760" s="349">
        <f t="shared" ref="AF760:AL760" si="2296">AF748*AF750</f>
        <v>0</v>
      </c>
      <c r="AG760" s="349">
        <f t="shared" si="2296"/>
        <v>0</v>
      </c>
      <c r="AH760" s="349">
        <f t="shared" si="2296"/>
        <v>0</v>
      </c>
      <c r="AI760" s="349">
        <f t="shared" si="2296"/>
        <v>0</v>
      </c>
      <c r="AJ760" s="349">
        <f t="shared" si="2296"/>
        <v>0</v>
      </c>
      <c r="AK760" s="349">
        <f t="shared" si="2296"/>
        <v>0</v>
      </c>
      <c r="AL760" s="349">
        <f t="shared" si="2296"/>
        <v>0</v>
      </c>
      <c r="AM760" s="409">
        <f>SUM(Y760:AL760)</f>
        <v>55801.156200000005</v>
      </c>
      <c r="AN760" s="445"/>
    </row>
    <row r="761" spans="2:40" ht="15.75">
      <c r="B761" s="351" t="s">
        <v>325</v>
      </c>
      <c r="C761" s="347"/>
      <c r="D761" s="352"/>
      <c r="E761" s="336"/>
      <c r="F761" s="336"/>
      <c r="G761" s="336"/>
      <c r="H761" s="336"/>
      <c r="I761" s="336"/>
      <c r="J761" s="336"/>
      <c r="K761" s="336"/>
      <c r="L761" s="336"/>
      <c r="M761" s="336"/>
      <c r="N761" s="336"/>
      <c r="O761" s="302"/>
      <c r="P761" s="336"/>
      <c r="Q761" s="336"/>
      <c r="R761" s="336"/>
      <c r="S761" s="352"/>
      <c r="T761" s="352"/>
      <c r="U761" s="352"/>
      <c r="V761" s="352"/>
      <c r="W761" s="336"/>
      <c r="X761" s="336"/>
      <c r="Y761" s="353"/>
      <c r="Z761" s="353"/>
      <c r="AA761" s="353"/>
      <c r="AB761" s="353"/>
      <c r="AC761" s="353"/>
      <c r="AD761" s="353"/>
      <c r="AE761" s="353"/>
      <c r="AF761" s="353"/>
      <c r="AG761" s="353"/>
      <c r="AH761" s="353"/>
      <c r="AI761" s="353"/>
      <c r="AJ761" s="353"/>
      <c r="AK761" s="353"/>
      <c r="AL761" s="353"/>
      <c r="AM761" s="409">
        <f>AM759-AM760</f>
        <v>129443.21126775051</v>
      </c>
      <c r="AN761" s="445"/>
    </row>
    <row r="762" spans="2:40">
      <c r="B762" s="326"/>
      <c r="C762" s="352"/>
      <c r="D762" s="352"/>
      <c r="E762" s="336"/>
      <c r="F762" s="336"/>
      <c r="G762" s="336"/>
      <c r="H762" s="336"/>
      <c r="I762" s="336"/>
      <c r="J762" s="336"/>
      <c r="K762" s="336"/>
      <c r="L762" s="336"/>
      <c r="M762" s="336"/>
      <c r="N762" s="336"/>
      <c r="O762" s="302"/>
      <c r="P762" s="336"/>
      <c r="Q762" s="336"/>
      <c r="R762" s="336"/>
      <c r="S762" s="352"/>
      <c r="T762" s="347"/>
      <c r="U762" s="352"/>
      <c r="V762" s="352"/>
      <c r="W762" s="336"/>
      <c r="X762" s="336"/>
      <c r="Y762" s="354"/>
      <c r="Z762" s="354"/>
      <c r="AA762" s="354"/>
      <c r="AB762" s="354"/>
      <c r="AC762" s="354"/>
      <c r="AD762" s="354"/>
      <c r="AE762" s="354"/>
      <c r="AF762" s="354"/>
      <c r="AG762" s="354"/>
      <c r="AH762" s="354"/>
      <c r="AI762" s="354"/>
      <c r="AJ762" s="354"/>
      <c r="AK762" s="354"/>
      <c r="AL762" s="354"/>
      <c r="AM762" s="350"/>
      <c r="AN762" s="445"/>
    </row>
    <row r="763" spans="2:40">
      <c r="B763" s="441" t="s">
        <v>326</v>
      </c>
      <c r="C763" s="306"/>
      <c r="D763" s="281"/>
      <c r="E763" s="281"/>
      <c r="F763" s="281"/>
      <c r="G763" s="281"/>
      <c r="H763" s="281"/>
      <c r="I763" s="281"/>
      <c r="J763" s="281"/>
      <c r="K763" s="281"/>
      <c r="L763" s="281"/>
      <c r="M763" s="281"/>
      <c r="N763" s="281"/>
      <c r="O763" s="359"/>
      <c r="P763" s="281"/>
      <c r="Q763" s="281"/>
      <c r="R763" s="281"/>
      <c r="S763" s="306"/>
      <c r="T763" s="311"/>
      <c r="U763" s="311"/>
      <c r="V763" s="281"/>
      <c r="W763" s="281"/>
      <c r="X763" s="311"/>
      <c r="Y763" s="293">
        <f>SUMPRODUCT(E590:E745,Y590:Y745)</f>
        <v>322116.49729319022</v>
      </c>
      <c r="Z763" s="293">
        <f>SUMPRODUCT(E590:E745,Z590:Z745)</f>
        <v>24544.112735547347</v>
      </c>
      <c r="AA763" s="293">
        <f t="shared" ref="AA763:AL763" si="2297">IF(AA588="kw",SUMPRODUCT($N$590:$N$745,$P$590:$P$745,AA590:AA745),SUMPRODUCT($E$590:$E$745,AA590:AA745))</f>
        <v>540.22104750587505</v>
      </c>
      <c r="AB763" s="293">
        <f t="shared" si="2297"/>
        <v>0</v>
      </c>
      <c r="AC763" s="293">
        <f t="shared" si="2297"/>
        <v>0</v>
      </c>
      <c r="AD763" s="293">
        <f t="shared" si="2297"/>
        <v>0</v>
      </c>
      <c r="AE763" s="293">
        <f t="shared" si="2297"/>
        <v>0</v>
      </c>
      <c r="AF763" s="293">
        <f t="shared" si="2297"/>
        <v>0</v>
      </c>
      <c r="AG763" s="293">
        <f t="shared" si="2297"/>
        <v>0</v>
      </c>
      <c r="AH763" s="293">
        <f t="shared" si="2297"/>
        <v>0</v>
      </c>
      <c r="AI763" s="293">
        <f t="shared" si="2297"/>
        <v>0</v>
      </c>
      <c r="AJ763" s="293">
        <f t="shared" si="2297"/>
        <v>0</v>
      </c>
      <c r="AK763" s="293">
        <f t="shared" si="2297"/>
        <v>0</v>
      </c>
      <c r="AL763" s="293">
        <f t="shared" si="2297"/>
        <v>0</v>
      </c>
      <c r="AM763" s="339"/>
    </row>
    <row r="764" spans="2:40">
      <c r="B764" s="442" t="s">
        <v>327</v>
      </c>
      <c r="C764" s="366"/>
      <c r="D764" s="386"/>
      <c r="E764" s="386"/>
      <c r="F764" s="386"/>
      <c r="G764" s="386"/>
      <c r="H764" s="386"/>
      <c r="I764" s="386"/>
      <c r="J764" s="386"/>
      <c r="K764" s="386"/>
      <c r="L764" s="386"/>
      <c r="M764" s="386"/>
      <c r="N764" s="386"/>
      <c r="O764" s="385"/>
      <c r="P764" s="386"/>
      <c r="Q764" s="386"/>
      <c r="R764" s="386"/>
      <c r="S764" s="366"/>
      <c r="T764" s="387"/>
      <c r="U764" s="387"/>
      <c r="V764" s="386"/>
      <c r="W764" s="386"/>
      <c r="X764" s="387"/>
      <c r="Y764" s="328">
        <f>SUMPRODUCT(F590:F745,Y590:Y745)</f>
        <v>322116.49729319022</v>
      </c>
      <c r="Z764" s="328">
        <f>SUMPRODUCT(F590:F745,Z590:Z745)</f>
        <v>23297.316714055421</v>
      </c>
      <c r="AA764" s="328">
        <f t="shared" ref="AA764:AL764" si="2298">IF(AA588="kw",SUMPRODUCT($N$590:$N$745,$Q$590:$Q$745,AA590:AA745),SUMPRODUCT($F$590:$F$745,AA590:AA745))</f>
        <v>540.22104750587505</v>
      </c>
      <c r="AB764" s="328">
        <f t="shared" si="2298"/>
        <v>0</v>
      </c>
      <c r="AC764" s="328">
        <f t="shared" si="2298"/>
        <v>0</v>
      </c>
      <c r="AD764" s="328">
        <f t="shared" si="2298"/>
        <v>0</v>
      </c>
      <c r="AE764" s="328">
        <f t="shared" si="2298"/>
        <v>0</v>
      </c>
      <c r="AF764" s="328">
        <f t="shared" si="2298"/>
        <v>0</v>
      </c>
      <c r="AG764" s="328">
        <f t="shared" si="2298"/>
        <v>0</v>
      </c>
      <c r="AH764" s="328">
        <f t="shared" si="2298"/>
        <v>0</v>
      </c>
      <c r="AI764" s="328">
        <f t="shared" si="2298"/>
        <v>0</v>
      </c>
      <c r="AJ764" s="328">
        <f t="shared" si="2298"/>
        <v>0</v>
      </c>
      <c r="AK764" s="328">
        <f t="shared" si="2298"/>
        <v>0</v>
      </c>
      <c r="AL764" s="328">
        <f t="shared" si="2298"/>
        <v>0</v>
      </c>
      <c r="AM764" s="388"/>
    </row>
    <row r="765" spans="2:40" ht="20.25" customHeight="1">
      <c r="B765" s="370" t="s">
        <v>592</v>
      </c>
      <c r="C765" s="389"/>
      <c r="D765" s="390"/>
      <c r="E765" s="390"/>
      <c r="F765" s="390"/>
      <c r="G765" s="390"/>
      <c r="H765" s="390"/>
      <c r="I765" s="390"/>
      <c r="J765" s="390"/>
      <c r="K765" s="390"/>
      <c r="L765" s="390"/>
      <c r="M765" s="390"/>
      <c r="N765" s="390"/>
      <c r="O765" s="390"/>
      <c r="P765" s="390"/>
      <c r="Q765" s="390"/>
      <c r="R765" s="390"/>
      <c r="S765" s="373"/>
      <c r="T765" s="374"/>
      <c r="U765" s="390"/>
      <c r="V765" s="390"/>
      <c r="W765" s="390"/>
      <c r="X765" s="390"/>
      <c r="Y765" s="411"/>
      <c r="Z765" s="411"/>
      <c r="AA765" s="411"/>
      <c r="AB765" s="411"/>
      <c r="AC765" s="411"/>
      <c r="AD765" s="411"/>
      <c r="AE765" s="411"/>
      <c r="AF765" s="411"/>
      <c r="AG765" s="411"/>
      <c r="AH765" s="411"/>
      <c r="AI765" s="411"/>
      <c r="AJ765" s="411"/>
      <c r="AK765" s="411"/>
      <c r="AL765" s="411"/>
      <c r="AM765" s="391"/>
    </row>
    <row r="768" spans="2:40" ht="15.75">
      <c r="B768" s="282" t="s">
        <v>328</v>
      </c>
      <c r="C768" s="283"/>
      <c r="D768" s="590" t="s">
        <v>528</v>
      </c>
      <c r="E768" s="255"/>
      <c r="F768" s="590"/>
      <c r="G768" s="255"/>
      <c r="H768" s="255"/>
      <c r="I768" s="255"/>
      <c r="J768" s="255"/>
      <c r="K768" s="255"/>
      <c r="L768" s="255"/>
      <c r="M768" s="255"/>
      <c r="N768" s="255"/>
      <c r="O768" s="283"/>
      <c r="P768" s="255"/>
      <c r="Q768" s="255"/>
      <c r="R768" s="255"/>
      <c r="S768" s="255"/>
      <c r="T768" s="255"/>
      <c r="U768" s="255"/>
      <c r="V768" s="255"/>
      <c r="W768" s="255"/>
      <c r="X768" s="255"/>
      <c r="Y768" s="272"/>
      <c r="Z768" s="269"/>
      <c r="AA768" s="269"/>
      <c r="AB768" s="269"/>
      <c r="AC768" s="269"/>
      <c r="AD768" s="269"/>
      <c r="AE768" s="269"/>
      <c r="AF768" s="269"/>
      <c r="AG768" s="269"/>
      <c r="AH768" s="269"/>
      <c r="AI768" s="269"/>
      <c r="AJ768" s="269"/>
      <c r="AK768" s="269"/>
      <c r="AL768" s="269"/>
    </row>
    <row r="769" spans="1:39" ht="33" customHeight="1">
      <c r="B769" s="870" t="s">
        <v>212</v>
      </c>
      <c r="C769" s="872" t="s">
        <v>33</v>
      </c>
      <c r="D769" s="286" t="s">
        <v>424</v>
      </c>
      <c r="E769" s="874" t="s">
        <v>210</v>
      </c>
      <c r="F769" s="875"/>
      <c r="G769" s="875"/>
      <c r="H769" s="875"/>
      <c r="I769" s="875"/>
      <c r="J769" s="875"/>
      <c r="K769" s="875"/>
      <c r="L769" s="875"/>
      <c r="M769" s="876"/>
      <c r="N769" s="880" t="s">
        <v>214</v>
      </c>
      <c r="O769" s="286" t="s">
        <v>425</v>
      </c>
      <c r="P769" s="874" t="s">
        <v>213</v>
      </c>
      <c r="Q769" s="875"/>
      <c r="R769" s="875"/>
      <c r="S769" s="875"/>
      <c r="T769" s="875"/>
      <c r="U769" s="875"/>
      <c r="V769" s="875"/>
      <c r="W769" s="875"/>
      <c r="X769" s="876"/>
      <c r="Y769" s="877" t="s">
        <v>244</v>
      </c>
      <c r="Z769" s="878"/>
      <c r="AA769" s="878"/>
      <c r="AB769" s="878"/>
      <c r="AC769" s="878"/>
      <c r="AD769" s="878"/>
      <c r="AE769" s="878"/>
      <c r="AF769" s="878"/>
      <c r="AG769" s="878"/>
      <c r="AH769" s="878"/>
      <c r="AI769" s="878"/>
      <c r="AJ769" s="878"/>
      <c r="AK769" s="878"/>
      <c r="AL769" s="878"/>
      <c r="AM769" s="879"/>
    </row>
    <row r="770" spans="1:39" ht="65.25" customHeight="1">
      <c r="B770" s="871"/>
      <c r="C770" s="873"/>
      <c r="D770" s="287">
        <v>2019</v>
      </c>
      <c r="E770" s="287">
        <v>2020</v>
      </c>
      <c r="F770" s="287">
        <v>2021</v>
      </c>
      <c r="G770" s="287">
        <v>2022</v>
      </c>
      <c r="H770" s="287">
        <v>2023</v>
      </c>
      <c r="I770" s="287">
        <v>2024</v>
      </c>
      <c r="J770" s="287">
        <v>2025</v>
      </c>
      <c r="K770" s="287">
        <v>2026</v>
      </c>
      <c r="L770" s="287">
        <v>2027</v>
      </c>
      <c r="M770" s="287">
        <v>2028</v>
      </c>
      <c r="N770" s="881"/>
      <c r="O770" s="287">
        <v>2019</v>
      </c>
      <c r="P770" s="287">
        <v>2020</v>
      </c>
      <c r="Q770" s="287">
        <v>2021</v>
      </c>
      <c r="R770" s="287">
        <v>2022</v>
      </c>
      <c r="S770" s="287">
        <v>2023</v>
      </c>
      <c r="T770" s="287">
        <v>2024</v>
      </c>
      <c r="U770" s="287">
        <v>2025</v>
      </c>
      <c r="V770" s="287">
        <v>2026</v>
      </c>
      <c r="W770" s="287">
        <v>2027</v>
      </c>
      <c r="X770" s="287">
        <v>2028</v>
      </c>
      <c r="Y770" s="287" t="str">
        <f>'1.  LRAMVA Summary'!D50</f>
        <v>Residential</v>
      </c>
      <c r="Z770" s="287" t="str">
        <f>'1.  LRAMVA Summary'!E50</f>
        <v>GS&lt;50 kW</v>
      </c>
      <c r="AA770" s="287" t="str">
        <f>'1.  LRAMVA Summary'!F50</f>
        <v>GS&gt;50 kW</v>
      </c>
      <c r="AB770" s="287" t="str">
        <f>'1.  LRAMVA Summary'!G50</f>
        <v>Streetlights</v>
      </c>
      <c r="AC770" s="287" t="str">
        <f>'1.  LRAMVA Summary'!H50</f>
        <v>Unmetered Scattered Load</v>
      </c>
      <c r="AD770" s="287" t="str">
        <f>'1.  LRAMVA Summary'!I50</f>
        <v/>
      </c>
      <c r="AE770" s="287" t="str">
        <f>'1.  LRAMVA Summary'!J50</f>
        <v/>
      </c>
      <c r="AF770" s="287" t="str">
        <f>'1.  LRAMVA Summary'!K50</f>
        <v/>
      </c>
      <c r="AG770" s="287" t="str">
        <f>'1.  LRAMVA Summary'!L50</f>
        <v/>
      </c>
      <c r="AH770" s="287" t="str">
        <f>'1.  LRAMVA Summary'!M50</f>
        <v/>
      </c>
      <c r="AI770" s="287" t="str">
        <f>'1.  LRAMVA Summary'!N50</f>
        <v/>
      </c>
      <c r="AJ770" s="287" t="str">
        <f>'1.  LRAMVA Summary'!O50</f>
        <v/>
      </c>
      <c r="AK770" s="287" t="str">
        <f>'1.  LRAMVA Summary'!P50</f>
        <v/>
      </c>
      <c r="AL770" s="287" t="str">
        <f>'1.  LRAMVA Summary'!Q50</f>
        <v/>
      </c>
      <c r="AM770" s="289" t="str">
        <f>'1.  LRAMVA Summary'!R50</f>
        <v>Total</v>
      </c>
    </row>
    <row r="771" spans="1:39" ht="15.75" customHeight="1">
      <c r="A771" s="532"/>
      <c r="B771" s="518" t="s">
        <v>506</v>
      </c>
      <c r="C771" s="291"/>
      <c r="D771" s="291"/>
      <c r="E771" s="291"/>
      <c r="F771" s="291"/>
      <c r="G771" s="291"/>
      <c r="H771" s="291"/>
      <c r="I771" s="291"/>
      <c r="J771" s="291"/>
      <c r="K771" s="291"/>
      <c r="L771" s="291"/>
      <c r="M771" s="291"/>
      <c r="N771" s="292"/>
      <c r="O771" s="291"/>
      <c r="P771" s="291"/>
      <c r="Q771" s="291"/>
      <c r="R771" s="291"/>
      <c r="S771" s="291"/>
      <c r="T771" s="291"/>
      <c r="U771" s="291"/>
      <c r="V771" s="291"/>
      <c r="W771" s="291"/>
      <c r="X771" s="291"/>
      <c r="Y771" s="293" t="str">
        <f>'1.  LRAMVA Summary'!D51</f>
        <v>kWh</v>
      </c>
      <c r="Z771" s="293" t="str">
        <f>'1.  LRAMVA Summary'!E51</f>
        <v>kWh</v>
      </c>
      <c r="AA771" s="293" t="str">
        <f>'1.  LRAMVA Summary'!F51</f>
        <v>kW</v>
      </c>
      <c r="AB771" s="293" t="str">
        <f>'1.  LRAMVA Summary'!G51</f>
        <v>kW</v>
      </c>
      <c r="AC771" s="293" t="str">
        <f>'1.  LRAMVA Summary'!H51</f>
        <v>KWh</v>
      </c>
      <c r="AD771" s="293">
        <f>'1.  LRAMVA Summary'!I51</f>
        <v>0</v>
      </c>
      <c r="AE771" s="293">
        <f>'1.  LRAMVA Summary'!J51</f>
        <v>0</v>
      </c>
      <c r="AF771" s="293">
        <f>'1.  LRAMVA Summary'!K51</f>
        <v>0</v>
      </c>
      <c r="AG771" s="293">
        <f>'1.  LRAMVA Summary'!L51</f>
        <v>0</v>
      </c>
      <c r="AH771" s="293">
        <f>'1.  LRAMVA Summary'!M51</f>
        <v>0</v>
      </c>
      <c r="AI771" s="293">
        <f>'1.  LRAMVA Summary'!N51</f>
        <v>0</v>
      </c>
      <c r="AJ771" s="293">
        <f>'1.  LRAMVA Summary'!O51</f>
        <v>0</v>
      </c>
      <c r="AK771" s="293">
        <f>'1.  LRAMVA Summary'!P51</f>
        <v>0</v>
      </c>
      <c r="AL771" s="293">
        <f>'1.  LRAMVA Summary'!Q51</f>
        <v>0</v>
      </c>
      <c r="AM771" s="294"/>
    </row>
    <row r="772" spans="1:39" ht="15.75" hidden="1" outlineLevel="1">
      <c r="A772" s="532"/>
      <c r="B772" s="504" t="s">
        <v>499</v>
      </c>
      <c r="C772" s="291"/>
      <c r="D772" s="291"/>
      <c r="E772" s="291"/>
      <c r="F772" s="291"/>
      <c r="G772" s="291"/>
      <c r="H772" s="291"/>
      <c r="I772" s="291"/>
      <c r="J772" s="291"/>
      <c r="K772" s="291"/>
      <c r="L772" s="291"/>
      <c r="M772" s="291"/>
      <c r="N772" s="292"/>
      <c r="O772" s="291"/>
      <c r="P772" s="291"/>
      <c r="Q772" s="291"/>
      <c r="R772" s="291"/>
      <c r="S772" s="291"/>
      <c r="T772" s="291"/>
      <c r="U772" s="291"/>
      <c r="V772" s="291"/>
      <c r="W772" s="291"/>
      <c r="X772" s="291"/>
      <c r="Y772" s="293"/>
      <c r="Z772" s="293"/>
      <c r="AA772" s="293"/>
      <c r="AB772" s="293"/>
      <c r="AC772" s="293"/>
      <c r="AD772" s="293"/>
      <c r="AE772" s="293"/>
      <c r="AF772" s="293"/>
      <c r="AG772" s="293"/>
      <c r="AH772" s="293"/>
      <c r="AI772" s="293"/>
      <c r="AJ772" s="293"/>
      <c r="AK772" s="293"/>
      <c r="AL772" s="293"/>
      <c r="AM772" s="294"/>
    </row>
    <row r="773" spans="1:39" hidden="1" outlineLevel="1">
      <c r="A773" s="532">
        <v>1</v>
      </c>
      <c r="B773" s="430" t="s">
        <v>95</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2"/>
      <c r="B774" s="296" t="s">
        <v>343</v>
      </c>
      <c r="C774" s="293" t="s">
        <v>164</v>
      </c>
      <c r="D774" s="297"/>
      <c r="E774" s="297"/>
      <c r="F774" s="297"/>
      <c r="G774" s="297"/>
      <c r="H774" s="297"/>
      <c r="I774" s="297"/>
      <c r="J774" s="297"/>
      <c r="K774" s="297"/>
      <c r="L774" s="297"/>
      <c r="M774" s="297"/>
      <c r="N774" s="469"/>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2"/>
      <c r="B775" s="300"/>
      <c r="C775" s="301"/>
      <c r="D775" s="301"/>
      <c r="E775" s="301"/>
      <c r="F775" s="301"/>
      <c r="G775" s="301"/>
      <c r="H775" s="301"/>
      <c r="I775" s="301"/>
      <c r="J775" s="301"/>
      <c r="K775" s="301"/>
      <c r="L775" s="301"/>
      <c r="M775" s="301"/>
      <c r="N775" s="302"/>
      <c r="O775" s="301"/>
      <c r="P775" s="301"/>
      <c r="Q775" s="301"/>
      <c r="R775" s="301"/>
      <c r="S775" s="301"/>
      <c r="T775" s="301"/>
      <c r="U775" s="301"/>
      <c r="V775" s="301"/>
      <c r="W775" s="301"/>
      <c r="X775" s="301"/>
      <c r="Y775" s="414"/>
      <c r="Z775" s="415"/>
      <c r="AA775" s="415"/>
      <c r="AB775" s="415"/>
      <c r="AC775" s="415"/>
      <c r="AD775" s="415"/>
      <c r="AE775" s="415"/>
      <c r="AF775" s="415"/>
      <c r="AG775" s="415"/>
      <c r="AH775" s="415"/>
      <c r="AI775" s="415"/>
      <c r="AJ775" s="415"/>
      <c r="AK775" s="415"/>
      <c r="AL775" s="415"/>
      <c r="AM775" s="304"/>
    </row>
    <row r="776" spans="1:39" hidden="1" outlineLevel="1">
      <c r="A776" s="532">
        <v>2</v>
      </c>
      <c r="B776" s="430" t="s">
        <v>96</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2"/>
      <c r="B777" s="296" t="s">
        <v>343</v>
      </c>
      <c r="C777" s="293" t="s">
        <v>164</v>
      </c>
      <c r="D777" s="297"/>
      <c r="E777" s="297"/>
      <c r="F777" s="297"/>
      <c r="G777" s="297"/>
      <c r="H777" s="297"/>
      <c r="I777" s="297"/>
      <c r="J777" s="297"/>
      <c r="K777" s="297"/>
      <c r="L777" s="297"/>
      <c r="M777" s="297"/>
      <c r="N777" s="469"/>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t="15.75" hidden="1" outlineLevel="1">
      <c r="A778" s="532"/>
      <c r="B778" s="300"/>
      <c r="C778" s="301"/>
      <c r="D778" s="306"/>
      <c r="E778" s="306"/>
      <c r="F778" s="306"/>
      <c r="G778" s="306"/>
      <c r="H778" s="306"/>
      <c r="I778" s="306"/>
      <c r="J778" s="306"/>
      <c r="K778" s="306"/>
      <c r="L778" s="306"/>
      <c r="M778" s="306"/>
      <c r="N778" s="302"/>
      <c r="O778" s="306"/>
      <c r="P778" s="306"/>
      <c r="Q778" s="306"/>
      <c r="R778" s="306"/>
      <c r="S778" s="306"/>
      <c r="T778" s="306"/>
      <c r="U778" s="306"/>
      <c r="V778" s="306"/>
      <c r="W778" s="306"/>
      <c r="X778" s="306"/>
      <c r="Y778" s="414"/>
      <c r="Z778" s="415"/>
      <c r="AA778" s="415"/>
      <c r="AB778" s="415"/>
      <c r="AC778" s="415"/>
      <c r="AD778" s="415"/>
      <c r="AE778" s="415"/>
      <c r="AF778" s="415"/>
      <c r="AG778" s="415"/>
      <c r="AH778" s="415"/>
      <c r="AI778" s="415"/>
      <c r="AJ778" s="415"/>
      <c r="AK778" s="415"/>
      <c r="AL778" s="415"/>
      <c r="AM778" s="304"/>
    </row>
    <row r="779" spans="1:39" hidden="1" outlineLevel="1">
      <c r="A779" s="532">
        <v>3</v>
      </c>
      <c r="B779" s="430" t="s">
        <v>97</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2"/>
      <c r="Z779" s="412"/>
      <c r="AA779" s="412"/>
      <c r="AB779" s="412"/>
      <c r="AC779" s="412"/>
      <c r="AD779" s="412"/>
      <c r="AE779" s="412"/>
      <c r="AF779" s="412"/>
      <c r="AG779" s="412"/>
      <c r="AH779" s="412"/>
      <c r="AI779" s="412"/>
      <c r="AJ779" s="412"/>
      <c r="AK779" s="412"/>
      <c r="AL779" s="412"/>
      <c r="AM779" s="298">
        <f>SUM(Y779:AL779)</f>
        <v>0</v>
      </c>
    </row>
    <row r="780" spans="1:39" hidden="1" outlineLevel="1">
      <c r="A780" s="532"/>
      <c r="B780" s="296" t="s">
        <v>343</v>
      </c>
      <c r="C780" s="293" t="s">
        <v>164</v>
      </c>
      <c r="D780" s="297"/>
      <c r="E780" s="297"/>
      <c r="F780" s="297"/>
      <c r="G780" s="297"/>
      <c r="H780" s="297"/>
      <c r="I780" s="297"/>
      <c r="J780" s="297"/>
      <c r="K780" s="297"/>
      <c r="L780" s="297"/>
      <c r="M780" s="297"/>
      <c r="N780" s="469"/>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2"/>
      <c r="B781" s="296"/>
      <c r="C781" s="307"/>
      <c r="D781" s="293"/>
      <c r="E781" s="293"/>
      <c r="F781" s="293"/>
      <c r="G781" s="293"/>
      <c r="H781" s="293"/>
      <c r="I781" s="293"/>
      <c r="J781" s="293"/>
      <c r="K781" s="293"/>
      <c r="L781" s="293"/>
      <c r="M781" s="293"/>
      <c r="N781" s="293"/>
      <c r="O781" s="293"/>
      <c r="P781" s="293"/>
      <c r="Q781" s="293"/>
      <c r="R781" s="293"/>
      <c r="S781" s="293"/>
      <c r="T781" s="293"/>
      <c r="U781" s="293"/>
      <c r="V781" s="293"/>
      <c r="W781" s="293"/>
      <c r="X781" s="293"/>
      <c r="Y781" s="414"/>
      <c r="Z781" s="414"/>
      <c r="AA781" s="414"/>
      <c r="AB781" s="414"/>
      <c r="AC781" s="414"/>
      <c r="AD781" s="414"/>
      <c r="AE781" s="414"/>
      <c r="AF781" s="414"/>
      <c r="AG781" s="414"/>
      <c r="AH781" s="414"/>
      <c r="AI781" s="414"/>
      <c r="AJ781" s="414"/>
      <c r="AK781" s="414"/>
      <c r="AL781" s="414"/>
      <c r="AM781" s="308"/>
    </row>
    <row r="782" spans="1:39" hidden="1" outlineLevel="1">
      <c r="A782" s="532">
        <v>4</v>
      </c>
      <c r="B782" s="430" t="s">
        <v>98</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idden="1" outlineLevel="1">
      <c r="A783" s="532"/>
      <c r="B783" s="296" t="s">
        <v>343</v>
      </c>
      <c r="C783" s="293" t="s">
        <v>164</v>
      </c>
      <c r="D783" s="297"/>
      <c r="E783" s="297"/>
      <c r="F783" s="297"/>
      <c r="G783" s="297"/>
      <c r="H783" s="297"/>
      <c r="I783" s="297"/>
      <c r="J783" s="297"/>
      <c r="K783" s="297"/>
      <c r="L783" s="297"/>
      <c r="M783" s="297"/>
      <c r="N783" s="469"/>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2"/>
      <c r="B784" s="296"/>
      <c r="C784" s="307"/>
      <c r="D784" s="306"/>
      <c r="E784" s="306"/>
      <c r="F784" s="306"/>
      <c r="G784" s="306"/>
      <c r="H784" s="306"/>
      <c r="I784" s="306"/>
      <c r="J784" s="306"/>
      <c r="K784" s="306"/>
      <c r="L784" s="306"/>
      <c r="M784" s="306"/>
      <c r="N784" s="293"/>
      <c r="O784" s="306"/>
      <c r="P784" s="306"/>
      <c r="Q784" s="306"/>
      <c r="R784" s="306"/>
      <c r="S784" s="306"/>
      <c r="T784" s="306"/>
      <c r="U784" s="306"/>
      <c r="V784" s="306"/>
      <c r="W784" s="306"/>
      <c r="X784" s="306"/>
      <c r="Y784" s="414"/>
      <c r="Z784" s="414"/>
      <c r="AA784" s="414"/>
      <c r="AB784" s="414"/>
      <c r="AC784" s="414"/>
      <c r="AD784" s="414"/>
      <c r="AE784" s="414"/>
      <c r="AF784" s="414"/>
      <c r="AG784" s="414"/>
      <c r="AH784" s="414"/>
      <c r="AI784" s="414"/>
      <c r="AJ784" s="414"/>
      <c r="AK784" s="414"/>
      <c r="AL784" s="414"/>
      <c r="AM784" s="308"/>
    </row>
    <row r="785" spans="1:39" ht="15.75" hidden="1" customHeight="1" outlineLevel="1">
      <c r="A785" s="532">
        <v>5</v>
      </c>
      <c r="B785" s="430" t="s">
        <v>99</v>
      </c>
      <c r="C785" s="293" t="s">
        <v>25</v>
      </c>
      <c r="D785" s="297"/>
      <c r="E785" s="297"/>
      <c r="F785" s="297"/>
      <c r="G785" s="297"/>
      <c r="H785" s="297"/>
      <c r="I785" s="297"/>
      <c r="J785" s="297"/>
      <c r="K785" s="297"/>
      <c r="L785" s="297"/>
      <c r="M785" s="297"/>
      <c r="N785" s="293"/>
      <c r="O785" s="297"/>
      <c r="P785" s="297"/>
      <c r="Q785" s="297"/>
      <c r="R785" s="297"/>
      <c r="S785" s="297"/>
      <c r="T785" s="297"/>
      <c r="U785" s="297"/>
      <c r="V785" s="297"/>
      <c r="W785" s="297"/>
      <c r="X785" s="297"/>
      <c r="Y785" s="417"/>
      <c r="Z785" s="417"/>
      <c r="AA785" s="417"/>
      <c r="AB785" s="417"/>
      <c r="AC785" s="417"/>
      <c r="AD785" s="417"/>
      <c r="AE785" s="417"/>
      <c r="AF785" s="412"/>
      <c r="AG785" s="412"/>
      <c r="AH785" s="412"/>
      <c r="AI785" s="412"/>
      <c r="AJ785" s="412"/>
      <c r="AK785" s="412"/>
      <c r="AL785" s="412"/>
      <c r="AM785" s="298">
        <f>SUM(Y785:AL785)</f>
        <v>0</v>
      </c>
    </row>
    <row r="786" spans="1:39" ht="20.25" hidden="1" customHeight="1" outlineLevel="1">
      <c r="A786" s="532"/>
      <c r="B786" s="296" t="s">
        <v>343</v>
      </c>
      <c r="C786" s="293" t="s">
        <v>164</v>
      </c>
      <c r="D786" s="297"/>
      <c r="E786" s="297"/>
      <c r="F786" s="297"/>
      <c r="G786" s="297"/>
      <c r="H786" s="297"/>
      <c r="I786" s="297"/>
      <c r="J786" s="297"/>
      <c r="K786" s="297"/>
      <c r="L786" s="297"/>
      <c r="M786" s="297"/>
      <c r="N786" s="469"/>
      <c r="O786" s="297"/>
      <c r="P786" s="297"/>
      <c r="Q786" s="297"/>
      <c r="R786" s="297"/>
      <c r="S786" s="297"/>
      <c r="T786" s="297"/>
      <c r="U786" s="297"/>
      <c r="V786" s="297"/>
      <c r="W786" s="297"/>
      <c r="X786" s="297"/>
      <c r="Y786" s="413">
        <f>Y785</f>
        <v>0</v>
      </c>
      <c r="Z786" s="413">
        <f t="shared" ref="Z786" si="2351">Z785</f>
        <v>0</v>
      </c>
      <c r="AA786" s="413">
        <f t="shared" ref="AA786" si="2352">AA785</f>
        <v>0</v>
      </c>
      <c r="AB786" s="413">
        <f t="shared" ref="AB786" si="2353">AB785</f>
        <v>0</v>
      </c>
      <c r="AC786" s="413">
        <f t="shared" ref="AC786" si="2354">AC785</f>
        <v>0</v>
      </c>
      <c r="AD786" s="413">
        <f t="shared" ref="AD786" si="2355">AD785</f>
        <v>0</v>
      </c>
      <c r="AE786" s="413">
        <f t="shared" ref="AE786" si="2356">AE785</f>
        <v>0</v>
      </c>
      <c r="AF786" s="413">
        <f t="shared" ref="AF786" si="2357">AF785</f>
        <v>0</v>
      </c>
      <c r="AG786" s="413">
        <f t="shared" ref="AG786" si="2358">AG785</f>
        <v>0</v>
      </c>
      <c r="AH786" s="413">
        <f t="shared" ref="AH786" si="2359">AH785</f>
        <v>0</v>
      </c>
      <c r="AI786" s="413">
        <f t="shared" ref="AI786" si="2360">AI785</f>
        <v>0</v>
      </c>
      <c r="AJ786" s="413">
        <f t="shared" ref="AJ786" si="2361">AJ785</f>
        <v>0</v>
      </c>
      <c r="AK786" s="413">
        <f t="shared" ref="AK786" si="2362">AK785</f>
        <v>0</v>
      </c>
      <c r="AL786" s="413">
        <f t="shared" ref="AL786" si="2363">AL785</f>
        <v>0</v>
      </c>
      <c r="AM786" s="299"/>
    </row>
    <row r="787" spans="1:39" hidden="1" outlineLevel="1">
      <c r="A787" s="532"/>
      <c r="B787" s="296"/>
      <c r="C787" s="293"/>
      <c r="D787" s="293"/>
      <c r="E787" s="293"/>
      <c r="F787" s="293"/>
      <c r="G787" s="293"/>
      <c r="H787" s="293"/>
      <c r="I787" s="293"/>
      <c r="J787" s="293"/>
      <c r="K787" s="293"/>
      <c r="L787" s="293"/>
      <c r="M787" s="293"/>
      <c r="N787" s="293"/>
      <c r="O787" s="293"/>
      <c r="P787" s="293"/>
      <c r="Q787" s="293"/>
      <c r="R787" s="293"/>
      <c r="S787" s="293"/>
      <c r="T787" s="293"/>
      <c r="U787" s="293"/>
      <c r="V787" s="293"/>
      <c r="W787" s="293"/>
      <c r="X787" s="293"/>
      <c r="Y787" s="424"/>
      <c r="Z787" s="425"/>
      <c r="AA787" s="425"/>
      <c r="AB787" s="425"/>
      <c r="AC787" s="425"/>
      <c r="AD787" s="425"/>
      <c r="AE787" s="425"/>
      <c r="AF787" s="425"/>
      <c r="AG787" s="425"/>
      <c r="AH787" s="425"/>
      <c r="AI787" s="425"/>
      <c r="AJ787" s="425"/>
      <c r="AK787" s="425"/>
      <c r="AL787" s="425"/>
      <c r="AM787" s="299"/>
    </row>
    <row r="788" spans="1:39" ht="15.75" hidden="1" outlineLevel="1">
      <c r="A788" s="532"/>
      <c r="B788" s="321" t="s">
        <v>500</v>
      </c>
      <c r="C788" s="291"/>
      <c r="D788" s="291"/>
      <c r="E788" s="291"/>
      <c r="F788" s="291"/>
      <c r="G788" s="291"/>
      <c r="H788" s="291"/>
      <c r="I788" s="291"/>
      <c r="J788" s="291"/>
      <c r="K788" s="291"/>
      <c r="L788" s="291"/>
      <c r="M788" s="291"/>
      <c r="N788" s="292"/>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294"/>
    </row>
    <row r="789" spans="1:39" hidden="1" outlineLevel="1">
      <c r="A789" s="532">
        <v>6</v>
      </c>
      <c r="B789" s="430" t="s">
        <v>100</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2"/>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2"/>
      <c r="B791" s="312"/>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8"/>
      <c r="AA791" s="418"/>
      <c r="AB791" s="418"/>
      <c r="AC791" s="418"/>
      <c r="AD791" s="418"/>
      <c r="AE791" s="418"/>
      <c r="AF791" s="418"/>
      <c r="AG791" s="418"/>
      <c r="AH791" s="418"/>
      <c r="AI791" s="418"/>
      <c r="AJ791" s="418"/>
      <c r="AK791" s="418"/>
      <c r="AL791" s="418"/>
      <c r="AM791" s="315"/>
    </row>
    <row r="792" spans="1:39" ht="30" hidden="1" outlineLevel="1">
      <c r="A792" s="532">
        <v>7</v>
      </c>
      <c r="B792" s="430" t="s">
        <v>101</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2"/>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2"/>
      <c r="B794" s="316"/>
      <c r="C794" s="314"/>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418"/>
      <c r="Z794" s="419"/>
      <c r="AA794" s="418"/>
      <c r="AB794" s="418"/>
      <c r="AC794" s="418"/>
      <c r="AD794" s="418"/>
      <c r="AE794" s="418"/>
      <c r="AF794" s="418"/>
      <c r="AG794" s="418"/>
      <c r="AH794" s="418"/>
      <c r="AI794" s="418"/>
      <c r="AJ794" s="418"/>
      <c r="AK794" s="418"/>
      <c r="AL794" s="418"/>
      <c r="AM794" s="315"/>
    </row>
    <row r="795" spans="1:39" ht="30" hidden="1" outlineLevel="1">
      <c r="A795" s="532">
        <v>8</v>
      </c>
      <c r="B795" s="430" t="s">
        <v>102</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2"/>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2"/>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9"/>
      <c r="AA797" s="418"/>
      <c r="AB797" s="418"/>
      <c r="AC797" s="418"/>
      <c r="AD797" s="418"/>
      <c r="AE797" s="418"/>
      <c r="AF797" s="418"/>
      <c r="AG797" s="418"/>
      <c r="AH797" s="418"/>
      <c r="AI797" s="418"/>
      <c r="AJ797" s="418"/>
      <c r="AK797" s="418"/>
      <c r="AL797" s="418"/>
      <c r="AM797" s="315"/>
    </row>
    <row r="798" spans="1:39" ht="30" hidden="1" outlineLevel="1">
      <c r="A798" s="532">
        <v>9</v>
      </c>
      <c r="B798" s="430" t="s">
        <v>103</v>
      </c>
      <c r="C798" s="293" t="s">
        <v>25</v>
      </c>
      <c r="D798" s="297"/>
      <c r="E798" s="297"/>
      <c r="F798" s="297"/>
      <c r="G798" s="297"/>
      <c r="H798" s="297"/>
      <c r="I798" s="297"/>
      <c r="J798" s="297"/>
      <c r="K798" s="297"/>
      <c r="L798" s="297"/>
      <c r="M798" s="297"/>
      <c r="N798" s="297">
        <v>12</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2"/>
      <c r="B799" s="296" t="s">
        <v>343</v>
      </c>
      <c r="C799" s="293" t="s">
        <v>164</v>
      </c>
      <c r="D799" s="297"/>
      <c r="E799" s="297"/>
      <c r="F799" s="297"/>
      <c r="G799" s="297"/>
      <c r="H799" s="297"/>
      <c r="I799" s="297"/>
      <c r="J799" s="297"/>
      <c r="K799" s="297"/>
      <c r="L799" s="297"/>
      <c r="M799" s="297"/>
      <c r="N799" s="297">
        <f>N798</f>
        <v>12</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2"/>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8"/>
      <c r="AA800" s="418"/>
      <c r="AB800" s="418"/>
      <c r="AC800" s="418"/>
      <c r="AD800" s="418"/>
      <c r="AE800" s="418"/>
      <c r="AF800" s="418"/>
      <c r="AG800" s="418"/>
      <c r="AH800" s="418"/>
      <c r="AI800" s="418"/>
      <c r="AJ800" s="418"/>
      <c r="AK800" s="418"/>
      <c r="AL800" s="418"/>
      <c r="AM800" s="315"/>
    </row>
    <row r="801" spans="1:39" ht="30" hidden="1" outlineLevel="1">
      <c r="A801" s="532">
        <v>10</v>
      </c>
      <c r="B801" s="430" t="s">
        <v>104</v>
      </c>
      <c r="C801" s="293" t="s">
        <v>25</v>
      </c>
      <c r="D801" s="297"/>
      <c r="E801" s="297"/>
      <c r="F801" s="297"/>
      <c r="G801" s="297"/>
      <c r="H801" s="297"/>
      <c r="I801" s="297"/>
      <c r="J801" s="297"/>
      <c r="K801" s="297"/>
      <c r="L801" s="297"/>
      <c r="M801" s="297"/>
      <c r="N801" s="297">
        <v>3</v>
      </c>
      <c r="O801" s="297"/>
      <c r="P801" s="297"/>
      <c r="Q801" s="297"/>
      <c r="R801" s="297"/>
      <c r="S801" s="297"/>
      <c r="T801" s="297"/>
      <c r="U801" s="297"/>
      <c r="V801" s="297"/>
      <c r="W801" s="297"/>
      <c r="X801" s="297"/>
      <c r="Y801" s="417"/>
      <c r="Z801" s="417"/>
      <c r="AA801" s="417"/>
      <c r="AB801" s="417"/>
      <c r="AC801" s="417"/>
      <c r="AD801" s="417"/>
      <c r="AE801" s="417"/>
      <c r="AF801" s="417"/>
      <c r="AG801" s="417"/>
      <c r="AH801" s="417"/>
      <c r="AI801" s="417"/>
      <c r="AJ801" s="417"/>
      <c r="AK801" s="417"/>
      <c r="AL801" s="417"/>
      <c r="AM801" s="298">
        <f>SUM(Y801:AL801)</f>
        <v>0</v>
      </c>
    </row>
    <row r="802" spans="1:39" hidden="1" outlineLevel="1">
      <c r="A802" s="532"/>
      <c r="B802" s="296" t="s">
        <v>343</v>
      </c>
      <c r="C802" s="293" t="s">
        <v>164</v>
      </c>
      <c r="D802" s="297"/>
      <c r="E802" s="297"/>
      <c r="F802" s="297"/>
      <c r="G802" s="297"/>
      <c r="H802" s="297"/>
      <c r="I802" s="297"/>
      <c r="J802" s="297"/>
      <c r="K802" s="297"/>
      <c r="L802" s="297"/>
      <c r="M802" s="297"/>
      <c r="N802" s="297">
        <f>N801</f>
        <v>3</v>
      </c>
      <c r="O802" s="297"/>
      <c r="P802" s="297"/>
      <c r="Q802" s="297"/>
      <c r="R802" s="297"/>
      <c r="S802" s="297"/>
      <c r="T802" s="297"/>
      <c r="U802" s="297"/>
      <c r="V802" s="297"/>
      <c r="W802" s="297"/>
      <c r="X802" s="297"/>
      <c r="Y802" s="413">
        <f>Y801</f>
        <v>0</v>
      </c>
      <c r="Z802" s="413">
        <f t="shared" ref="Z802" si="2416">Z801</f>
        <v>0</v>
      </c>
      <c r="AA802" s="413">
        <f t="shared" ref="AA802" si="2417">AA801</f>
        <v>0</v>
      </c>
      <c r="AB802" s="413">
        <f t="shared" ref="AB802" si="2418">AB801</f>
        <v>0</v>
      </c>
      <c r="AC802" s="413">
        <f t="shared" ref="AC802" si="2419">AC801</f>
        <v>0</v>
      </c>
      <c r="AD802" s="413">
        <f t="shared" ref="AD802" si="2420">AD801</f>
        <v>0</v>
      </c>
      <c r="AE802" s="413">
        <f t="shared" ref="AE802" si="2421">AE801</f>
        <v>0</v>
      </c>
      <c r="AF802" s="413">
        <f t="shared" ref="AF802" si="2422">AF801</f>
        <v>0</v>
      </c>
      <c r="AG802" s="413">
        <f t="shared" ref="AG802" si="2423">AG801</f>
        <v>0</v>
      </c>
      <c r="AH802" s="413">
        <f t="shared" ref="AH802" si="2424">AH801</f>
        <v>0</v>
      </c>
      <c r="AI802" s="413">
        <f t="shared" ref="AI802" si="2425">AI801</f>
        <v>0</v>
      </c>
      <c r="AJ802" s="413">
        <f t="shared" ref="AJ802" si="2426">AJ801</f>
        <v>0</v>
      </c>
      <c r="AK802" s="413">
        <f t="shared" ref="AK802" si="2427">AK801</f>
        <v>0</v>
      </c>
      <c r="AL802" s="413">
        <f t="shared" ref="AL802" si="2428">AL801</f>
        <v>0</v>
      </c>
      <c r="AM802" s="313"/>
    </row>
    <row r="803" spans="1:39" hidden="1" outlineLevel="1">
      <c r="A803" s="532"/>
      <c r="B803" s="316"/>
      <c r="C803" s="314"/>
      <c r="D803" s="318"/>
      <c r="E803" s="318"/>
      <c r="F803" s="318"/>
      <c r="G803" s="318"/>
      <c r="H803" s="318"/>
      <c r="I803" s="318"/>
      <c r="J803" s="318"/>
      <c r="K803" s="318"/>
      <c r="L803" s="318"/>
      <c r="M803" s="318"/>
      <c r="N803" s="293"/>
      <c r="O803" s="318"/>
      <c r="P803" s="318"/>
      <c r="Q803" s="318"/>
      <c r="R803" s="318"/>
      <c r="S803" s="318"/>
      <c r="T803" s="318"/>
      <c r="U803" s="318"/>
      <c r="V803" s="318"/>
      <c r="W803" s="318"/>
      <c r="X803" s="318"/>
      <c r="Y803" s="418"/>
      <c r="Z803" s="419"/>
      <c r="AA803" s="418"/>
      <c r="AB803" s="418"/>
      <c r="AC803" s="418"/>
      <c r="AD803" s="418"/>
      <c r="AE803" s="418"/>
      <c r="AF803" s="418"/>
      <c r="AG803" s="418"/>
      <c r="AH803" s="418"/>
      <c r="AI803" s="418"/>
      <c r="AJ803" s="418"/>
      <c r="AK803" s="418"/>
      <c r="AL803" s="418"/>
      <c r="AM803" s="315"/>
    </row>
    <row r="804" spans="1:39" ht="15.75" hidden="1" outlineLevel="1">
      <c r="A804" s="532"/>
      <c r="B804" s="290" t="s">
        <v>10</v>
      </c>
      <c r="C804" s="291"/>
      <c r="D804" s="291"/>
      <c r="E804" s="291"/>
      <c r="F804" s="291"/>
      <c r="G804" s="291"/>
      <c r="H804" s="291"/>
      <c r="I804" s="291"/>
      <c r="J804" s="291"/>
      <c r="K804" s="291"/>
      <c r="L804" s="291"/>
      <c r="M804" s="291"/>
      <c r="N804" s="292"/>
      <c r="O804" s="291"/>
      <c r="P804" s="291"/>
      <c r="Q804" s="291"/>
      <c r="R804" s="291"/>
      <c r="S804" s="291"/>
      <c r="T804" s="291"/>
      <c r="U804" s="291"/>
      <c r="V804" s="291"/>
      <c r="W804" s="291"/>
      <c r="X804" s="291"/>
      <c r="Y804" s="416"/>
      <c r="Z804" s="416"/>
      <c r="AA804" s="416"/>
      <c r="AB804" s="416"/>
      <c r="AC804" s="416"/>
      <c r="AD804" s="416"/>
      <c r="AE804" s="416"/>
      <c r="AF804" s="416"/>
      <c r="AG804" s="416"/>
      <c r="AH804" s="416"/>
      <c r="AI804" s="416"/>
      <c r="AJ804" s="416"/>
      <c r="AK804" s="416"/>
      <c r="AL804" s="416"/>
      <c r="AM804" s="294"/>
    </row>
    <row r="805" spans="1:39" ht="30" hidden="1" outlineLevel="1">
      <c r="A805" s="532">
        <v>11</v>
      </c>
      <c r="B805" s="430" t="s">
        <v>105</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28"/>
      <c r="Z805" s="417"/>
      <c r="AA805" s="417"/>
      <c r="AB805" s="417"/>
      <c r="AC805" s="417"/>
      <c r="AD805" s="417"/>
      <c r="AE805" s="417"/>
      <c r="AF805" s="417"/>
      <c r="AG805" s="417"/>
      <c r="AH805" s="417"/>
      <c r="AI805" s="417"/>
      <c r="AJ805" s="417"/>
      <c r="AK805" s="417"/>
      <c r="AL805" s="417"/>
      <c r="AM805" s="298">
        <f>SUM(Y805:AL805)</f>
        <v>0</v>
      </c>
    </row>
    <row r="806" spans="1:39" hidden="1" outlineLevel="1">
      <c r="A806" s="532"/>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2"/>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14"/>
      <c r="Z807" s="423"/>
      <c r="AA807" s="423"/>
      <c r="AB807" s="423"/>
      <c r="AC807" s="423"/>
      <c r="AD807" s="423"/>
      <c r="AE807" s="423"/>
      <c r="AF807" s="423"/>
      <c r="AG807" s="423"/>
      <c r="AH807" s="423"/>
      <c r="AI807" s="423"/>
      <c r="AJ807" s="423"/>
      <c r="AK807" s="423"/>
      <c r="AL807" s="423"/>
      <c r="AM807" s="308"/>
    </row>
    <row r="808" spans="1:39" ht="45" hidden="1" outlineLevel="1">
      <c r="A808" s="532">
        <v>12</v>
      </c>
      <c r="B808" s="430" t="s">
        <v>106</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2"/>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299"/>
    </row>
    <row r="810" spans="1:39" hidden="1" outlineLevel="1">
      <c r="A810" s="532"/>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24"/>
      <c r="Z810" s="424"/>
      <c r="AA810" s="414"/>
      <c r="AB810" s="414"/>
      <c r="AC810" s="414"/>
      <c r="AD810" s="414"/>
      <c r="AE810" s="414"/>
      <c r="AF810" s="414"/>
      <c r="AG810" s="414"/>
      <c r="AH810" s="414"/>
      <c r="AI810" s="414"/>
      <c r="AJ810" s="414"/>
      <c r="AK810" s="414"/>
      <c r="AL810" s="414"/>
      <c r="AM810" s="308"/>
    </row>
    <row r="811" spans="1:39" ht="30" hidden="1" outlineLevel="1">
      <c r="A811" s="532">
        <v>13</v>
      </c>
      <c r="B811" s="430" t="s">
        <v>107</v>
      </c>
      <c r="C811" s="293" t="s">
        <v>25</v>
      </c>
      <c r="D811" s="297"/>
      <c r="E811" s="297"/>
      <c r="F811" s="297"/>
      <c r="G811" s="297"/>
      <c r="H811" s="297"/>
      <c r="I811" s="297"/>
      <c r="J811" s="297"/>
      <c r="K811" s="297"/>
      <c r="L811" s="297"/>
      <c r="M811" s="297"/>
      <c r="N811" s="297">
        <v>12</v>
      </c>
      <c r="O811" s="297"/>
      <c r="P811" s="297"/>
      <c r="Q811" s="297"/>
      <c r="R811" s="297"/>
      <c r="S811" s="297"/>
      <c r="T811" s="297"/>
      <c r="U811" s="297"/>
      <c r="V811" s="297"/>
      <c r="W811" s="297"/>
      <c r="X811" s="297"/>
      <c r="Y811" s="412"/>
      <c r="Z811" s="417"/>
      <c r="AA811" s="417"/>
      <c r="AB811" s="417"/>
      <c r="AC811" s="417"/>
      <c r="AD811" s="417"/>
      <c r="AE811" s="417"/>
      <c r="AF811" s="417"/>
      <c r="AG811" s="417"/>
      <c r="AH811" s="417"/>
      <c r="AI811" s="417"/>
      <c r="AJ811" s="417"/>
      <c r="AK811" s="417"/>
      <c r="AL811" s="417"/>
      <c r="AM811" s="298">
        <f>SUM(Y811:AL811)</f>
        <v>0</v>
      </c>
    </row>
    <row r="812" spans="1:39" hidden="1" outlineLevel="1">
      <c r="A812" s="532"/>
      <c r="B812" s="296" t="s">
        <v>343</v>
      </c>
      <c r="C812" s="293" t="s">
        <v>164</v>
      </c>
      <c r="D812" s="297"/>
      <c r="E812" s="297"/>
      <c r="F812" s="297"/>
      <c r="G812" s="297"/>
      <c r="H812" s="297"/>
      <c r="I812" s="297"/>
      <c r="J812" s="297"/>
      <c r="K812" s="297"/>
      <c r="L812" s="297"/>
      <c r="M812" s="297"/>
      <c r="N812" s="297">
        <f>N811</f>
        <v>12</v>
      </c>
      <c r="O812" s="297"/>
      <c r="P812" s="297"/>
      <c r="Q812" s="297"/>
      <c r="R812" s="297"/>
      <c r="S812" s="297"/>
      <c r="T812" s="297"/>
      <c r="U812" s="297"/>
      <c r="V812" s="297"/>
      <c r="W812" s="297"/>
      <c r="X812" s="297"/>
      <c r="Y812" s="413">
        <f>Y811</f>
        <v>0</v>
      </c>
      <c r="Z812" s="413">
        <f t="shared" ref="Z812" si="2455">Z811</f>
        <v>0</v>
      </c>
      <c r="AA812" s="413">
        <f t="shared" ref="AA812" si="2456">AA811</f>
        <v>0</v>
      </c>
      <c r="AB812" s="413">
        <f t="shared" ref="AB812" si="2457">AB811</f>
        <v>0</v>
      </c>
      <c r="AC812" s="413">
        <f t="shared" ref="AC812" si="2458">AC811</f>
        <v>0</v>
      </c>
      <c r="AD812" s="413">
        <f t="shared" ref="AD812" si="2459">AD811</f>
        <v>0</v>
      </c>
      <c r="AE812" s="413">
        <f t="shared" ref="AE812" si="2460">AE811</f>
        <v>0</v>
      </c>
      <c r="AF812" s="413">
        <f t="shared" ref="AF812" si="2461">AF811</f>
        <v>0</v>
      </c>
      <c r="AG812" s="413">
        <f t="shared" ref="AG812" si="2462">AG811</f>
        <v>0</v>
      </c>
      <c r="AH812" s="413">
        <f t="shared" ref="AH812" si="2463">AH811</f>
        <v>0</v>
      </c>
      <c r="AI812" s="413">
        <f t="shared" ref="AI812" si="2464">AI811</f>
        <v>0</v>
      </c>
      <c r="AJ812" s="413">
        <f t="shared" ref="AJ812" si="2465">AJ811</f>
        <v>0</v>
      </c>
      <c r="AK812" s="413">
        <f t="shared" ref="AK812" si="2466">AK811</f>
        <v>0</v>
      </c>
      <c r="AL812" s="413">
        <f t="shared" ref="AL812" si="2467">AL811</f>
        <v>0</v>
      </c>
      <c r="AM812" s="308"/>
    </row>
    <row r="813" spans="1:39" hidden="1" outlineLevel="1">
      <c r="A813" s="532"/>
      <c r="B813" s="317"/>
      <c r="C813" s="307"/>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414"/>
      <c r="Z813" s="414"/>
      <c r="AA813" s="414"/>
      <c r="AB813" s="414"/>
      <c r="AC813" s="414"/>
      <c r="AD813" s="414"/>
      <c r="AE813" s="414"/>
      <c r="AF813" s="414"/>
      <c r="AG813" s="414"/>
      <c r="AH813" s="414"/>
      <c r="AI813" s="414"/>
      <c r="AJ813" s="414"/>
      <c r="AK813" s="414"/>
      <c r="AL813" s="414"/>
      <c r="AM813" s="308"/>
    </row>
    <row r="814" spans="1:39" ht="15.75" hidden="1" outlineLevel="1">
      <c r="A814" s="532"/>
      <c r="B814" s="290" t="s">
        <v>108</v>
      </c>
      <c r="C814" s="291"/>
      <c r="D814" s="292"/>
      <c r="E814" s="292"/>
      <c r="F814" s="292"/>
      <c r="G814" s="292"/>
      <c r="H814" s="292"/>
      <c r="I814" s="292"/>
      <c r="J814" s="292"/>
      <c r="K814" s="292"/>
      <c r="L814" s="292"/>
      <c r="M814" s="292"/>
      <c r="N814" s="292"/>
      <c r="O814" s="292"/>
      <c r="P814" s="291"/>
      <c r="Q814" s="291"/>
      <c r="R814" s="291"/>
      <c r="S814" s="291"/>
      <c r="T814" s="291"/>
      <c r="U814" s="291"/>
      <c r="V814" s="291"/>
      <c r="W814" s="291"/>
      <c r="X814" s="291"/>
      <c r="Y814" s="416"/>
      <c r="Z814" s="416"/>
      <c r="AA814" s="416"/>
      <c r="AB814" s="416"/>
      <c r="AC814" s="416"/>
      <c r="AD814" s="416"/>
      <c r="AE814" s="416"/>
      <c r="AF814" s="416"/>
      <c r="AG814" s="416"/>
      <c r="AH814" s="416"/>
      <c r="AI814" s="416"/>
      <c r="AJ814" s="416"/>
      <c r="AK814" s="416"/>
      <c r="AL814" s="416"/>
      <c r="AM814" s="294"/>
    </row>
    <row r="815" spans="1:39" hidden="1" outlineLevel="1">
      <c r="A815" s="532">
        <v>14</v>
      </c>
      <c r="B815" s="317" t="s">
        <v>109</v>
      </c>
      <c r="C815" s="293" t="s">
        <v>25</v>
      </c>
      <c r="D815" s="297"/>
      <c r="E815" s="297"/>
      <c r="F815" s="297"/>
      <c r="G815" s="297"/>
      <c r="H815" s="297"/>
      <c r="I815" s="297"/>
      <c r="J815" s="297"/>
      <c r="K815" s="297"/>
      <c r="L815" s="297"/>
      <c r="M815" s="297"/>
      <c r="N815" s="297">
        <v>12</v>
      </c>
      <c r="O815" s="297"/>
      <c r="P815" s="297"/>
      <c r="Q815" s="297"/>
      <c r="R815" s="297"/>
      <c r="S815" s="297"/>
      <c r="T815" s="297"/>
      <c r="U815" s="297"/>
      <c r="V815" s="297"/>
      <c r="W815" s="297"/>
      <c r="X815" s="297"/>
      <c r="Y815" s="417"/>
      <c r="Z815" s="417"/>
      <c r="AA815" s="417"/>
      <c r="AB815" s="417"/>
      <c r="AC815" s="417"/>
      <c r="AD815" s="417"/>
      <c r="AE815" s="417"/>
      <c r="AF815" s="412"/>
      <c r="AG815" s="412"/>
      <c r="AH815" s="412"/>
      <c r="AI815" s="412"/>
      <c r="AJ815" s="412"/>
      <c r="AK815" s="412"/>
      <c r="AL815" s="412"/>
      <c r="AM815" s="298">
        <f>SUM(Y815:AL815)</f>
        <v>0</v>
      </c>
    </row>
    <row r="816" spans="1:39" hidden="1" outlineLevel="1">
      <c r="A816" s="532"/>
      <c r="B816" s="296" t="s">
        <v>343</v>
      </c>
      <c r="C816" s="293" t="s">
        <v>164</v>
      </c>
      <c r="D816" s="297"/>
      <c r="E816" s="297"/>
      <c r="F816" s="297"/>
      <c r="G816" s="297"/>
      <c r="H816" s="297"/>
      <c r="I816" s="297"/>
      <c r="J816" s="297"/>
      <c r="K816" s="297"/>
      <c r="L816" s="297"/>
      <c r="M816" s="297"/>
      <c r="N816" s="297">
        <f>N815</f>
        <v>12</v>
      </c>
      <c r="O816" s="297"/>
      <c r="P816" s="297"/>
      <c r="Q816" s="297"/>
      <c r="R816" s="297"/>
      <c r="S816" s="297"/>
      <c r="T816" s="297"/>
      <c r="U816" s="297"/>
      <c r="V816" s="297"/>
      <c r="W816" s="297"/>
      <c r="X816" s="297"/>
      <c r="Y816" s="413">
        <f>Y815</f>
        <v>0</v>
      </c>
      <c r="Z816" s="413">
        <f t="shared" ref="Z816" si="2468">Z815</f>
        <v>0</v>
      </c>
      <c r="AA816" s="413">
        <f t="shared" ref="AA816" si="2469">AA815</f>
        <v>0</v>
      </c>
      <c r="AB816" s="413">
        <f t="shared" ref="AB816" si="2470">AB815</f>
        <v>0</v>
      </c>
      <c r="AC816" s="413">
        <f t="shared" ref="AC816" si="2471">AC815</f>
        <v>0</v>
      </c>
      <c r="AD816" s="413">
        <f t="shared" ref="AD816" si="2472">AD815</f>
        <v>0</v>
      </c>
      <c r="AE816" s="413">
        <f t="shared" ref="AE816" si="2473">AE815</f>
        <v>0</v>
      </c>
      <c r="AF816" s="413">
        <f t="shared" ref="AF816" si="2474">AF815</f>
        <v>0</v>
      </c>
      <c r="AG816" s="413">
        <f t="shared" ref="AG816" si="2475">AG815</f>
        <v>0</v>
      </c>
      <c r="AH816" s="413">
        <f t="shared" ref="AH816" si="2476">AH815</f>
        <v>0</v>
      </c>
      <c r="AI816" s="413">
        <f t="shared" ref="AI816" si="2477">AI815</f>
        <v>0</v>
      </c>
      <c r="AJ816" s="413">
        <f t="shared" ref="AJ816" si="2478">AJ815</f>
        <v>0</v>
      </c>
      <c r="AK816" s="413">
        <f t="shared" ref="AK816" si="2479">AK815</f>
        <v>0</v>
      </c>
      <c r="AL816" s="413">
        <f t="shared" ref="AL816" si="2480">AL815</f>
        <v>0</v>
      </c>
      <c r="AM816" s="299"/>
    </row>
    <row r="817" spans="1:39" hidden="1" outlineLevel="1">
      <c r="A817" s="532"/>
      <c r="B817" s="317"/>
      <c r="C817" s="307"/>
      <c r="D817" s="293"/>
      <c r="E817" s="293"/>
      <c r="F817" s="293"/>
      <c r="G817" s="293"/>
      <c r="H817" s="293"/>
      <c r="I817" s="293"/>
      <c r="J817" s="293"/>
      <c r="K817" s="293"/>
      <c r="L817" s="293"/>
      <c r="M817" s="293"/>
      <c r="N817" s="469"/>
      <c r="O817" s="293"/>
      <c r="P817" s="293"/>
      <c r="Q817" s="293"/>
      <c r="R817" s="293"/>
      <c r="S817" s="293"/>
      <c r="T817" s="293"/>
      <c r="U817" s="293"/>
      <c r="V817" s="293"/>
      <c r="W817" s="293"/>
      <c r="X817" s="293"/>
      <c r="Y817" s="414"/>
      <c r="Z817" s="414"/>
      <c r="AA817" s="414"/>
      <c r="AB817" s="414"/>
      <c r="AC817" s="414"/>
      <c r="AD817" s="414"/>
      <c r="AE817" s="414"/>
      <c r="AF817" s="414"/>
      <c r="AG817" s="414"/>
      <c r="AH817" s="414"/>
      <c r="AI817" s="414"/>
      <c r="AJ817" s="414"/>
      <c r="AK817" s="414"/>
      <c r="AL817" s="414"/>
      <c r="AM817" s="308"/>
    </row>
    <row r="818" spans="1:39" s="311" customFormat="1" ht="15.75" hidden="1" outlineLevel="1">
      <c r="A818" s="532"/>
      <c r="B818" s="290" t="s">
        <v>492</v>
      </c>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8"/>
      <c r="AF818" s="418"/>
      <c r="AG818" s="418"/>
      <c r="AH818" s="418"/>
      <c r="AI818" s="418"/>
      <c r="AJ818" s="418"/>
      <c r="AK818" s="418"/>
      <c r="AL818" s="418"/>
      <c r="AM818" s="517"/>
    </row>
    <row r="819" spans="1:39" hidden="1" outlineLevel="1">
      <c r="A819" s="532">
        <v>15</v>
      </c>
      <c r="B819" s="296" t="s">
        <v>497</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hidden="1" outlineLevel="1">
      <c r="A820" s="532"/>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81">Z819</f>
        <v>0</v>
      </c>
      <c r="AA820" s="413">
        <f t="shared" si="2481"/>
        <v>0</v>
      </c>
      <c r="AB820" s="413">
        <f t="shared" si="2481"/>
        <v>0</v>
      </c>
      <c r="AC820" s="413">
        <f t="shared" si="2481"/>
        <v>0</v>
      </c>
      <c r="AD820" s="413">
        <f t="shared" si="2481"/>
        <v>0</v>
      </c>
      <c r="AE820" s="413">
        <f t="shared" si="2481"/>
        <v>0</v>
      </c>
      <c r="AF820" s="413">
        <f t="shared" si="2481"/>
        <v>0</v>
      </c>
      <c r="AG820" s="413">
        <f t="shared" si="2481"/>
        <v>0</v>
      </c>
      <c r="AH820" s="413">
        <f t="shared" si="2481"/>
        <v>0</v>
      </c>
      <c r="AI820" s="413">
        <f t="shared" si="2481"/>
        <v>0</v>
      </c>
      <c r="AJ820" s="413">
        <f t="shared" si="2481"/>
        <v>0</v>
      </c>
      <c r="AK820" s="413">
        <f t="shared" si="2481"/>
        <v>0</v>
      </c>
      <c r="AL820" s="413">
        <f t="shared" si="2481"/>
        <v>0</v>
      </c>
      <c r="AM820" s="299"/>
    </row>
    <row r="821" spans="1:39" hidden="1" outlineLevel="1">
      <c r="A821" s="532"/>
      <c r="B821" s="317"/>
      <c r="C821" s="307"/>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4"/>
      <c r="AF821" s="414"/>
      <c r="AG821" s="414"/>
      <c r="AH821" s="414"/>
      <c r="AI821" s="414"/>
      <c r="AJ821" s="414"/>
      <c r="AK821" s="414"/>
      <c r="AL821" s="414"/>
      <c r="AM821" s="308"/>
    </row>
    <row r="822" spans="1:39" s="285" customFormat="1" hidden="1" outlineLevel="1">
      <c r="A822" s="532">
        <v>16</v>
      </c>
      <c r="B822" s="326" t="s">
        <v>493</v>
      </c>
      <c r="C822" s="293" t="s">
        <v>25</v>
      </c>
      <c r="D822" s="297"/>
      <c r="E822" s="297"/>
      <c r="F822" s="297"/>
      <c r="G822" s="297"/>
      <c r="H822" s="297"/>
      <c r="I822" s="297"/>
      <c r="J822" s="297"/>
      <c r="K822" s="297"/>
      <c r="L822" s="297"/>
      <c r="M822" s="297"/>
      <c r="N822" s="297">
        <v>0</v>
      </c>
      <c r="O822" s="297"/>
      <c r="P822" s="297"/>
      <c r="Q822" s="297"/>
      <c r="R822" s="297"/>
      <c r="S822" s="297"/>
      <c r="T822" s="297"/>
      <c r="U822" s="297"/>
      <c r="V822" s="297"/>
      <c r="W822" s="297"/>
      <c r="X822" s="297"/>
      <c r="Y822" s="417"/>
      <c r="Z822" s="417"/>
      <c r="AA822" s="417"/>
      <c r="AB822" s="417"/>
      <c r="AC822" s="417"/>
      <c r="AD822" s="417"/>
      <c r="AE822" s="417"/>
      <c r="AF822" s="412"/>
      <c r="AG822" s="412"/>
      <c r="AH822" s="412"/>
      <c r="AI822" s="412"/>
      <c r="AJ822" s="412"/>
      <c r="AK822" s="412"/>
      <c r="AL822" s="412"/>
      <c r="AM822" s="298">
        <f>SUM(Y822:AL822)</f>
        <v>0</v>
      </c>
    </row>
    <row r="823" spans="1:39" s="285" customFormat="1" hidden="1" outlineLevel="1">
      <c r="A823" s="532"/>
      <c r="B823" s="296" t="s">
        <v>343</v>
      </c>
      <c r="C823" s="293" t="s">
        <v>164</v>
      </c>
      <c r="D823" s="297"/>
      <c r="E823" s="297"/>
      <c r="F823" s="297"/>
      <c r="G823" s="297"/>
      <c r="H823" s="297"/>
      <c r="I823" s="297"/>
      <c r="J823" s="297"/>
      <c r="K823" s="297"/>
      <c r="L823" s="297"/>
      <c r="M823" s="297"/>
      <c r="N823" s="297">
        <f>N822</f>
        <v>0</v>
      </c>
      <c r="O823" s="297"/>
      <c r="P823" s="297"/>
      <c r="Q823" s="297"/>
      <c r="R823" s="297"/>
      <c r="S823" s="297"/>
      <c r="T823" s="297"/>
      <c r="U823" s="297"/>
      <c r="V823" s="297"/>
      <c r="W823" s="297"/>
      <c r="X823" s="297"/>
      <c r="Y823" s="413">
        <f>Y822</f>
        <v>0</v>
      </c>
      <c r="Z823" s="413">
        <f t="shared" ref="Z823:AL823" si="2482">Z822</f>
        <v>0</v>
      </c>
      <c r="AA823" s="413">
        <f t="shared" si="2482"/>
        <v>0</v>
      </c>
      <c r="AB823" s="413">
        <f t="shared" si="2482"/>
        <v>0</v>
      </c>
      <c r="AC823" s="413">
        <f t="shared" si="2482"/>
        <v>0</v>
      </c>
      <c r="AD823" s="413">
        <f t="shared" si="2482"/>
        <v>0</v>
      </c>
      <c r="AE823" s="413">
        <f t="shared" si="2482"/>
        <v>0</v>
      </c>
      <c r="AF823" s="413">
        <f t="shared" si="2482"/>
        <v>0</v>
      </c>
      <c r="AG823" s="413">
        <f t="shared" si="2482"/>
        <v>0</v>
      </c>
      <c r="AH823" s="413">
        <f t="shared" si="2482"/>
        <v>0</v>
      </c>
      <c r="AI823" s="413">
        <f t="shared" si="2482"/>
        <v>0</v>
      </c>
      <c r="AJ823" s="413">
        <f t="shared" si="2482"/>
        <v>0</v>
      </c>
      <c r="AK823" s="413">
        <f t="shared" si="2482"/>
        <v>0</v>
      </c>
      <c r="AL823" s="413">
        <f t="shared" si="2482"/>
        <v>0</v>
      </c>
      <c r="AM823" s="299"/>
    </row>
    <row r="824" spans="1:39" s="285" customFormat="1" hidden="1" outlineLevel="1">
      <c r="A824" s="532"/>
      <c r="B824" s="326"/>
      <c r="C824" s="293"/>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414"/>
      <c r="Z824" s="414"/>
      <c r="AA824" s="414"/>
      <c r="AB824" s="414"/>
      <c r="AC824" s="414"/>
      <c r="AD824" s="414"/>
      <c r="AE824" s="418"/>
      <c r="AF824" s="418"/>
      <c r="AG824" s="418"/>
      <c r="AH824" s="418"/>
      <c r="AI824" s="418"/>
      <c r="AJ824" s="418"/>
      <c r="AK824" s="418"/>
      <c r="AL824" s="418"/>
      <c r="AM824" s="315"/>
    </row>
    <row r="825" spans="1:39" ht="15.75" hidden="1" outlineLevel="1">
      <c r="A825" s="532"/>
      <c r="B825" s="519" t="s">
        <v>498</v>
      </c>
      <c r="C825" s="322"/>
      <c r="D825" s="292"/>
      <c r="E825" s="291"/>
      <c r="F825" s="291"/>
      <c r="G825" s="291"/>
      <c r="H825" s="291"/>
      <c r="I825" s="291"/>
      <c r="J825" s="291"/>
      <c r="K825" s="291"/>
      <c r="L825" s="291"/>
      <c r="M825" s="291"/>
      <c r="N825" s="292"/>
      <c r="O825" s="291"/>
      <c r="P825" s="291"/>
      <c r="Q825" s="291"/>
      <c r="R825" s="291"/>
      <c r="S825" s="291"/>
      <c r="T825" s="291"/>
      <c r="U825" s="291"/>
      <c r="V825" s="291"/>
      <c r="W825" s="291"/>
      <c r="X825" s="291"/>
      <c r="Y825" s="416"/>
      <c r="Z825" s="416"/>
      <c r="AA825" s="416"/>
      <c r="AB825" s="416"/>
      <c r="AC825" s="416"/>
      <c r="AD825" s="416"/>
      <c r="AE825" s="416"/>
      <c r="AF825" s="416"/>
      <c r="AG825" s="416"/>
      <c r="AH825" s="416"/>
      <c r="AI825" s="416"/>
      <c r="AJ825" s="416"/>
      <c r="AK825" s="416"/>
      <c r="AL825" s="416"/>
      <c r="AM825" s="294"/>
    </row>
    <row r="826" spans="1:39" hidden="1" outlineLevel="1">
      <c r="A826" s="532">
        <v>17</v>
      </c>
      <c r="B826" s="430" t="s">
        <v>113</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2"/>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83">Z826</f>
        <v>0</v>
      </c>
      <c r="AA827" s="413">
        <f t="shared" si="2483"/>
        <v>0</v>
      </c>
      <c r="AB827" s="413">
        <f t="shared" si="2483"/>
        <v>0</v>
      </c>
      <c r="AC827" s="413">
        <f t="shared" si="2483"/>
        <v>0</v>
      </c>
      <c r="AD827" s="413">
        <f t="shared" si="2483"/>
        <v>0</v>
      </c>
      <c r="AE827" s="413">
        <f t="shared" si="2483"/>
        <v>0</v>
      </c>
      <c r="AF827" s="413">
        <f t="shared" si="2483"/>
        <v>0</v>
      </c>
      <c r="AG827" s="413">
        <f t="shared" si="2483"/>
        <v>0</v>
      </c>
      <c r="AH827" s="413">
        <f t="shared" si="2483"/>
        <v>0</v>
      </c>
      <c r="AI827" s="413">
        <f t="shared" si="2483"/>
        <v>0</v>
      </c>
      <c r="AJ827" s="413">
        <f t="shared" si="2483"/>
        <v>0</v>
      </c>
      <c r="AK827" s="413">
        <f t="shared" si="2483"/>
        <v>0</v>
      </c>
      <c r="AL827" s="413">
        <f t="shared" si="2483"/>
        <v>0</v>
      </c>
      <c r="AM827" s="308"/>
    </row>
    <row r="828" spans="1:39" hidden="1" outlineLevel="1">
      <c r="A828" s="532"/>
      <c r="B828" s="296"/>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4"/>
      <c r="Z828" s="427"/>
      <c r="AA828" s="427"/>
      <c r="AB828" s="427"/>
      <c r="AC828" s="427"/>
      <c r="AD828" s="427"/>
      <c r="AE828" s="427"/>
      <c r="AF828" s="427"/>
      <c r="AG828" s="427"/>
      <c r="AH828" s="427"/>
      <c r="AI828" s="427"/>
      <c r="AJ828" s="427"/>
      <c r="AK828" s="427"/>
      <c r="AL828" s="427"/>
      <c r="AM828" s="308"/>
    </row>
    <row r="829" spans="1:39" hidden="1" outlineLevel="1">
      <c r="A829" s="532">
        <v>18</v>
      </c>
      <c r="B829" s="430" t="s">
        <v>110</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2"/>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84">Z829</f>
        <v>0</v>
      </c>
      <c r="AA830" s="413">
        <f t="shared" si="2484"/>
        <v>0</v>
      </c>
      <c r="AB830" s="413">
        <f t="shared" si="2484"/>
        <v>0</v>
      </c>
      <c r="AC830" s="413">
        <f t="shared" si="2484"/>
        <v>0</v>
      </c>
      <c r="AD830" s="413">
        <f t="shared" si="2484"/>
        <v>0</v>
      </c>
      <c r="AE830" s="413">
        <f t="shared" si="2484"/>
        <v>0</v>
      </c>
      <c r="AF830" s="413">
        <f t="shared" si="2484"/>
        <v>0</v>
      </c>
      <c r="AG830" s="413">
        <f t="shared" si="2484"/>
        <v>0</v>
      </c>
      <c r="AH830" s="413">
        <f t="shared" si="2484"/>
        <v>0</v>
      </c>
      <c r="AI830" s="413">
        <f t="shared" si="2484"/>
        <v>0</v>
      </c>
      <c r="AJ830" s="413">
        <f t="shared" si="2484"/>
        <v>0</v>
      </c>
      <c r="AK830" s="413">
        <f t="shared" si="2484"/>
        <v>0</v>
      </c>
      <c r="AL830" s="413">
        <f t="shared" si="2484"/>
        <v>0</v>
      </c>
      <c r="AM830" s="308"/>
    </row>
    <row r="831" spans="1:39" hidden="1" outlineLevel="1">
      <c r="A831" s="532"/>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25"/>
      <c r="Z831" s="426"/>
      <c r="AA831" s="426"/>
      <c r="AB831" s="426"/>
      <c r="AC831" s="426"/>
      <c r="AD831" s="426"/>
      <c r="AE831" s="426"/>
      <c r="AF831" s="426"/>
      <c r="AG831" s="426"/>
      <c r="AH831" s="426"/>
      <c r="AI831" s="426"/>
      <c r="AJ831" s="426"/>
      <c r="AK831" s="426"/>
      <c r="AL831" s="426"/>
      <c r="AM831" s="299"/>
    </row>
    <row r="832" spans="1:39" hidden="1" outlineLevel="1">
      <c r="A832" s="532">
        <v>19</v>
      </c>
      <c r="B832" s="430" t="s">
        <v>112</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2"/>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85">Z832</f>
        <v>0</v>
      </c>
      <c r="AA833" s="413">
        <f t="shared" si="2485"/>
        <v>0</v>
      </c>
      <c r="AB833" s="413">
        <f t="shared" si="2485"/>
        <v>0</v>
      </c>
      <c r="AC833" s="413">
        <f t="shared" si="2485"/>
        <v>0</v>
      </c>
      <c r="AD833" s="413">
        <f t="shared" si="2485"/>
        <v>0</v>
      </c>
      <c r="AE833" s="413">
        <f t="shared" si="2485"/>
        <v>0</v>
      </c>
      <c r="AF833" s="413">
        <f t="shared" si="2485"/>
        <v>0</v>
      </c>
      <c r="AG833" s="413">
        <f t="shared" si="2485"/>
        <v>0</v>
      </c>
      <c r="AH833" s="413">
        <f t="shared" si="2485"/>
        <v>0</v>
      </c>
      <c r="AI833" s="413">
        <f t="shared" si="2485"/>
        <v>0</v>
      </c>
      <c r="AJ833" s="413">
        <f t="shared" si="2485"/>
        <v>0</v>
      </c>
      <c r="AK833" s="413">
        <f t="shared" si="2485"/>
        <v>0</v>
      </c>
      <c r="AL833" s="413">
        <f t="shared" si="2485"/>
        <v>0</v>
      </c>
      <c r="AM833" s="299"/>
    </row>
    <row r="834" spans="1:39" hidden="1" outlineLevel="1">
      <c r="A834" s="532"/>
      <c r="B834" s="324"/>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idden="1" outlineLevel="1">
      <c r="A835" s="532">
        <v>20</v>
      </c>
      <c r="B835" s="430" t="s">
        <v>111</v>
      </c>
      <c r="C835" s="293" t="s">
        <v>25</v>
      </c>
      <c r="D835" s="297"/>
      <c r="E835" s="297"/>
      <c r="F835" s="297"/>
      <c r="G835" s="297"/>
      <c r="H835" s="297"/>
      <c r="I835" s="297"/>
      <c r="J835" s="297"/>
      <c r="K835" s="297"/>
      <c r="L835" s="297"/>
      <c r="M835" s="297"/>
      <c r="N835" s="297">
        <v>0</v>
      </c>
      <c r="O835" s="297"/>
      <c r="P835" s="297"/>
      <c r="Q835" s="297"/>
      <c r="R835" s="297"/>
      <c r="S835" s="297"/>
      <c r="T835" s="297"/>
      <c r="U835" s="297"/>
      <c r="V835" s="297"/>
      <c r="W835" s="297"/>
      <c r="X835" s="297"/>
      <c r="Y835" s="428"/>
      <c r="Z835" s="412"/>
      <c r="AA835" s="412"/>
      <c r="AB835" s="412"/>
      <c r="AC835" s="412"/>
      <c r="AD835" s="412"/>
      <c r="AE835" s="412"/>
      <c r="AF835" s="417"/>
      <c r="AG835" s="417"/>
      <c r="AH835" s="417"/>
      <c r="AI835" s="417"/>
      <c r="AJ835" s="417"/>
      <c r="AK835" s="417"/>
      <c r="AL835" s="417"/>
      <c r="AM835" s="298">
        <f>SUM(Y835:AL835)</f>
        <v>0</v>
      </c>
    </row>
    <row r="836" spans="1:39" hidden="1" outlineLevel="1">
      <c r="A836" s="532"/>
      <c r="B836" s="296" t="s">
        <v>343</v>
      </c>
      <c r="C836" s="293" t="s">
        <v>164</v>
      </c>
      <c r="D836" s="297"/>
      <c r="E836" s="297"/>
      <c r="F836" s="297"/>
      <c r="G836" s="297"/>
      <c r="H836" s="297"/>
      <c r="I836" s="297"/>
      <c r="J836" s="297"/>
      <c r="K836" s="297"/>
      <c r="L836" s="297"/>
      <c r="M836" s="297"/>
      <c r="N836" s="297">
        <f>N835</f>
        <v>0</v>
      </c>
      <c r="O836" s="297"/>
      <c r="P836" s="297"/>
      <c r="Q836" s="297"/>
      <c r="R836" s="297"/>
      <c r="S836" s="297"/>
      <c r="T836" s="297"/>
      <c r="U836" s="297"/>
      <c r="V836" s="297"/>
      <c r="W836" s="297"/>
      <c r="X836" s="297"/>
      <c r="Y836" s="413">
        <f>Y835</f>
        <v>0</v>
      </c>
      <c r="Z836" s="413">
        <f t="shared" ref="Z836:AL836" si="2486">Z835</f>
        <v>0</v>
      </c>
      <c r="AA836" s="413">
        <f t="shared" si="2486"/>
        <v>0</v>
      </c>
      <c r="AB836" s="413">
        <f t="shared" si="2486"/>
        <v>0</v>
      </c>
      <c r="AC836" s="413">
        <f t="shared" si="2486"/>
        <v>0</v>
      </c>
      <c r="AD836" s="413">
        <f t="shared" si="2486"/>
        <v>0</v>
      </c>
      <c r="AE836" s="413">
        <f t="shared" si="2486"/>
        <v>0</v>
      </c>
      <c r="AF836" s="413">
        <f t="shared" si="2486"/>
        <v>0</v>
      </c>
      <c r="AG836" s="413">
        <f t="shared" si="2486"/>
        <v>0</v>
      </c>
      <c r="AH836" s="413">
        <f t="shared" si="2486"/>
        <v>0</v>
      </c>
      <c r="AI836" s="413">
        <f t="shared" si="2486"/>
        <v>0</v>
      </c>
      <c r="AJ836" s="413">
        <f t="shared" si="2486"/>
        <v>0</v>
      </c>
      <c r="AK836" s="413">
        <f t="shared" si="2486"/>
        <v>0</v>
      </c>
      <c r="AL836" s="413">
        <f t="shared" si="2486"/>
        <v>0</v>
      </c>
      <c r="AM836" s="308"/>
    </row>
    <row r="837" spans="1:39" ht="15.75" hidden="1" outlineLevel="1">
      <c r="A837" s="532"/>
      <c r="B837" s="325"/>
      <c r="C837" s="302"/>
      <c r="D837" s="293"/>
      <c r="E837" s="293"/>
      <c r="F837" s="293"/>
      <c r="G837" s="293"/>
      <c r="H837" s="293"/>
      <c r="I837" s="293"/>
      <c r="J837" s="293"/>
      <c r="K837" s="293"/>
      <c r="L837" s="293"/>
      <c r="M837" s="293"/>
      <c r="N837" s="302"/>
      <c r="O837" s="293"/>
      <c r="P837" s="293"/>
      <c r="Q837" s="293"/>
      <c r="R837" s="293"/>
      <c r="S837" s="293"/>
      <c r="T837" s="293"/>
      <c r="U837" s="293"/>
      <c r="V837" s="293"/>
      <c r="W837" s="293"/>
      <c r="X837" s="293"/>
      <c r="Y837" s="414"/>
      <c r="Z837" s="414"/>
      <c r="AA837" s="414"/>
      <c r="AB837" s="414"/>
      <c r="AC837" s="414"/>
      <c r="AD837" s="414"/>
      <c r="AE837" s="414"/>
      <c r="AF837" s="414"/>
      <c r="AG837" s="414"/>
      <c r="AH837" s="414"/>
      <c r="AI837" s="414"/>
      <c r="AJ837" s="414"/>
      <c r="AK837" s="414"/>
      <c r="AL837" s="414"/>
      <c r="AM837" s="308"/>
    </row>
    <row r="838" spans="1:39" ht="15.75" hidden="1" outlineLevel="1">
      <c r="A838" s="532"/>
      <c r="B838" s="518" t="s">
        <v>505</v>
      </c>
      <c r="C838" s="293"/>
      <c r="D838" s="293"/>
      <c r="E838" s="293"/>
      <c r="F838" s="293"/>
      <c r="G838" s="293"/>
      <c r="H838" s="293"/>
      <c r="I838" s="293"/>
      <c r="J838" s="293"/>
      <c r="K838" s="293"/>
      <c r="L838" s="293"/>
      <c r="M838" s="293"/>
      <c r="N838" s="293"/>
      <c r="O838" s="293"/>
      <c r="P838" s="293"/>
      <c r="Q838" s="293"/>
      <c r="R838" s="293"/>
      <c r="S838" s="293"/>
      <c r="T838" s="293"/>
      <c r="U838" s="293"/>
      <c r="V838" s="293"/>
      <c r="W838" s="293"/>
      <c r="X838" s="293"/>
      <c r="Y838" s="424"/>
      <c r="Z838" s="427"/>
      <c r="AA838" s="427"/>
      <c r="AB838" s="427"/>
      <c r="AC838" s="427"/>
      <c r="AD838" s="427"/>
      <c r="AE838" s="427"/>
      <c r="AF838" s="427"/>
      <c r="AG838" s="427"/>
      <c r="AH838" s="427"/>
      <c r="AI838" s="427"/>
      <c r="AJ838" s="427"/>
      <c r="AK838" s="427"/>
      <c r="AL838" s="427"/>
      <c r="AM838" s="308"/>
    </row>
    <row r="839" spans="1:39" ht="15.75" hidden="1" outlineLevel="1">
      <c r="A839" s="532"/>
      <c r="B839" s="504" t="s">
        <v>501</v>
      </c>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idden="1" outlineLevel="1">
      <c r="A840" s="532">
        <v>21</v>
      </c>
      <c r="B840" s="430" t="s">
        <v>114</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2"/>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2"/>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2">
        <v>22</v>
      </c>
      <c r="B843" s="430" t="s">
        <v>115</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2"/>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2"/>
      <c r="B845" s="296"/>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2">
        <v>23</v>
      </c>
      <c r="B846" s="430" t="s">
        <v>116</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2"/>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2"/>
      <c r="B848" s="432"/>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24"/>
      <c r="Z848" s="427"/>
      <c r="AA848" s="427"/>
      <c r="AB848" s="427"/>
      <c r="AC848" s="427"/>
      <c r="AD848" s="427"/>
      <c r="AE848" s="427"/>
      <c r="AF848" s="427"/>
      <c r="AG848" s="427"/>
      <c r="AH848" s="427"/>
      <c r="AI848" s="427"/>
      <c r="AJ848" s="427"/>
      <c r="AK848" s="427"/>
      <c r="AL848" s="427"/>
      <c r="AM848" s="308"/>
    </row>
    <row r="849" spans="1:39" ht="30" hidden="1" outlineLevel="1">
      <c r="A849" s="532">
        <v>24</v>
      </c>
      <c r="B849" s="430" t="s">
        <v>117</v>
      </c>
      <c r="C849" s="293" t="s">
        <v>25</v>
      </c>
      <c r="D849" s="297"/>
      <c r="E849" s="297"/>
      <c r="F849" s="297"/>
      <c r="G849" s="297"/>
      <c r="H849" s="297"/>
      <c r="I849" s="297"/>
      <c r="J849" s="297"/>
      <c r="K849" s="297"/>
      <c r="L849" s="297"/>
      <c r="M849" s="297"/>
      <c r="N849" s="293"/>
      <c r="O849" s="297"/>
      <c r="P849" s="297"/>
      <c r="Q849" s="297"/>
      <c r="R849" s="297"/>
      <c r="S849" s="297"/>
      <c r="T849" s="297"/>
      <c r="U849" s="297"/>
      <c r="V849" s="297"/>
      <c r="W849" s="297"/>
      <c r="X849" s="297"/>
      <c r="Y849" s="417"/>
      <c r="Z849" s="417"/>
      <c r="AA849" s="417"/>
      <c r="AB849" s="417"/>
      <c r="AC849" s="417"/>
      <c r="AD849" s="417"/>
      <c r="AE849" s="417"/>
      <c r="AF849" s="412"/>
      <c r="AG849" s="412"/>
      <c r="AH849" s="412"/>
      <c r="AI849" s="412"/>
      <c r="AJ849" s="412"/>
      <c r="AK849" s="412"/>
      <c r="AL849" s="412"/>
      <c r="AM849" s="298">
        <f>SUM(Y849:AL849)</f>
        <v>0</v>
      </c>
    </row>
    <row r="850" spans="1:39" hidden="1" outlineLevel="1">
      <c r="A850" s="532"/>
      <c r="B850" s="296" t="s">
        <v>343</v>
      </c>
      <c r="C850" s="293" t="s">
        <v>164</v>
      </c>
      <c r="D850" s="297"/>
      <c r="E850" s="297"/>
      <c r="F850" s="297"/>
      <c r="G850" s="297"/>
      <c r="H850" s="297"/>
      <c r="I850" s="297"/>
      <c r="J850" s="297"/>
      <c r="K850" s="297"/>
      <c r="L850" s="297"/>
      <c r="M850" s="297"/>
      <c r="N850" s="293"/>
      <c r="O850" s="297"/>
      <c r="P850" s="297"/>
      <c r="Q850" s="297"/>
      <c r="R850" s="297"/>
      <c r="S850" s="297"/>
      <c r="T850" s="297"/>
      <c r="U850" s="297"/>
      <c r="V850" s="297"/>
      <c r="W850" s="297"/>
      <c r="X850" s="297"/>
      <c r="Y850" s="413">
        <f>Y849</f>
        <v>0</v>
      </c>
      <c r="Z850" s="413">
        <f t="shared" ref="Z850" si="2526">Z849</f>
        <v>0</v>
      </c>
      <c r="AA850" s="413">
        <f t="shared" ref="AA850" si="2527">AA849</f>
        <v>0</v>
      </c>
      <c r="AB850" s="413">
        <f t="shared" ref="AB850" si="2528">AB849</f>
        <v>0</v>
      </c>
      <c r="AC850" s="413">
        <f t="shared" ref="AC850" si="2529">AC849</f>
        <v>0</v>
      </c>
      <c r="AD850" s="413">
        <f t="shared" ref="AD850" si="2530">AD849</f>
        <v>0</v>
      </c>
      <c r="AE850" s="413">
        <f t="shared" ref="AE850" si="2531">AE849</f>
        <v>0</v>
      </c>
      <c r="AF850" s="413">
        <f t="shared" ref="AF850" si="2532">AF849</f>
        <v>0</v>
      </c>
      <c r="AG850" s="413">
        <f t="shared" ref="AG850" si="2533">AG849</f>
        <v>0</v>
      </c>
      <c r="AH850" s="413">
        <f t="shared" ref="AH850" si="2534">AH849</f>
        <v>0</v>
      </c>
      <c r="AI850" s="413">
        <f t="shared" ref="AI850" si="2535">AI849</f>
        <v>0</v>
      </c>
      <c r="AJ850" s="413">
        <f t="shared" ref="AJ850" si="2536">AJ849</f>
        <v>0</v>
      </c>
      <c r="AK850" s="413">
        <f t="shared" ref="AK850" si="2537">AK849</f>
        <v>0</v>
      </c>
      <c r="AL850" s="413">
        <f t="shared" ref="AL850" si="2538">AL849</f>
        <v>0</v>
      </c>
      <c r="AM850" s="308"/>
    </row>
    <row r="851" spans="1:39" hidden="1" outlineLevel="1">
      <c r="A851" s="532"/>
      <c r="B851" s="296"/>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414"/>
      <c r="Z851" s="427"/>
      <c r="AA851" s="427"/>
      <c r="AB851" s="427"/>
      <c r="AC851" s="427"/>
      <c r="AD851" s="427"/>
      <c r="AE851" s="427"/>
      <c r="AF851" s="427"/>
      <c r="AG851" s="427"/>
      <c r="AH851" s="427"/>
      <c r="AI851" s="427"/>
      <c r="AJ851" s="427"/>
      <c r="AK851" s="427"/>
      <c r="AL851" s="427"/>
      <c r="AM851" s="308"/>
    </row>
    <row r="852" spans="1:39" ht="15.75" hidden="1" outlineLevel="1">
      <c r="A852" s="532"/>
      <c r="B852" s="290" t="s">
        <v>502</v>
      </c>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2">
        <v>25</v>
      </c>
      <c r="B853" s="430" t="s">
        <v>118</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2"/>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2"/>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idden="1" outlineLevel="1">
      <c r="A856" s="532">
        <v>26</v>
      </c>
      <c r="B856" s="430" t="s">
        <v>119</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2"/>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2"/>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2">
        <v>27</v>
      </c>
      <c r="B859" s="430" t="s">
        <v>120</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2"/>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2"/>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2">
        <v>28</v>
      </c>
      <c r="B862" s="430" t="s">
        <v>121</v>
      </c>
      <c r="C862" s="293" t="s">
        <v>25</v>
      </c>
      <c r="D862" s="297"/>
      <c r="E862" s="297"/>
      <c r="F862" s="297"/>
      <c r="G862" s="297"/>
      <c r="H862" s="297"/>
      <c r="I862" s="297"/>
      <c r="J862" s="297"/>
      <c r="K862" s="297"/>
      <c r="L862" s="297"/>
      <c r="M862" s="297"/>
      <c r="N862" s="297">
        <v>12</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2"/>
      <c r="B863" s="296" t="s">
        <v>343</v>
      </c>
      <c r="C863" s="293" t="s">
        <v>164</v>
      </c>
      <c r="D863" s="297"/>
      <c r="E863" s="297"/>
      <c r="F863" s="297"/>
      <c r="G863" s="297"/>
      <c r="H863" s="297"/>
      <c r="I863" s="297"/>
      <c r="J863" s="297"/>
      <c r="K863" s="297"/>
      <c r="L863" s="297"/>
      <c r="M863" s="297"/>
      <c r="N863" s="297">
        <f>N862</f>
        <v>12</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2"/>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2">
        <v>29</v>
      </c>
      <c r="B865" s="430" t="s">
        <v>122</v>
      </c>
      <c r="C865" s="293" t="s">
        <v>25</v>
      </c>
      <c r="D865" s="297"/>
      <c r="E865" s="297"/>
      <c r="F865" s="297"/>
      <c r="G865" s="297"/>
      <c r="H865" s="297"/>
      <c r="I865" s="297"/>
      <c r="J865" s="297"/>
      <c r="K865" s="297"/>
      <c r="L865" s="297"/>
      <c r="M865" s="297"/>
      <c r="N865" s="297">
        <v>3</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2"/>
      <c r="B866" s="296" t="s">
        <v>343</v>
      </c>
      <c r="C866" s="293" t="s">
        <v>164</v>
      </c>
      <c r="D866" s="297"/>
      <c r="E866" s="297"/>
      <c r="F866" s="297"/>
      <c r="G866" s="297"/>
      <c r="H866" s="297"/>
      <c r="I866" s="297"/>
      <c r="J866" s="297"/>
      <c r="K866" s="297"/>
      <c r="L866" s="297"/>
      <c r="M866" s="297"/>
      <c r="N866" s="297">
        <f>N865</f>
        <v>3</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2"/>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2">
        <v>30</v>
      </c>
      <c r="B868" s="430" t="s">
        <v>123</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2"/>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2"/>
      <c r="B870" s="296"/>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2">
        <v>31</v>
      </c>
      <c r="B871" s="430" t="s">
        <v>124</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2"/>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 t="shared" ref="AL872" si="2629">AL871</f>
        <v>0</v>
      </c>
      <c r="AM872" s="308"/>
    </row>
    <row r="873" spans="1:39" hidden="1" outlineLevel="1">
      <c r="A873" s="532"/>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30" hidden="1" outlineLevel="1">
      <c r="A874" s="532">
        <v>32</v>
      </c>
      <c r="B874" s="430" t="s">
        <v>125</v>
      </c>
      <c r="C874" s="293" t="s">
        <v>25</v>
      </c>
      <c r="D874" s="297"/>
      <c r="E874" s="297"/>
      <c r="F874" s="297"/>
      <c r="G874" s="297"/>
      <c r="H874" s="297"/>
      <c r="I874" s="297"/>
      <c r="J874" s="297"/>
      <c r="K874" s="297"/>
      <c r="L874" s="297"/>
      <c r="M874" s="297"/>
      <c r="N874" s="297">
        <v>12</v>
      </c>
      <c r="O874" s="297"/>
      <c r="P874" s="297"/>
      <c r="Q874" s="297"/>
      <c r="R874" s="297"/>
      <c r="S874" s="297"/>
      <c r="T874" s="297"/>
      <c r="U874" s="297"/>
      <c r="V874" s="297"/>
      <c r="W874" s="297"/>
      <c r="X874" s="297"/>
      <c r="Y874" s="428"/>
      <c r="Z874" s="417"/>
      <c r="AA874" s="417"/>
      <c r="AB874" s="417"/>
      <c r="AC874" s="417"/>
      <c r="AD874" s="417"/>
      <c r="AE874" s="417"/>
      <c r="AF874" s="417"/>
      <c r="AG874" s="417"/>
      <c r="AH874" s="417"/>
      <c r="AI874" s="417"/>
      <c r="AJ874" s="417"/>
      <c r="AK874" s="417"/>
      <c r="AL874" s="417"/>
      <c r="AM874" s="298">
        <f>SUM(Y874:AL874)</f>
        <v>0</v>
      </c>
    </row>
    <row r="875" spans="1:39" hidden="1" outlineLevel="1">
      <c r="A875" s="532"/>
      <c r="B875" s="296" t="s">
        <v>343</v>
      </c>
      <c r="C875" s="293" t="s">
        <v>164</v>
      </c>
      <c r="D875" s="297"/>
      <c r="E875" s="297"/>
      <c r="F875" s="297"/>
      <c r="G875" s="297"/>
      <c r="H875" s="297"/>
      <c r="I875" s="297"/>
      <c r="J875" s="297"/>
      <c r="K875" s="297"/>
      <c r="L875" s="297"/>
      <c r="M875" s="297"/>
      <c r="N875" s="297">
        <f>N874</f>
        <v>12</v>
      </c>
      <c r="O875" s="297"/>
      <c r="P875" s="297"/>
      <c r="Q875" s="297"/>
      <c r="R875" s="297"/>
      <c r="S875" s="297"/>
      <c r="T875" s="297"/>
      <c r="U875" s="297"/>
      <c r="V875" s="297"/>
      <c r="W875" s="297"/>
      <c r="X875" s="297"/>
      <c r="Y875" s="413">
        <f>Y874</f>
        <v>0</v>
      </c>
      <c r="Z875" s="413">
        <f t="shared" ref="Z875" si="2630">Z874</f>
        <v>0</v>
      </c>
      <c r="AA875" s="413">
        <f t="shared" ref="AA875" si="2631">AA874</f>
        <v>0</v>
      </c>
      <c r="AB875" s="413">
        <f t="shared" ref="AB875" si="2632">AB874</f>
        <v>0</v>
      </c>
      <c r="AC875" s="413">
        <f t="shared" ref="AC875" si="2633">AC874</f>
        <v>0</v>
      </c>
      <c r="AD875" s="413">
        <f t="shared" ref="AD875" si="2634">AD874</f>
        <v>0</v>
      </c>
      <c r="AE875" s="413">
        <f t="shared" ref="AE875" si="2635">AE874</f>
        <v>0</v>
      </c>
      <c r="AF875" s="413">
        <f t="shared" ref="AF875" si="2636">AF874</f>
        <v>0</v>
      </c>
      <c r="AG875" s="413">
        <f t="shared" ref="AG875" si="2637">AG874</f>
        <v>0</v>
      </c>
      <c r="AH875" s="413">
        <f t="shared" ref="AH875" si="2638">AH874</f>
        <v>0</v>
      </c>
      <c r="AI875" s="413">
        <f t="shared" ref="AI875" si="2639">AI874</f>
        <v>0</v>
      </c>
      <c r="AJ875" s="413">
        <f t="shared" ref="AJ875" si="2640">AJ874</f>
        <v>0</v>
      </c>
      <c r="AK875" s="413">
        <f t="shared" ref="AK875" si="2641">AK874</f>
        <v>0</v>
      </c>
      <c r="AL875" s="413">
        <f>AL874</f>
        <v>0</v>
      </c>
      <c r="AM875" s="308"/>
    </row>
    <row r="876" spans="1:39" hidden="1" outlineLevel="1">
      <c r="A876" s="532"/>
      <c r="B876" s="430"/>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414"/>
      <c r="Z876" s="427"/>
      <c r="AA876" s="427"/>
      <c r="AB876" s="427"/>
      <c r="AC876" s="427"/>
      <c r="AD876" s="427"/>
      <c r="AE876" s="427"/>
      <c r="AF876" s="427"/>
      <c r="AG876" s="427"/>
      <c r="AH876" s="427"/>
      <c r="AI876" s="427"/>
      <c r="AJ876" s="427"/>
      <c r="AK876" s="427"/>
      <c r="AL876" s="427"/>
      <c r="AM876" s="308"/>
    </row>
    <row r="877" spans="1:39" ht="15.75" hidden="1" outlineLevel="1">
      <c r="A877" s="532"/>
      <c r="B877" s="290" t="s">
        <v>503</v>
      </c>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2">
        <v>33</v>
      </c>
      <c r="B878" s="430" t="s">
        <v>126</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2"/>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2"/>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2">
        <v>34</v>
      </c>
      <c r="B881" s="430" t="s">
        <v>127</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2"/>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2"/>
      <c r="B883" s="430"/>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idden="1" outlineLevel="1">
      <c r="A884" s="532">
        <v>35</v>
      </c>
      <c r="B884" s="430" t="s">
        <v>128</v>
      </c>
      <c r="C884" s="293" t="s">
        <v>25</v>
      </c>
      <c r="D884" s="297"/>
      <c r="E884" s="297"/>
      <c r="F884" s="297"/>
      <c r="G884" s="297"/>
      <c r="H884" s="297"/>
      <c r="I884" s="297"/>
      <c r="J884" s="297"/>
      <c r="K884" s="297"/>
      <c r="L884" s="297"/>
      <c r="M884" s="297"/>
      <c r="N884" s="297">
        <v>0</v>
      </c>
      <c r="O884" s="297"/>
      <c r="P884" s="297"/>
      <c r="Q884" s="297"/>
      <c r="R884" s="297"/>
      <c r="S884" s="297"/>
      <c r="T884" s="297"/>
      <c r="U884" s="297"/>
      <c r="V884" s="297"/>
      <c r="W884" s="297"/>
      <c r="X884" s="297"/>
      <c r="Y884" s="428"/>
      <c r="Z884" s="417"/>
      <c r="AA884" s="417"/>
      <c r="AB884" s="417"/>
      <c r="AC884" s="417"/>
      <c r="AD884" s="417"/>
      <c r="AE884" s="417"/>
      <c r="AF884" s="417"/>
      <c r="AG884" s="417"/>
      <c r="AH884" s="417"/>
      <c r="AI884" s="417"/>
      <c r="AJ884" s="417"/>
      <c r="AK884" s="417"/>
      <c r="AL884" s="417"/>
      <c r="AM884" s="298">
        <f>SUM(Y884:AL884)</f>
        <v>0</v>
      </c>
    </row>
    <row r="885" spans="1:39" hidden="1" outlineLevel="1">
      <c r="A885" s="532"/>
      <c r="B885" s="296" t="s">
        <v>343</v>
      </c>
      <c r="C885" s="293" t="s">
        <v>164</v>
      </c>
      <c r="D885" s="297"/>
      <c r="E885" s="297"/>
      <c r="F885" s="297"/>
      <c r="G885" s="297"/>
      <c r="H885" s="297"/>
      <c r="I885" s="297"/>
      <c r="J885" s="297"/>
      <c r="K885" s="297"/>
      <c r="L885" s="297"/>
      <c r="M885" s="297"/>
      <c r="N885" s="297">
        <f>N884</f>
        <v>0</v>
      </c>
      <c r="O885" s="297"/>
      <c r="P885" s="297"/>
      <c r="Q885" s="297"/>
      <c r="R885" s="297"/>
      <c r="S885" s="297"/>
      <c r="T885" s="297"/>
      <c r="U885" s="297"/>
      <c r="V885" s="297"/>
      <c r="W885" s="297"/>
      <c r="X885" s="297"/>
      <c r="Y885" s="413">
        <f>Y884</f>
        <v>0</v>
      </c>
      <c r="Z885" s="413">
        <f t="shared" ref="Z885" si="2668">Z884</f>
        <v>0</v>
      </c>
      <c r="AA885" s="413">
        <f t="shared" ref="AA885" si="2669">AA884</f>
        <v>0</v>
      </c>
      <c r="AB885" s="413">
        <f t="shared" ref="AB885" si="2670">AB884</f>
        <v>0</v>
      </c>
      <c r="AC885" s="413">
        <f t="shared" ref="AC885" si="2671">AC884</f>
        <v>0</v>
      </c>
      <c r="AD885" s="413">
        <f t="shared" ref="AD885" si="2672">AD884</f>
        <v>0</v>
      </c>
      <c r="AE885" s="413">
        <f t="shared" ref="AE885" si="2673">AE884</f>
        <v>0</v>
      </c>
      <c r="AF885" s="413">
        <f t="shared" ref="AF885" si="2674">AF884</f>
        <v>0</v>
      </c>
      <c r="AG885" s="413">
        <f t="shared" ref="AG885" si="2675">AG884</f>
        <v>0</v>
      </c>
      <c r="AH885" s="413">
        <f t="shared" ref="AH885" si="2676">AH884</f>
        <v>0</v>
      </c>
      <c r="AI885" s="413">
        <f t="shared" ref="AI885" si="2677">AI884</f>
        <v>0</v>
      </c>
      <c r="AJ885" s="413">
        <f t="shared" ref="AJ885" si="2678">AJ884</f>
        <v>0</v>
      </c>
      <c r="AK885" s="413">
        <f t="shared" ref="AK885" si="2679">AK884</f>
        <v>0</v>
      </c>
      <c r="AL885" s="413">
        <f t="shared" ref="AL885" si="2680">AL884</f>
        <v>0</v>
      </c>
      <c r="AM885" s="308"/>
    </row>
    <row r="886" spans="1:39" hidden="1" outlineLevel="1">
      <c r="A886" s="532"/>
      <c r="B886" s="433"/>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414"/>
      <c r="Z886" s="427"/>
      <c r="AA886" s="427"/>
      <c r="AB886" s="427"/>
      <c r="AC886" s="427"/>
      <c r="AD886" s="427"/>
      <c r="AE886" s="427"/>
      <c r="AF886" s="427"/>
      <c r="AG886" s="427"/>
      <c r="AH886" s="427"/>
      <c r="AI886" s="427"/>
      <c r="AJ886" s="427"/>
      <c r="AK886" s="427"/>
      <c r="AL886" s="427"/>
      <c r="AM886" s="308"/>
    </row>
    <row r="887" spans="1:39" ht="15.75" hidden="1" outlineLevel="1">
      <c r="A887" s="532"/>
      <c r="B887" s="290" t="s">
        <v>504</v>
      </c>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45" hidden="1" outlineLevel="1">
      <c r="A888" s="532">
        <v>36</v>
      </c>
      <c r="B888" s="430" t="s">
        <v>129</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2"/>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2"/>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t="30" hidden="1" outlineLevel="1">
      <c r="A891" s="532">
        <v>37</v>
      </c>
      <c r="B891" s="430" t="s">
        <v>130</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2"/>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2"/>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idden="1" outlineLevel="1">
      <c r="A894" s="532">
        <v>38</v>
      </c>
      <c r="B894" s="430" t="s">
        <v>131</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2"/>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2"/>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2">
        <v>39</v>
      </c>
      <c r="B897" s="430" t="s">
        <v>132</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2"/>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2"/>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30" hidden="1" outlineLevel="1">
      <c r="A900" s="532">
        <v>40</v>
      </c>
      <c r="B900" s="430" t="s">
        <v>133</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2"/>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2"/>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2">
        <v>41</v>
      </c>
      <c r="B903" s="430" t="s">
        <v>134</v>
      </c>
      <c r="C903" s="293" t="s">
        <v>25</v>
      </c>
      <c r="D903" s="297"/>
      <c r="E903" s="297"/>
      <c r="F903" s="297"/>
      <c r="G903" s="297"/>
      <c r="H903" s="297"/>
      <c r="I903" s="297"/>
      <c r="J903" s="297"/>
      <c r="K903" s="297"/>
      <c r="L903" s="297"/>
      <c r="M903" s="297"/>
      <c r="N903" s="297">
        <v>0</v>
      </c>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2"/>
      <c r="B904" s="296" t="s">
        <v>343</v>
      </c>
      <c r="C904" s="293" t="s">
        <v>164</v>
      </c>
      <c r="D904" s="297"/>
      <c r="E904" s="297"/>
      <c r="F904" s="297"/>
      <c r="G904" s="297"/>
      <c r="H904" s="297"/>
      <c r="I904" s="297"/>
      <c r="J904" s="297"/>
      <c r="K904" s="297"/>
      <c r="L904" s="297"/>
      <c r="M904" s="297"/>
      <c r="N904" s="297">
        <f>N903</f>
        <v>0</v>
      </c>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2"/>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45" hidden="1" outlineLevel="1">
      <c r="A906" s="532">
        <v>42</v>
      </c>
      <c r="B906" s="430" t="s">
        <v>135</v>
      </c>
      <c r="C906" s="293" t="s">
        <v>25</v>
      </c>
      <c r="D906" s="297"/>
      <c r="E906" s="297"/>
      <c r="F906" s="297"/>
      <c r="G906" s="297"/>
      <c r="H906" s="297"/>
      <c r="I906" s="297"/>
      <c r="J906" s="297"/>
      <c r="K906" s="297"/>
      <c r="L906" s="297"/>
      <c r="M906" s="297"/>
      <c r="N906" s="293"/>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2"/>
      <c r="B907" s="296" t="s">
        <v>343</v>
      </c>
      <c r="C907" s="293" t="s">
        <v>164</v>
      </c>
      <c r="D907" s="297"/>
      <c r="E907" s="297"/>
      <c r="F907" s="297"/>
      <c r="G907" s="297"/>
      <c r="H907" s="297"/>
      <c r="I907" s="297"/>
      <c r="J907" s="297"/>
      <c r="K907" s="297"/>
      <c r="L907" s="297"/>
      <c r="M907" s="297"/>
      <c r="N907" s="469"/>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2"/>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30" hidden="1" outlineLevel="1">
      <c r="A909" s="532">
        <v>43</v>
      </c>
      <c r="B909" s="430" t="s">
        <v>136</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2"/>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2"/>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45" hidden="1" outlineLevel="1">
      <c r="A912" s="532">
        <v>44</v>
      </c>
      <c r="B912" s="430" t="s">
        <v>137</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2"/>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2"/>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2">
        <v>45</v>
      </c>
      <c r="B915" s="430" t="s">
        <v>138</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2"/>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2"/>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2">
        <v>46</v>
      </c>
      <c r="B918" s="430" t="s">
        <v>139</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2"/>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2"/>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30" hidden="1" outlineLevel="1">
      <c r="A921" s="532">
        <v>47</v>
      </c>
      <c r="B921" s="430" t="s">
        <v>140</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2"/>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2"/>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45" hidden="1" outlineLevel="1">
      <c r="A924" s="532">
        <v>48</v>
      </c>
      <c r="B924" s="430" t="s">
        <v>141</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2"/>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2"/>
      <c r="B926" s="430"/>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414"/>
      <c r="Z926" s="427"/>
      <c r="AA926" s="427"/>
      <c r="AB926" s="427"/>
      <c r="AC926" s="427"/>
      <c r="AD926" s="427"/>
      <c r="AE926" s="427"/>
      <c r="AF926" s="427"/>
      <c r="AG926" s="427"/>
      <c r="AH926" s="427"/>
      <c r="AI926" s="427"/>
      <c r="AJ926" s="427"/>
      <c r="AK926" s="427"/>
      <c r="AL926" s="427"/>
      <c r="AM926" s="308"/>
    </row>
    <row r="927" spans="1:39" ht="30" hidden="1" outlineLevel="1">
      <c r="A927" s="532">
        <v>49</v>
      </c>
      <c r="B927" s="430" t="s">
        <v>142</v>
      </c>
      <c r="C927" s="293" t="s">
        <v>25</v>
      </c>
      <c r="D927" s="297"/>
      <c r="E927" s="297"/>
      <c r="F927" s="297"/>
      <c r="G927" s="297"/>
      <c r="H927" s="297"/>
      <c r="I927" s="297"/>
      <c r="J927" s="297"/>
      <c r="K927" s="297"/>
      <c r="L927" s="297"/>
      <c r="M927" s="297"/>
      <c r="N927" s="297">
        <v>0</v>
      </c>
      <c r="O927" s="297"/>
      <c r="P927" s="297"/>
      <c r="Q927" s="297"/>
      <c r="R927" s="297"/>
      <c r="S927" s="297"/>
      <c r="T927" s="297"/>
      <c r="U927" s="297"/>
      <c r="V927" s="297"/>
      <c r="W927" s="297"/>
      <c r="X927" s="297"/>
      <c r="Y927" s="428"/>
      <c r="Z927" s="417"/>
      <c r="AA927" s="417"/>
      <c r="AB927" s="417"/>
      <c r="AC927" s="417"/>
      <c r="AD927" s="417"/>
      <c r="AE927" s="417"/>
      <c r="AF927" s="417"/>
      <c r="AG927" s="417"/>
      <c r="AH927" s="417"/>
      <c r="AI927" s="417"/>
      <c r="AJ927" s="417"/>
      <c r="AK927" s="417"/>
      <c r="AL927" s="417"/>
      <c r="AM927" s="298">
        <f>SUM(Y927:AL927)</f>
        <v>0</v>
      </c>
    </row>
    <row r="928" spans="1:39" hidden="1" outlineLevel="1">
      <c r="A928" s="532"/>
      <c r="B928" s="296" t="s">
        <v>343</v>
      </c>
      <c r="C928" s="293" t="s">
        <v>164</v>
      </c>
      <c r="D928" s="297"/>
      <c r="E928" s="297"/>
      <c r="F928" s="297"/>
      <c r="G928" s="297"/>
      <c r="H928" s="297"/>
      <c r="I928" s="297"/>
      <c r="J928" s="297"/>
      <c r="K928" s="297"/>
      <c r="L928" s="297"/>
      <c r="M928" s="297"/>
      <c r="N928" s="297">
        <f>N927</f>
        <v>0</v>
      </c>
      <c r="O928" s="297"/>
      <c r="P928" s="297"/>
      <c r="Q928" s="297"/>
      <c r="R928" s="297"/>
      <c r="S928" s="297"/>
      <c r="T928" s="297"/>
      <c r="U928" s="297"/>
      <c r="V928" s="297"/>
      <c r="W928" s="297"/>
      <c r="X928" s="297"/>
      <c r="Y928" s="413">
        <f>Y927</f>
        <v>0</v>
      </c>
      <c r="Z928" s="413">
        <f t="shared" ref="Z928" si="2850">Z927</f>
        <v>0</v>
      </c>
      <c r="AA928" s="413">
        <f t="shared" ref="AA928" si="2851">AA927</f>
        <v>0</v>
      </c>
      <c r="AB928" s="413">
        <f t="shared" ref="AB928" si="2852">AB927</f>
        <v>0</v>
      </c>
      <c r="AC928" s="413">
        <f t="shared" ref="AC928" si="2853">AC927</f>
        <v>0</v>
      </c>
      <c r="AD928" s="413">
        <f t="shared" ref="AD928" si="2854">AD927</f>
        <v>0</v>
      </c>
      <c r="AE928" s="413">
        <f t="shared" ref="AE928" si="2855">AE927</f>
        <v>0</v>
      </c>
      <c r="AF928" s="413">
        <f t="shared" ref="AF928" si="2856">AF927</f>
        <v>0</v>
      </c>
      <c r="AG928" s="413">
        <f t="shared" ref="AG928" si="2857">AG927</f>
        <v>0</v>
      </c>
      <c r="AH928" s="413">
        <f t="shared" ref="AH928" si="2858">AH927</f>
        <v>0</v>
      </c>
      <c r="AI928" s="413">
        <f t="shared" ref="AI928" si="2859">AI927</f>
        <v>0</v>
      </c>
      <c r="AJ928" s="413">
        <f t="shared" ref="AJ928" si="2860">AJ927</f>
        <v>0</v>
      </c>
      <c r="AK928" s="413">
        <f t="shared" ref="AK928" si="2861">AK927</f>
        <v>0</v>
      </c>
      <c r="AL928" s="413">
        <f t="shared" ref="AL928" si="2862">AL927</f>
        <v>0</v>
      </c>
      <c r="AM928" s="308"/>
    </row>
    <row r="929" spans="1:39" hidden="1" outlineLevel="1">
      <c r="A929" s="532"/>
      <c r="B929" s="296"/>
      <c r="C929" s="307"/>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303"/>
      <c r="Z929" s="303"/>
      <c r="AA929" s="303"/>
      <c r="AB929" s="303"/>
      <c r="AC929" s="303"/>
      <c r="AD929" s="303"/>
      <c r="AE929" s="303"/>
      <c r="AF929" s="303"/>
      <c r="AG929" s="303"/>
      <c r="AH929" s="303"/>
      <c r="AI929" s="303"/>
      <c r="AJ929" s="303"/>
      <c r="AK929" s="303"/>
      <c r="AL929" s="303"/>
      <c r="AM929" s="308"/>
    </row>
    <row r="930" spans="1:39" ht="15.75" collapsed="1">
      <c r="B930" s="329" t="s">
        <v>329</v>
      </c>
      <c r="C930" s="331"/>
      <c r="D930" s="331">
        <f>SUM(D773:D928)</f>
        <v>0</v>
      </c>
      <c r="E930" s="331"/>
      <c r="F930" s="331"/>
      <c r="G930" s="331"/>
      <c r="H930" s="331"/>
      <c r="I930" s="331"/>
      <c r="J930" s="331"/>
      <c r="K930" s="331"/>
      <c r="L930" s="331"/>
      <c r="M930" s="331"/>
      <c r="N930" s="331"/>
      <c r="O930" s="331">
        <f>SUM(O773:O928)</f>
        <v>0</v>
      </c>
      <c r="P930" s="331"/>
      <c r="Q930" s="331"/>
      <c r="R930" s="331"/>
      <c r="S930" s="331"/>
      <c r="T930" s="331"/>
      <c r="U930" s="331"/>
      <c r="V930" s="331"/>
      <c r="W930" s="331"/>
      <c r="X930" s="331"/>
      <c r="Y930" s="331">
        <f>IF(Y771="kWh",SUMPRODUCT(D773:D928,Y773:Y928))</f>
        <v>0</v>
      </c>
      <c r="Z930" s="331">
        <f>IF(Z771="kWh",SUMPRODUCT(D773:D928,Z773:Z928))</f>
        <v>0</v>
      </c>
      <c r="AA930" s="331">
        <f>IF(AA771="kw",SUMPRODUCT(N773:N928,O773:O928,AA773:AA928),SUMPRODUCT(D773:D928,AA773:AA928))</f>
        <v>0</v>
      </c>
      <c r="AB930" s="331">
        <f>IF(AB771="kw",SUMPRODUCT(N773:N928,O773:O928,AB773:AB928),SUMPRODUCT(D773:D928,AB773:AB928))</f>
        <v>0</v>
      </c>
      <c r="AC930" s="331">
        <f>IF(AC771="kw",SUMPRODUCT(N773:N928,O773:O928,AC773:AC928),SUMPRODUCT(D773:D928,AC773:AC928))</f>
        <v>0</v>
      </c>
      <c r="AD930" s="331">
        <f>IF(AD771="kw",SUMPRODUCT(N773:N928,O773:O928,AD773:AD928),SUMPRODUCT(D773:D928,AD773:AD928))</f>
        <v>0</v>
      </c>
      <c r="AE930" s="331">
        <f>IF(AE771="kw",SUMPRODUCT(N773:N928,O773:O928,AE773:AE928),SUMPRODUCT(D773:D928,AE773:AE928))</f>
        <v>0</v>
      </c>
      <c r="AF930" s="331">
        <f>IF(AF771="kw",SUMPRODUCT(N773:N928,O773:O928,AF773:AF928),SUMPRODUCT(D773:D928,AF773:AF928))</f>
        <v>0</v>
      </c>
      <c r="AG930" s="331">
        <f>IF(AG771="kw",SUMPRODUCT(N773:N928,O773:O928,AG773:AG928),SUMPRODUCT(D773:D928,AG773:AG928))</f>
        <v>0</v>
      </c>
      <c r="AH930" s="331">
        <f>IF(AH771="kw",SUMPRODUCT(N773:N928,O773:O928,AH773:AH928),SUMPRODUCT(D773:D928,AH773:AH928))</f>
        <v>0</v>
      </c>
      <c r="AI930" s="331">
        <f>IF(AI771="kw",SUMPRODUCT(N773:N928,O773:O928,AI773:AI928),SUMPRODUCT(D773:D928,AI773:AI928))</f>
        <v>0</v>
      </c>
      <c r="AJ930" s="331">
        <f>IF(AJ771="kw",SUMPRODUCT(N773:N928,O773:O928,AJ773:AJ928),SUMPRODUCT(D773:D928,AJ773:AJ928))</f>
        <v>0</v>
      </c>
      <c r="AK930" s="331">
        <f>IF(AK771="kw",SUMPRODUCT(N773:N928,O773:O928,AK773:AK928),SUMPRODUCT(D773:D928,AK773:AK928))</f>
        <v>0</v>
      </c>
      <c r="AL930" s="331">
        <f>IF(AL771="kw",SUMPRODUCT(N773:N928,O773:O928,AL773:AL928),SUMPRODUCT(D773:D928,AL773:AL928))</f>
        <v>0</v>
      </c>
      <c r="AM930" s="332"/>
    </row>
    <row r="931" spans="1:39" ht="15.75">
      <c r="B931" s="393" t="s">
        <v>330</v>
      </c>
      <c r="C931" s="394"/>
      <c r="D931" s="394"/>
      <c r="E931" s="394"/>
      <c r="F931" s="394"/>
      <c r="G931" s="394"/>
      <c r="H931" s="394"/>
      <c r="I931" s="394"/>
      <c r="J931" s="394"/>
      <c r="K931" s="394"/>
      <c r="L931" s="394"/>
      <c r="M931" s="394"/>
      <c r="N931" s="394"/>
      <c r="O931" s="394"/>
      <c r="P931" s="394"/>
      <c r="Q931" s="394"/>
      <c r="R931" s="394"/>
      <c r="S931" s="394"/>
      <c r="T931" s="394"/>
      <c r="U931" s="394"/>
      <c r="V931" s="394"/>
      <c r="W931" s="394"/>
      <c r="X931" s="394"/>
      <c r="Y931" s="394">
        <f>HLOOKUP(Y587,'2. LRAMVA Threshold'!$B$42:$Q$53,11,FALSE)</f>
        <v>0</v>
      </c>
      <c r="Z931" s="394">
        <f>HLOOKUP(Z587,'2. LRAMVA Threshold'!$B$42:$Q$53,11,FALSE)</f>
        <v>0</v>
      </c>
      <c r="AA931" s="394">
        <f>HLOOKUP(AA587,'2. LRAMVA Threshold'!$B$42:$Q$53,11,FALSE)</f>
        <v>0</v>
      </c>
      <c r="AB931" s="394">
        <f>HLOOKUP(AB587,'2. LRAMVA Threshold'!$B$42:$Q$53,11,FALSE)</f>
        <v>0</v>
      </c>
      <c r="AC931" s="394">
        <f>HLOOKUP(AC587,'2. LRAMVA Threshold'!$B$42:$Q$53,11,FALSE)</f>
        <v>0</v>
      </c>
      <c r="AD931" s="394">
        <f>HLOOKUP(AD587,'2. LRAMVA Threshold'!$B$42:$Q$53,11,FALSE)</f>
        <v>0</v>
      </c>
      <c r="AE931" s="394">
        <f>HLOOKUP(AE587,'2. LRAMVA Threshold'!$B$42:$Q$53,11,FALSE)</f>
        <v>0</v>
      </c>
      <c r="AF931" s="394">
        <f>HLOOKUP(AF587,'2. LRAMVA Threshold'!$B$42:$Q$53,11,FALSE)</f>
        <v>0</v>
      </c>
      <c r="AG931" s="394">
        <f>HLOOKUP(AG587,'2. LRAMVA Threshold'!$B$42:$Q$53,11,FALSE)</f>
        <v>0</v>
      </c>
      <c r="AH931" s="394">
        <f>HLOOKUP(AH587,'2. LRAMVA Threshold'!$B$42:$Q$53,11,FALSE)</f>
        <v>0</v>
      </c>
      <c r="AI931" s="394">
        <f>HLOOKUP(AI587,'2. LRAMVA Threshold'!$B$42:$Q$53,11,FALSE)</f>
        <v>0</v>
      </c>
      <c r="AJ931" s="394">
        <f>HLOOKUP(AJ587,'2. LRAMVA Threshold'!$B$42:$Q$53,11,FALSE)</f>
        <v>0</v>
      </c>
      <c r="AK931" s="394">
        <f>HLOOKUP(AK587,'2. LRAMVA Threshold'!$B$42:$Q$53,11,FALSE)</f>
        <v>0</v>
      </c>
      <c r="AL931" s="394">
        <f>HLOOKUP(AL587,'2. LRAMVA Threshold'!$B$42:$Q$53,11,FALSE)</f>
        <v>0</v>
      </c>
      <c r="AM931" s="444"/>
    </row>
    <row r="932" spans="1:39">
      <c r="B932" s="396"/>
      <c r="C932" s="434"/>
      <c r="D932" s="435"/>
      <c r="E932" s="435"/>
      <c r="F932" s="435"/>
      <c r="G932" s="435"/>
      <c r="H932" s="435"/>
      <c r="I932" s="435"/>
      <c r="J932" s="435"/>
      <c r="K932" s="435"/>
      <c r="L932" s="435"/>
      <c r="M932" s="435"/>
      <c r="N932" s="435"/>
      <c r="O932" s="436"/>
      <c r="P932" s="435"/>
      <c r="Q932" s="435"/>
      <c r="R932" s="435"/>
      <c r="S932" s="437"/>
      <c r="T932" s="437"/>
      <c r="U932" s="437"/>
      <c r="V932" s="437"/>
      <c r="W932" s="435"/>
      <c r="X932" s="435"/>
      <c r="Y932" s="438"/>
      <c r="Z932" s="438"/>
      <c r="AA932" s="438"/>
      <c r="AB932" s="438"/>
      <c r="AC932" s="438"/>
      <c r="AD932" s="438"/>
      <c r="AE932" s="438"/>
      <c r="AF932" s="401"/>
      <c r="AG932" s="401"/>
      <c r="AH932" s="401"/>
      <c r="AI932" s="401"/>
      <c r="AJ932" s="401"/>
      <c r="AK932" s="401"/>
      <c r="AL932" s="401"/>
      <c r="AM932" s="402"/>
    </row>
    <row r="933" spans="1:39">
      <c r="B933" s="326" t="s">
        <v>331</v>
      </c>
      <c r="C933" s="340"/>
      <c r="D933" s="340"/>
      <c r="E933" s="378"/>
      <c r="F933" s="378"/>
      <c r="G933" s="378"/>
      <c r="H933" s="378"/>
      <c r="I933" s="378"/>
      <c r="J933" s="378"/>
      <c r="K933" s="378"/>
      <c r="L933" s="378"/>
      <c r="M933" s="378"/>
      <c r="N933" s="378"/>
      <c r="O933" s="293"/>
      <c r="P933" s="342"/>
      <c r="Q933" s="342"/>
      <c r="R933" s="342"/>
      <c r="S933" s="341"/>
      <c r="T933" s="341"/>
      <c r="U933" s="341"/>
      <c r="V933" s="341"/>
      <c r="W933" s="342"/>
      <c r="X933" s="342"/>
      <c r="Y933" s="343">
        <f>HLOOKUP(Y$35,'3.  Distribution Rates'!$C$122:$P$133,11,FALSE)</f>
        <v>0</v>
      </c>
      <c r="Z933" s="343">
        <f>HLOOKUP(Z$35,'3.  Distribution Rates'!$C$122:$P$133,11,FALSE)</f>
        <v>0</v>
      </c>
      <c r="AA933" s="343">
        <f>HLOOKUP(AA$35,'3.  Distribution Rates'!$C$122:$P$133,11,FALSE)</f>
        <v>0</v>
      </c>
      <c r="AB933" s="343">
        <f>HLOOKUP(AB$35,'3.  Distribution Rates'!$C$122:$P$133,11,FALSE)</f>
        <v>0</v>
      </c>
      <c r="AC933" s="343">
        <f>HLOOKUP(AC$35,'3.  Distribution Rates'!$C$122:$P$133,11,FALSE)</f>
        <v>0</v>
      </c>
      <c r="AD933" s="343">
        <f>HLOOKUP(AD$35,'3.  Distribution Rates'!$C$122:$P$133,11,FALSE)</f>
        <v>0</v>
      </c>
      <c r="AE933" s="343">
        <f>HLOOKUP(AE$35,'3.  Distribution Rates'!$C$122:$P$133,11,FALSE)</f>
        <v>0</v>
      </c>
      <c r="AF933" s="343">
        <f>HLOOKUP(AF$35,'3.  Distribution Rates'!$C$122:$P$133,11,FALSE)</f>
        <v>0</v>
      </c>
      <c r="AG933" s="343">
        <f>HLOOKUP(AG$35,'3.  Distribution Rates'!$C$122:$P$133,11,FALSE)</f>
        <v>0</v>
      </c>
      <c r="AH933" s="343">
        <f>HLOOKUP(AH$35,'3.  Distribution Rates'!$C$122:$P$133,11,FALSE)</f>
        <v>0</v>
      </c>
      <c r="AI933" s="343">
        <f>HLOOKUP(AI$35,'3.  Distribution Rates'!$C$122:$P$133,11,FALSE)</f>
        <v>0</v>
      </c>
      <c r="AJ933" s="343">
        <f>HLOOKUP(AJ$35,'3.  Distribution Rates'!$C$122:$P$133,11,FALSE)</f>
        <v>0</v>
      </c>
      <c r="AK933" s="343">
        <f>HLOOKUP(AK$35,'3.  Distribution Rates'!$C$122:$P$133,11,FALSE)</f>
        <v>0</v>
      </c>
      <c r="AL933" s="343">
        <f>HLOOKUP(AL$35,'3.  Distribution Rates'!$C$122:$P$133,11,FALSE)</f>
        <v>0</v>
      </c>
      <c r="AM933" s="379"/>
    </row>
    <row r="934" spans="1:39">
      <c r="B934" s="326" t="s">
        <v>332</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LRAM'!Y142*Y933</f>
        <v>0</v>
      </c>
      <c r="Z934" s="380">
        <f>'4.  2011-2014 LRAM'!Z142*Z933</f>
        <v>0</v>
      </c>
      <c r="AA934" s="380">
        <f>'4.  2011-2014 LRAM'!AA142*AA933</f>
        <v>0</v>
      </c>
      <c r="AB934" s="380">
        <f>'4.  2011-2014 LRAM'!AB142*AB933</f>
        <v>0</v>
      </c>
      <c r="AC934" s="380">
        <f>'4.  2011-2014 LRAM'!AC142*AC933</f>
        <v>0</v>
      </c>
      <c r="AD934" s="380">
        <f>'4.  2011-2014 LRAM'!AD142*AD933</f>
        <v>0</v>
      </c>
      <c r="AE934" s="380">
        <f>'4.  2011-2014 LRAM'!AE142*AE933</f>
        <v>0</v>
      </c>
      <c r="AF934" s="380">
        <f>'4.  2011-2014 LRAM'!AF142*AF933</f>
        <v>0</v>
      </c>
      <c r="AG934" s="380">
        <f>'4.  2011-2014 LRAM'!AG142*AG933</f>
        <v>0</v>
      </c>
      <c r="AH934" s="380">
        <f>'4.  2011-2014 LRAM'!AH142*AH933</f>
        <v>0</v>
      </c>
      <c r="AI934" s="380">
        <f>'4.  2011-2014 LRAM'!AI142*AI933</f>
        <v>0</v>
      </c>
      <c r="AJ934" s="380">
        <f>'4.  2011-2014 LRAM'!AJ142*AJ933</f>
        <v>0</v>
      </c>
      <c r="AK934" s="380">
        <f>'4.  2011-2014 LRAM'!AK142*AK933</f>
        <v>0</v>
      </c>
      <c r="AL934" s="380">
        <f>'4.  2011-2014 LRAM'!AL142*AL933</f>
        <v>0</v>
      </c>
      <c r="AM934" s="629">
        <f t="shared" ref="AM934:AM942" si="2863">SUM(Y934:AL934)</f>
        <v>0</v>
      </c>
    </row>
    <row r="935" spans="1:39">
      <c r="B935" s="326" t="s">
        <v>333</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'4.  2011-2014 LRAM'!Y271*Y933</f>
        <v>0</v>
      </c>
      <c r="Z935" s="380">
        <f>'4.  2011-2014 LRAM'!Z271*Z933</f>
        <v>0</v>
      </c>
      <c r="AA935" s="380">
        <f>'4.  2011-2014 LRAM'!AA271*AA933</f>
        <v>0</v>
      </c>
      <c r="AB935" s="380">
        <f>'4.  2011-2014 LRAM'!AB271*AB933</f>
        <v>0</v>
      </c>
      <c r="AC935" s="380">
        <f>'4.  2011-2014 LRAM'!AC271*AC933</f>
        <v>0</v>
      </c>
      <c r="AD935" s="380">
        <f>'4.  2011-2014 LRAM'!AD271*AD933</f>
        <v>0</v>
      </c>
      <c r="AE935" s="380">
        <f>'4.  2011-2014 LRAM'!AE271*AE933</f>
        <v>0</v>
      </c>
      <c r="AF935" s="380">
        <f>'4.  2011-2014 LRAM'!AF271*AF933</f>
        <v>0</v>
      </c>
      <c r="AG935" s="380">
        <f>'4.  2011-2014 LRAM'!AG271*AG933</f>
        <v>0</v>
      </c>
      <c r="AH935" s="380">
        <f>'4.  2011-2014 LRAM'!AH271*AH933</f>
        <v>0</v>
      </c>
      <c r="AI935" s="380">
        <f>'4.  2011-2014 LRAM'!AI271*AI933</f>
        <v>0</v>
      </c>
      <c r="AJ935" s="380">
        <f>'4.  2011-2014 LRAM'!AJ271*AJ933</f>
        <v>0</v>
      </c>
      <c r="AK935" s="380">
        <f>'4.  2011-2014 LRAM'!AK271*AK933</f>
        <v>0</v>
      </c>
      <c r="AL935" s="380">
        <f>'4.  2011-2014 LRAM'!AL271*AL933</f>
        <v>0</v>
      </c>
      <c r="AM935" s="629">
        <f t="shared" si="2863"/>
        <v>0</v>
      </c>
    </row>
    <row r="936" spans="1:39">
      <c r="B936" s="326" t="s">
        <v>334</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'4.  2011-2014 LRAM'!Y400*Y933</f>
        <v>0</v>
      </c>
      <c r="Z936" s="380">
        <f>'4.  2011-2014 LRAM'!Z400*Z933</f>
        <v>0</v>
      </c>
      <c r="AA936" s="380">
        <f>'4.  2011-2014 LRAM'!AA400*AA933</f>
        <v>0</v>
      </c>
      <c r="AB936" s="380">
        <f>'4.  2011-2014 LRAM'!AB400*AB933</f>
        <v>0</v>
      </c>
      <c r="AC936" s="380">
        <f>'4.  2011-2014 LRAM'!AC400*AC933</f>
        <v>0</v>
      </c>
      <c r="AD936" s="380">
        <f>'4.  2011-2014 LRAM'!AD400*AD933</f>
        <v>0</v>
      </c>
      <c r="AE936" s="380">
        <f>'4.  2011-2014 LRAM'!AE400*AE933</f>
        <v>0</v>
      </c>
      <c r="AF936" s="380">
        <f>'4.  2011-2014 LRAM'!AF400*AF933</f>
        <v>0</v>
      </c>
      <c r="AG936" s="380">
        <f>'4.  2011-2014 LRAM'!AG400*AG933</f>
        <v>0</v>
      </c>
      <c r="AH936" s="380">
        <f>'4.  2011-2014 LRAM'!AH400*AH933</f>
        <v>0</v>
      </c>
      <c r="AI936" s="380">
        <f>'4.  2011-2014 LRAM'!AI400*AI933</f>
        <v>0</v>
      </c>
      <c r="AJ936" s="380">
        <f>'4.  2011-2014 LRAM'!AJ400*AJ933</f>
        <v>0</v>
      </c>
      <c r="AK936" s="380">
        <f>'4.  2011-2014 LRAM'!AK400*AK933</f>
        <v>0</v>
      </c>
      <c r="AL936" s="380">
        <f>'4.  2011-2014 LRAM'!AL400*AL933</f>
        <v>0</v>
      </c>
      <c r="AM936" s="629">
        <f t="shared" si="2863"/>
        <v>0</v>
      </c>
    </row>
    <row r="937" spans="1:39">
      <c r="B937" s="326" t="s">
        <v>335</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'4.  2011-2014 LRAM'!Y530*Y933</f>
        <v>0</v>
      </c>
      <c r="Z937" s="380">
        <f>'4.  2011-2014 LRAM'!Z530*Z933</f>
        <v>0</v>
      </c>
      <c r="AA937" s="380">
        <f>'4.  2011-2014 LRAM'!AA530*AA933</f>
        <v>0</v>
      </c>
      <c r="AB937" s="380">
        <f>'4.  2011-2014 LRAM'!AB530*AB933</f>
        <v>0</v>
      </c>
      <c r="AC937" s="380">
        <f>'4.  2011-2014 LRAM'!AC530*AC933</f>
        <v>0</v>
      </c>
      <c r="AD937" s="380">
        <f>'4.  2011-2014 LRAM'!AD530*AD933</f>
        <v>0</v>
      </c>
      <c r="AE937" s="380">
        <f>'4.  2011-2014 LRAM'!AE530*AE933</f>
        <v>0</v>
      </c>
      <c r="AF937" s="380">
        <f>'4.  2011-2014 LRAM'!AF530*AF933</f>
        <v>0</v>
      </c>
      <c r="AG937" s="380">
        <f>'4.  2011-2014 LRAM'!AG530*AG933</f>
        <v>0</v>
      </c>
      <c r="AH937" s="380">
        <f>'4.  2011-2014 LRAM'!AH530*AH933</f>
        <v>0</v>
      </c>
      <c r="AI937" s="380">
        <f>'4.  2011-2014 LRAM'!AI530*AI933</f>
        <v>0</v>
      </c>
      <c r="AJ937" s="380">
        <f>'4.  2011-2014 LRAM'!AJ530*AJ933</f>
        <v>0</v>
      </c>
      <c r="AK937" s="380">
        <f>'4.  2011-2014 LRAM'!AK530*AK933</f>
        <v>0</v>
      </c>
      <c r="AL937" s="380">
        <f>'4.  2011-2014 LRAM'!AL530*AL933</f>
        <v>0</v>
      </c>
      <c r="AM937" s="629">
        <f t="shared" si="2863"/>
        <v>0</v>
      </c>
    </row>
    <row r="938" spans="1:39">
      <c r="B938" s="326" t="s">
        <v>336</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64">Y211*Y933</f>
        <v>0</v>
      </c>
      <c r="Z938" s="380">
        <f t="shared" si="2864"/>
        <v>0</v>
      </c>
      <c r="AA938" s="380">
        <f t="shared" si="2864"/>
        <v>0</v>
      </c>
      <c r="AB938" s="380">
        <f t="shared" si="2864"/>
        <v>0</v>
      </c>
      <c r="AC938" s="380">
        <f t="shared" si="2864"/>
        <v>0</v>
      </c>
      <c r="AD938" s="380">
        <f t="shared" si="2864"/>
        <v>0</v>
      </c>
      <c r="AE938" s="380">
        <f t="shared" si="2864"/>
        <v>0</v>
      </c>
      <c r="AF938" s="380">
        <f t="shared" si="2864"/>
        <v>0</v>
      </c>
      <c r="AG938" s="380">
        <f t="shared" si="2864"/>
        <v>0</v>
      </c>
      <c r="AH938" s="380">
        <f t="shared" si="2864"/>
        <v>0</v>
      </c>
      <c r="AI938" s="380">
        <f t="shared" si="2864"/>
        <v>0</v>
      </c>
      <c r="AJ938" s="380">
        <f t="shared" si="2864"/>
        <v>0</v>
      </c>
      <c r="AK938" s="380">
        <f t="shared" si="2864"/>
        <v>0</v>
      </c>
      <c r="AL938" s="380">
        <f t="shared" si="2864"/>
        <v>0</v>
      </c>
      <c r="AM938" s="629">
        <f t="shared" si="2863"/>
        <v>0</v>
      </c>
    </row>
    <row r="939" spans="1:39">
      <c r="B939" s="326" t="s">
        <v>337</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 t="shared" ref="Y939:AL939" si="2865">Y397*Y933</f>
        <v>0</v>
      </c>
      <c r="Z939" s="380">
        <f t="shared" si="2865"/>
        <v>0</v>
      </c>
      <c r="AA939" s="380">
        <f t="shared" si="2865"/>
        <v>0</v>
      </c>
      <c r="AB939" s="380">
        <f t="shared" si="2865"/>
        <v>0</v>
      </c>
      <c r="AC939" s="380">
        <f t="shared" si="2865"/>
        <v>0</v>
      </c>
      <c r="AD939" s="380">
        <f t="shared" si="2865"/>
        <v>0</v>
      </c>
      <c r="AE939" s="380">
        <f t="shared" si="2865"/>
        <v>0</v>
      </c>
      <c r="AF939" s="380">
        <f t="shared" si="2865"/>
        <v>0</v>
      </c>
      <c r="AG939" s="380">
        <f t="shared" si="2865"/>
        <v>0</v>
      </c>
      <c r="AH939" s="380">
        <f t="shared" si="2865"/>
        <v>0</v>
      </c>
      <c r="AI939" s="380">
        <f t="shared" si="2865"/>
        <v>0</v>
      </c>
      <c r="AJ939" s="380">
        <f t="shared" si="2865"/>
        <v>0</v>
      </c>
      <c r="AK939" s="380">
        <f t="shared" si="2865"/>
        <v>0</v>
      </c>
      <c r="AL939" s="380">
        <f t="shared" si="2865"/>
        <v>0</v>
      </c>
      <c r="AM939" s="629">
        <f t="shared" si="2863"/>
        <v>0</v>
      </c>
    </row>
    <row r="940" spans="1:39">
      <c r="B940" s="326" t="s">
        <v>338</v>
      </c>
      <c r="C940" s="347"/>
      <c r="D940" s="311"/>
      <c r="E940" s="281"/>
      <c r="F940" s="281"/>
      <c r="G940" s="281"/>
      <c r="H940" s="281"/>
      <c r="I940" s="281"/>
      <c r="J940" s="281"/>
      <c r="K940" s="281"/>
      <c r="L940" s="281"/>
      <c r="M940" s="281"/>
      <c r="N940" s="281"/>
      <c r="O940" s="293"/>
      <c r="P940" s="281"/>
      <c r="Q940" s="281"/>
      <c r="R940" s="281"/>
      <c r="S940" s="311"/>
      <c r="T940" s="311"/>
      <c r="U940" s="311"/>
      <c r="V940" s="311"/>
      <c r="W940" s="281"/>
      <c r="X940" s="281"/>
      <c r="Y940" s="380">
        <f t="shared" ref="Y940:AL940" si="2866">Y580*Y933</f>
        <v>0</v>
      </c>
      <c r="Z940" s="380">
        <f t="shared" si="2866"/>
        <v>0</v>
      </c>
      <c r="AA940" s="380">
        <f t="shared" si="2866"/>
        <v>0</v>
      </c>
      <c r="AB940" s="380">
        <f t="shared" si="2866"/>
        <v>0</v>
      </c>
      <c r="AC940" s="380">
        <f t="shared" si="2866"/>
        <v>0</v>
      </c>
      <c r="AD940" s="380">
        <f t="shared" si="2866"/>
        <v>0</v>
      </c>
      <c r="AE940" s="380">
        <f t="shared" si="2866"/>
        <v>0</v>
      </c>
      <c r="AF940" s="380">
        <f t="shared" si="2866"/>
        <v>0</v>
      </c>
      <c r="AG940" s="380">
        <f t="shared" si="2866"/>
        <v>0</v>
      </c>
      <c r="AH940" s="380">
        <f t="shared" si="2866"/>
        <v>0</v>
      </c>
      <c r="AI940" s="380">
        <f t="shared" si="2866"/>
        <v>0</v>
      </c>
      <c r="AJ940" s="380">
        <f t="shared" si="2866"/>
        <v>0</v>
      </c>
      <c r="AK940" s="380">
        <f t="shared" si="2866"/>
        <v>0</v>
      </c>
      <c r="AL940" s="380">
        <f t="shared" si="2866"/>
        <v>0</v>
      </c>
      <c r="AM940" s="629">
        <f t="shared" si="2863"/>
        <v>0</v>
      </c>
    </row>
    <row r="941" spans="1:39">
      <c r="B941" s="326" t="s">
        <v>339</v>
      </c>
      <c r="C941" s="347"/>
      <c r="D941" s="311"/>
      <c r="E941" s="281"/>
      <c r="F941" s="281"/>
      <c r="G941" s="281"/>
      <c r="H941" s="281"/>
      <c r="I941" s="281"/>
      <c r="J941" s="281"/>
      <c r="K941" s="281"/>
      <c r="L941" s="281"/>
      <c r="M941" s="281"/>
      <c r="N941" s="281"/>
      <c r="O941" s="293"/>
      <c r="P941" s="281"/>
      <c r="Q941" s="281"/>
      <c r="R941" s="281"/>
      <c r="S941" s="311"/>
      <c r="T941" s="311"/>
      <c r="U941" s="311"/>
      <c r="V941" s="311"/>
      <c r="W941" s="281"/>
      <c r="X941" s="281"/>
      <c r="Y941" s="380">
        <f t="shared" ref="Y941:AL941" si="2867">Y763*Y933</f>
        <v>0</v>
      </c>
      <c r="Z941" s="380">
        <f t="shared" si="2867"/>
        <v>0</v>
      </c>
      <c r="AA941" s="380">
        <f t="shared" si="2867"/>
        <v>0</v>
      </c>
      <c r="AB941" s="380">
        <f t="shared" si="2867"/>
        <v>0</v>
      </c>
      <c r="AC941" s="380">
        <f t="shared" si="2867"/>
        <v>0</v>
      </c>
      <c r="AD941" s="380">
        <f t="shared" si="2867"/>
        <v>0</v>
      </c>
      <c r="AE941" s="380">
        <f t="shared" si="2867"/>
        <v>0</v>
      </c>
      <c r="AF941" s="380">
        <f t="shared" si="2867"/>
        <v>0</v>
      </c>
      <c r="AG941" s="380">
        <f t="shared" si="2867"/>
        <v>0</v>
      </c>
      <c r="AH941" s="380">
        <f t="shared" si="2867"/>
        <v>0</v>
      </c>
      <c r="AI941" s="380">
        <f t="shared" si="2867"/>
        <v>0</v>
      </c>
      <c r="AJ941" s="380">
        <f t="shared" si="2867"/>
        <v>0</v>
      </c>
      <c r="AK941" s="380">
        <f t="shared" si="2867"/>
        <v>0</v>
      </c>
      <c r="AL941" s="380">
        <f t="shared" si="2867"/>
        <v>0</v>
      </c>
      <c r="AM941" s="629">
        <f t="shared" si="2863"/>
        <v>0</v>
      </c>
    </row>
    <row r="942" spans="1:39">
      <c r="B942" s="326" t="s">
        <v>340</v>
      </c>
      <c r="C942" s="347"/>
      <c r="D942" s="311"/>
      <c r="E942" s="281"/>
      <c r="F942" s="281"/>
      <c r="G942" s="281"/>
      <c r="H942" s="281"/>
      <c r="I942" s="281"/>
      <c r="J942" s="281"/>
      <c r="K942" s="281"/>
      <c r="L942" s="281"/>
      <c r="M942" s="281"/>
      <c r="N942" s="281"/>
      <c r="O942" s="293"/>
      <c r="P942" s="281"/>
      <c r="Q942" s="281"/>
      <c r="R942" s="281"/>
      <c r="S942" s="311"/>
      <c r="T942" s="311"/>
      <c r="U942" s="311"/>
      <c r="V942" s="311"/>
      <c r="W942" s="281"/>
      <c r="X942" s="281"/>
      <c r="Y942" s="380">
        <f>Y930*Y933</f>
        <v>0</v>
      </c>
      <c r="Z942" s="380">
        <f t="shared" ref="Z942:AL942" si="2868">Z930*Z933</f>
        <v>0</v>
      </c>
      <c r="AA942" s="380">
        <f t="shared" si="2868"/>
        <v>0</v>
      </c>
      <c r="AB942" s="380">
        <f t="shared" si="2868"/>
        <v>0</v>
      </c>
      <c r="AC942" s="380">
        <f t="shared" si="2868"/>
        <v>0</v>
      </c>
      <c r="AD942" s="380">
        <f t="shared" si="2868"/>
        <v>0</v>
      </c>
      <c r="AE942" s="380">
        <f t="shared" si="2868"/>
        <v>0</v>
      </c>
      <c r="AF942" s="380">
        <f t="shared" si="2868"/>
        <v>0</v>
      </c>
      <c r="AG942" s="380">
        <f t="shared" si="2868"/>
        <v>0</v>
      </c>
      <c r="AH942" s="380">
        <f t="shared" si="2868"/>
        <v>0</v>
      </c>
      <c r="AI942" s="380">
        <f t="shared" si="2868"/>
        <v>0</v>
      </c>
      <c r="AJ942" s="380">
        <f t="shared" si="2868"/>
        <v>0</v>
      </c>
      <c r="AK942" s="380">
        <f t="shared" si="2868"/>
        <v>0</v>
      </c>
      <c r="AL942" s="380">
        <f t="shared" si="2868"/>
        <v>0</v>
      </c>
      <c r="AM942" s="629">
        <f t="shared" si="2863"/>
        <v>0</v>
      </c>
    </row>
    <row r="943" spans="1:39" ht="15.75">
      <c r="B943" s="351" t="s">
        <v>344</v>
      </c>
      <c r="C943" s="347"/>
      <c r="D943" s="338"/>
      <c r="E943" s="336"/>
      <c r="F943" s="336"/>
      <c r="G943" s="336"/>
      <c r="H943" s="336"/>
      <c r="I943" s="336"/>
      <c r="J943" s="336"/>
      <c r="K943" s="336"/>
      <c r="L943" s="336"/>
      <c r="M943" s="336"/>
      <c r="N943" s="336"/>
      <c r="O943" s="302"/>
      <c r="P943" s="336"/>
      <c r="Q943" s="336"/>
      <c r="R943" s="336"/>
      <c r="S943" s="338"/>
      <c r="T943" s="338"/>
      <c r="U943" s="338"/>
      <c r="V943" s="338"/>
      <c r="W943" s="336"/>
      <c r="X943" s="336"/>
      <c r="Y943" s="348">
        <f>SUM(Y934:Y942)</f>
        <v>0</v>
      </c>
      <c r="Z943" s="348">
        <f t="shared" ref="Z943:AE943" si="2869">SUM(Z934:Z942)</f>
        <v>0</v>
      </c>
      <c r="AA943" s="348">
        <f t="shared" si="2869"/>
        <v>0</v>
      </c>
      <c r="AB943" s="348">
        <f t="shared" si="2869"/>
        <v>0</v>
      </c>
      <c r="AC943" s="348">
        <f t="shared" si="2869"/>
        <v>0</v>
      </c>
      <c r="AD943" s="348">
        <f t="shared" si="2869"/>
        <v>0</v>
      </c>
      <c r="AE943" s="348">
        <f t="shared" si="2869"/>
        <v>0</v>
      </c>
      <c r="AF943" s="348">
        <f>SUM(AF934:AF942)</f>
        <v>0</v>
      </c>
      <c r="AG943" s="348">
        <f t="shared" ref="AG943:AL943" si="2870">SUM(AG934:AG942)</f>
        <v>0</v>
      </c>
      <c r="AH943" s="348">
        <f t="shared" si="2870"/>
        <v>0</v>
      </c>
      <c r="AI943" s="348">
        <f t="shared" si="2870"/>
        <v>0</v>
      </c>
      <c r="AJ943" s="348">
        <f t="shared" si="2870"/>
        <v>0</v>
      </c>
      <c r="AK943" s="348">
        <f t="shared" si="2870"/>
        <v>0</v>
      </c>
      <c r="AL943" s="348">
        <f t="shared" si="2870"/>
        <v>0</v>
      </c>
      <c r="AM943" s="409">
        <f>SUM(AM934:AM942)</f>
        <v>0</v>
      </c>
    </row>
    <row r="944" spans="1:39" ht="15.75">
      <c r="B944" s="351" t="s">
        <v>345</v>
      </c>
      <c r="C944" s="347"/>
      <c r="D944" s="352"/>
      <c r="E944" s="336"/>
      <c r="F944" s="336"/>
      <c r="G944" s="336"/>
      <c r="H944" s="336"/>
      <c r="I944" s="336"/>
      <c r="J944" s="336"/>
      <c r="K944" s="336"/>
      <c r="L944" s="336"/>
      <c r="M944" s="336"/>
      <c r="N944" s="336"/>
      <c r="O944" s="302"/>
      <c r="P944" s="336"/>
      <c r="Q944" s="336"/>
      <c r="R944" s="336"/>
      <c r="S944" s="338"/>
      <c r="T944" s="338"/>
      <c r="U944" s="338"/>
      <c r="V944" s="338"/>
      <c r="W944" s="336"/>
      <c r="X944" s="336"/>
      <c r="Y944" s="349">
        <f>Y931*Y933</f>
        <v>0</v>
      </c>
      <c r="Z944" s="349">
        <f t="shared" ref="Z944:AE944" si="2871">Z931*Z933</f>
        <v>0</v>
      </c>
      <c r="AA944" s="349">
        <f t="shared" si="2871"/>
        <v>0</v>
      </c>
      <c r="AB944" s="349">
        <f t="shared" si="2871"/>
        <v>0</v>
      </c>
      <c r="AC944" s="349">
        <f t="shared" si="2871"/>
        <v>0</v>
      </c>
      <c r="AD944" s="349">
        <f t="shared" si="2871"/>
        <v>0</v>
      </c>
      <c r="AE944" s="349">
        <f t="shared" si="2871"/>
        <v>0</v>
      </c>
      <c r="AF944" s="349">
        <f>AF931*AF933</f>
        <v>0</v>
      </c>
      <c r="AG944" s="349">
        <f t="shared" ref="AG944:AL944" si="2872">AG931*AG933</f>
        <v>0</v>
      </c>
      <c r="AH944" s="349">
        <f t="shared" si="2872"/>
        <v>0</v>
      </c>
      <c r="AI944" s="349">
        <f t="shared" si="2872"/>
        <v>0</v>
      </c>
      <c r="AJ944" s="349">
        <f t="shared" si="2872"/>
        <v>0</v>
      </c>
      <c r="AK944" s="349">
        <f t="shared" si="2872"/>
        <v>0</v>
      </c>
      <c r="AL944" s="349">
        <f t="shared" si="2872"/>
        <v>0</v>
      </c>
      <c r="AM944" s="409">
        <f>SUM(Y944:AL944)</f>
        <v>0</v>
      </c>
    </row>
    <row r="945" spans="1:39" ht="15.75">
      <c r="B945" s="351" t="s">
        <v>346</v>
      </c>
      <c r="C945" s="347"/>
      <c r="D945" s="352"/>
      <c r="E945" s="336"/>
      <c r="F945" s="336"/>
      <c r="G945" s="336"/>
      <c r="H945" s="336"/>
      <c r="I945" s="336"/>
      <c r="J945" s="336"/>
      <c r="K945" s="336"/>
      <c r="L945" s="336"/>
      <c r="M945" s="336"/>
      <c r="N945" s="336"/>
      <c r="O945" s="302"/>
      <c r="P945" s="336"/>
      <c r="Q945" s="336"/>
      <c r="R945" s="336"/>
      <c r="S945" s="352"/>
      <c r="T945" s="352"/>
      <c r="U945" s="352"/>
      <c r="V945" s="352"/>
      <c r="W945" s="336"/>
      <c r="X945" s="336"/>
      <c r="Y945" s="353"/>
      <c r="Z945" s="353"/>
      <c r="AA945" s="353"/>
      <c r="AB945" s="353"/>
      <c r="AC945" s="353"/>
      <c r="AD945" s="353"/>
      <c r="AE945" s="353"/>
      <c r="AF945" s="353"/>
      <c r="AG945" s="353"/>
      <c r="AH945" s="353"/>
      <c r="AI945" s="353"/>
      <c r="AJ945" s="353"/>
      <c r="AK945" s="353"/>
      <c r="AL945" s="353"/>
      <c r="AM945" s="409">
        <f>AM943-AM944</f>
        <v>0</v>
      </c>
    </row>
    <row r="946" spans="1:39">
      <c r="B946" s="326"/>
      <c r="C946" s="352"/>
      <c r="D946" s="352"/>
      <c r="E946" s="336"/>
      <c r="F946" s="336"/>
      <c r="G946" s="336"/>
      <c r="H946" s="336"/>
      <c r="I946" s="336"/>
      <c r="J946" s="336"/>
      <c r="K946" s="336"/>
      <c r="L946" s="336"/>
      <c r="M946" s="336"/>
      <c r="N946" s="336"/>
      <c r="O946" s="302"/>
      <c r="P946" s="336"/>
      <c r="Q946" s="336"/>
      <c r="R946" s="336"/>
      <c r="S946" s="352"/>
      <c r="T946" s="347"/>
      <c r="U946" s="352"/>
      <c r="V946" s="352"/>
      <c r="W946" s="336"/>
      <c r="X946" s="336"/>
      <c r="Y946" s="354"/>
      <c r="Z946" s="354"/>
      <c r="AA946" s="354"/>
      <c r="AB946" s="354"/>
      <c r="AC946" s="354"/>
      <c r="AD946" s="354"/>
      <c r="AE946" s="354"/>
      <c r="AF946" s="354"/>
      <c r="AG946" s="354"/>
      <c r="AH946" s="354"/>
      <c r="AI946" s="354"/>
      <c r="AJ946" s="354"/>
      <c r="AK946" s="354"/>
      <c r="AL946" s="354"/>
      <c r="AM946" s="339"/>
    </row>
    <row r="947" spans="1:39">
      <c r="B947" s="442" t="s">
        <v>341</v>
      </c>
      <c r="C947" s="366"/>
      <c r="D947" s="386"/>
      <c r="E947" s="386"/>
      <c r="F947" s="386"/>
      <c r="G947" s="386"/>
      <c r="H947" s="386"/>
      <c r="I947" s="386"/>
      <c r="J947" s="386"/>
      <c r="K947" s="386"/>
      <c r="L947" s="386"/>
      <c r="M947" s="386"/>
      <c r="N947" s="386"/>
      <c r="O947" s="385"/>
      <c r="P947" s="386"/>
      <c r="Q947" s="386"/>
      <c r="R947" s="386"/>
      <c r="S947" s="366"/>
      <c r="T947" s="387"/>
      <c r="U947" s="387"/>
      <c r="V947" s="386"/>
      <c r="W947" s="386"/>
      <c r="X947" s="387"/>
      <c r="Y947" s="328">
        <f>SUMPRODUCT(E773:E928,Y773:Y928)</f>
        <v>0</v>
      </c>
      <c r="Z947" s="328">
        <f>SUMPRODUCT(E773:E928,Z773:Z928)</f>
        <v>0</v>
      </c>
      <c r="AA947" s="328">
        <f t="shared" ref="AA947:AL947" si="2873">IF(AA771="kw",SUMPRODUCT($N$773:$N$928,$P$773:$P$928,AA773:AA928),SUMPRODUCT($E$773:$E$928,AA773:AA928))</f>
        <v>0</v>
      </c>
      <c r="AB947" s="328">
        <f t="shared" si="2873"/>
        <v>0</v>
      </c>
      <c r="AC947" s="328">
        <f t="shared" si="2873"/>
        <v>0</v>
      </c>
      <c r="AD947" s="328">
        <f t="shared" si="2873"/>
        <v>0</v>
      </c>
      <c r="AE947" s="328">
        <f t="shared" si="2873"/>
        <v>0</v>
      </c>
      <c r="AF947" s="328">
        <f t="shared" si="2873"/>
        <v>0</v>
      </c>
      <c r="AG947" s="328">
        <f t="shared" si="2873"/>
        <v>0</v>
      </c>
      <c r="AH947" s="328">
        <f t="shared" si="2873"/>
        <v>0</v>
      </c>
      <c r="AI947" s="328">
        <f t="shared" si="2873"/>
        <v>0</v>
      </c>
      <c r="AJ947" s="328">
        <f t="shared" si="2873"/>
        <v>0</v>
      </c>
      <c r="AK947" s="328">
        <f t="shared" si="2873"/>
        <v>0</v>
      </c>
      <c r="AL947" s="328">
        <f t="shared" si="2873"/>
        <v>0</v>
      </c>
      <c r="AM947" s="388"/>
    </row>
    <row r="948" spans="1:39" ht="18.75" customHeight="1">
      <c r="B948" s="370" t="s">
        <v>592</v>
      </c>
      <c r="C948" s="389"/>
      <c r="D948" s="390"/>
      <c r="E948" s="390"/>
      <c r="F948" s="390"/>
      <c r="G948" s="390"/>
      <c r="H948" s="390"/>
      <c r="I948" s="390"/>
      <c r="J948" s="390"/>
      <c r="K948" s="390"/>
      <c r="L948" s="390"/>
      <c r="M948" s="390"/>
      <c r="N948" s="390"/>
      <c r="O948" s="390"/>
      <c r="P948" s="390"/>
      <c r="Q948" s="390"/>
      <c r="R948" s="390"/>
      <c r="S948" s="373"/>
      <c r="T948" s="374"/>
      <c r="U948" s="390"/>
      <c r="V948" s="390"/>
      <c r="W948" s="390"/>
      <c r="X948" s="390"/>
      <c r="Y948" s="411"/>
      <c r="Z948" s="411"/>
      <c r="AA948" s="411"/>
      <c r="AB948" s="411"/>
      <c r="AC948" s="411"/>
      <c r="AD948" s="411"/>
      <c r="AE948" s="411"/>
      <c r="AF948" s="411"/>
      <c r="AG948" s="411"/>
      <c r="AH948" s="411"/>
      <c r="AI948" s="411"/>
      <c r="AJ948" s="411"/>
      <c r="AK948" s="411"/>
      <c r="AL948" s="411"/>
      <c r="AM948" s="391"/>
    </row>
    <row r="949" spans="1:39" collapsed="1"/>
    <row r="951" spans="1:39" ht="15.75">
      <c r="B951" s="282" t="s">
        <v>342</v>
      </c>
      <c r="C951" s="283"/>
      <c r="D951" s="590" t="s">
        <v>528</v>
      </c>
      <c r="E951" s="255"/>
      <c r="F951" s="590"/>
      <c r="G951" s="255"/>
      <c r="H951" s="255"/>
      <c r="I951" s="255"/>
      <c r="J951" s="255"/>
      <c r="K951" s="255"/>
      <c r="L951" s="255"/>
      <c r="M951" s="255"/>
      <c r="N951" s="255"/>
      <c r="O951" s="283"/>
      <c r="P951" s="255"/>
      <c r="Q951" s="255"/>
      <c r="R951" s="255"/>
      <c r="S951" s="255"/>
      <c r="T951" s="255"/>
      <c r="U951" s="255"/>
      <c r="V951" s="255"/>
      <c r="W951" s="255"/>
      <c r="X951" s="255"/>
      <c r="Y951" s="272"/>
      <c r="Z951" s="269"/>
      <c r="AA951" s="269"/>
      <c r="AB951" s="269"/>
      <c r="AC951" s="269"/>
      <c r="AD951" s="269"/>
      <c r="AE951" s="269"/>
      <c r="AF951" s="269"/>
      <c r="AG951" s="269"/>
      <c r="AH951" s="269"/>
      <c r="AI951" s="269"/>
      <c r="AJ951" s="269"/>
      <c r="AK951" s="269"/>
      <c r="AL951" s="269"/>
    </row>
    <row r="952" spans="1:39" ht="39.75" customHeight="1">
      <c r="B952" s="870" t="s">
        <v>212</v>
      </c>
      <c r="C952" s="872" t="s">
        <v>33</v>
      </c>
      <c r="D952" s="286" t="s">
        <v>424</v>
      </c>
      <c r="E952" s="874" t="s">
        <v>210</v>
      </c>
      <c r="F952" s="875"/>
      <c r="G952" s="875"/>
      <c r="H952" s="875"/>
      <c r="I952" s="875"/>
      <c r="J952" s="875"/>
      <c r="K952" s="875"/>
      <c r="L952" s="875"/>
      <c r="M952" s="876"/>
      <c r="N952" s="880" t="s">
        <v>214</v>
      </c>
      <c r="O952" s="286" t="s">
        <v>425</v>
      </c>
      <c r="P952" s="874" t="s">
        <v>213</v>
      </c>
      <c r="Q952" s="875"/>
      <c r="R952" s="875"/>
      <c r="S952" s="875"/>
      <c r="T952" s="875"/>
      <c r="U952" s="875"/>
      <c r="V952" s="875"/>
      <c r="W952" s="875"/>
      <c r="X952" s="876"/>
      <c r="Y952" s="877" t="s">
        <v>244</v>
      </c>
      <c r="Z952" s="878"/>
      <c r="AA952" s="878"/>
      <c r="AB952" s="878"/>
      <c r="AC952" s="878"/>
      <c r="AD952" s="878"/>
      <c r="AE952" s="878"/>
      <c r="AF952" s="878"/>
      <c r="AG952" s="878"/>
      <c r="AH952" s="878"/>
      <c r="AI952" s="878"/>
      <c r="AJ952" s="878"/>
      <c r="AK952" s="878"/>
      <c r="AL952" s="878"/>
      <c r="AM952" s="879"/>
    </row>
    <row r="953" spans="1:39" ht="65.25" customHeight="1">
      <c r="B953" s="871"/>
      <c r="C953" s="873"/>
      <c r="D953" s="287">
        <v>2020</v>
      </c>
      <c r="E953" s="287">
        <v>2021</v>
      </c>
      <c r="F953" s="287">
        <v>2022</v>
      </c>
      <c r="G953" s="287">
        <v>2023</v>
      </c>
      <c r="H953" s="287">
        <v>2024</v>
      </c>
      <c r="I953" s="287">
        <v>2025</v>
      </c>
      <c r="J953" s="287">
        <v>2026</v>
      </c>
      <c r="K953" s="287">
        <v>2027</v>
      </c>
      <c r="L953" s="287">
        <v>2028</v>
      </c>
      <c r="M953" s="287">
        <v>2029</v>
      </c>
      <c r="N953" s="881"/>
      <c r="O953" s="287">
        <v>2020</v>
      </c>
      <c r="P953" s="287">
        <v>2021</v>
      </c>
      <c r="Q953" s="287">
        <v>2022</v>
      </c>
      <c r="R953" s="287">
        <v>2023</v>
      </c>
      <c r="S953" s="287">
        <v>2024</v>
      </c>
      <c r="T953" s="287">
        <v>2025</v>
      </c>
      <c r="U953" s="287">
        <v>2026</v>
      </c>
      <c r="V953" s="287">
        <v>2027</v>
      </c>
      <c r="W953" s="287">
        <v>2028</v>
      </c>
      <c r="X953" s="287">
        <v>2029</v>
      </c>
      <c r="Y953" s="287" t="str">
        <f>'1.  LRAMVA Summary'!D50</f>
        <v>Residential</v>
      </c>
      <c r="Z953" s="287" t="str">
        <f>'1.  LRAMVA Summary'!E50</f>
        <v>GS&lt;50 kW</v>
      </c>
      <c r="AA953" s="287" t="str">
        <f>'1.  LRAMVA Summary'!F50</f>
        <v>GS&gt;50 kW</v>
      </c>
      <c r="AB953" s="287" t="str">
        <f>'1.  LRAMVA Summary'!G50</f>
        <v>Streetlights</v>
      </c>
      <c r="AC953" s="287" t="str">
        <f>'1.  LRAMVA Summary'!H50</f>
        <v>Unmetered Scattered Load</v>
      </c>
      <c r="AD953" s="287" t="str">
        <f>'1.  LRAMVA Summary'!I50</f>
        <v/>
      </c>
      <c r="AE953" s="287" t="str">
        <f>'1.  LRAMVA Summary'!J50</f>
        <v/>
      </c>
      <c r="AF953" s="287" t="str">
        <f>'1.  LRAMVA Summary'!K50</f>
        <v/>
      </c>
      <c r="AG953" s="287" t="str">
        <f>'1.  LRAMVA Summary'!L50</f>
        <v/>
      </c>
      <c r="AH953" s="287" t="str">
        <f>'1.  LRAMVA Summary'!M50</f>
        <v/>
      </c>
      <c r="AI953" s="287" t="str">
        <f>'1.  LRAMVA Summary'!N50</f>
        <v/>
      </c>
      <c r="AJ953" s="287" t="str">
        <f>'1.  LRAMVA Summary'!O50</f>
        <v/>
      </c>
      <c r="AK953" s="287" t="str">
        <f>'1.  LRAMVA Summary'!P50</f>
        <v/>
      </c>
      <c r="AL953" s="287" t="str">
        <f>'1.  LRAMVA Summary'!Q50</f>
        <v/>
      </c>
      <c r="AM953" s="289" t="str">
        <f>'1.  LRAMVA Summary'!R50</f>
        <v>Total</v>
      </c>
    </row>
    <row r="954" spans="1:39" ht="15" customHeight="1">
      <c r="A954" s="532"/>
      <c r="B954" s="518" t="s">
        <v>506</v>
      </c>
      <c r="C954" s="291"/>
      <c r="D954" s="291"/>
      <c r="E954" s="291"/>
      <c r="F954" s="291"/>
      <c r="G954" s="291"/>
      <c r="H954" s="291"/>
      <c r="I954" s="291"/>
      <c r="J954" s="291"/>
      <c r="K954" s="291"/>
      <c r="L954" s="291"/>
      <c r="M954" s="291"/>
      <c r="N954" s="292"/>
      <c r="O954" s="291"/>
      <c r="P954" s="291"/>
      <c r="Q954" s="291"/>
      <c r="R954" s="291"/>
      <c r="S954" s="291"/>
      <c r="T954" s="291"/>
      <c r="U954" s="291"/>
      <c r="V954" s="291"/>
      <c r="W954" s="291"/>
      <c r="X954" s="291"/>
      <c r="Y954" s="293" t="str">
        <f>'1.  LRAMVA Summary'!D51</f>
        <v>kWh</v>
      </c>
      <c r="Z954" s="293" t="str">
        <f>'1.  LRAMVA Summary'!E51</f>
        <v>kWh</v>
      </c>
      <c r="AA954" s="293" t="str">
        <f>'1.  LRAMVA Summary'!F51</f>
        <v>kW</v>
      </c>
      <c r="AB954" s="293" t="str">
        <f>'1.  LRAMVA Summary'!G51</f>
        <v>kW</v>
      </c>
      <c r="AC954" s="293" t="str">
        <f>'1.  LRAMVA Summary'!H51</f>
        <v>KWh</v>
      </c>
      <c r="AD954" s="293">
        <f>'1.  LRAMVA Summary'!I51</f>
        <v>0</v>
      </c>
      <c r="AE954" s="293">
        <f>'1.  LRAMVA Summary'!J51</f>
        <v>0</v>
      </c>
      <c r="AF954" s="293">
        <f>'1.  LRAMVA Summary'!K51</f>
        <v>0</v>
      </c>
      <c r="AG954" s="293">
        <f>'1.  LRAMVA Summary'!L51</f>
        <v>0</v>
      </c>
      <c r="AH954" s="293">
        <f>'1.  LRAMVA Summary'!M51</f>
        <v>0</v>
      </c>
      <c r="AI954" s="293">
        <f>'1.  LRAMVA Summary'!N51</f>
        <v>0</v>
      </c>
      <c r="AJ954" s="293">
        <f>'1.  LRAMVA Summary'!O51</f>
        <v>0</v>
      </c>
      <c r="AK954" s="293">
        <f>'1.  LRAMVA Summary'!P51</f>
        <v>0</v>
      </c>
      <c r="AL954" s="293">
        <f>'1.  LRAMVA Summary'!Q51</f>
        <v>0</v>
      </c>
      <c r="AM954" s="294"/>
    </row>
    <row r="955" spans="1:39" ht="15" hidden="1" customHeight="1" outlineLevel="1">
      <c r="A955" s="532"/>
      <c r="B955" s="504" t="s">
        <v>499</v>
      </c>
      <c r="C955" s="291"/>
      <c r="D955" s="291"/>
      <c r="E955" s="291"/>
      <c r="F955" s="291"/>
      <c r="G955" s="291"/>
      <c r="H955" s="291"/>
      <c r="I955" s="291"/>
      <c r="J955" s="291"/>
      <c r="K955" s="291"/>
      <c r="L955" s="291"/>
      <c r="M955" s="291"/>
      <c r="N955" s="292"/>
      <c r="O955" s="291"/>
      <c r="P955" s="291"/>
      <c r="Q955" s="291"/>
      <c r="R955" s="291"/>
      <c r="S955" s="291"/>
      <c r="T955" s="291"/>
      <c r="U955" s="291"/>
      <c r="V955" s="291"/>
      <c r="W955" s="291"/>
      <c r="X955" s="291"/>
      <c r="Y955" s="293"/>
      <c r="Z955" s="293"/>
      <c r="AA955" s="293"/>
      <c r="AB955" s="293"/>
      <c r="AC955" s="293"/>
      <c r="AD955" s="293"/>
      <c r="AE955" s="293"/>
      <c r="AF955" s="293"/>
      <c r="AG955" s="293"/>
      <c r="AH955" s="293"/>
      <c r="AI955" s="293"/>
      <c r="AJ955" s="293"/>
      <c r="AK955" s="293"/>
      <c r="AL955" s="293"/>
      <c r="AM955" s="294"/>
    </row>
    <row r="956" spans="1:39" ht="15" hidden="1" customHeight="1" outlineLevel="1">
      <c r="A956" s="532">
        <v>1</v>
      </c>
      <c r="B956" s="430" t="s">
        <v>95</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2"/>
      <c r="B957" s="296" t="s">
        <v>347</v>
      </c>
      <c r="C957" s="293" t="s">
        <v>164</v>
      </c>
      <c r="D957" s="297"/>
      <c r="E957" s="297"/>
      <c r="F957" s="297"/>
      <c r="G957" s="297"/>
      <c r="H957" s="297"/>
      <c r="I957" s="297"/>
      <c r="J957" s="297"/>
      <c r="K957" s="297"/>
      <c r="L957" s="297"/>
      <c r="M957" s="297"/>
      <c r="N957" s="469"/>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2"/>
      <c r="B958" s="300"/>
      <c r="C958" s="301"/>
      <c r="D958" s="301"/>
      <c r="E958" s="301"/>
      <c r="F958" s="301"/>
      <c r="G958" s="301"/>
      <c r="H958" s="301"/>
      <c r="I958" s="301"/>
      <c r="J958" s="301"/>
      <c r="K958" s="301"/>
      <c r="L958" s="301"/>
      <c r="M958" s="301"/>
      <c r="N958" s="302"/>
      <c r="O958" s="301"/>
      <c r="P958" s="301"/>
      <c r="Q958" s="301"/>
      <c r="R958" s="301"/>
      <c r="S958" s="301"/>
      <c r="T958" s="301"/>
      <c r="U958" s="301"/>
      <c r="V958" s="301"/>
      <c r="W958" s="301"/>
      <c r="X958" s="301"/>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2">
        <v>2</v>
      </c>
      <c r="B959" s="430" t="s">
        <v>96</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2"/>
      <c r="B960" s="296" t="s">
        <v>347</v>
      </c>
      <c r="C960" s="293" t="s">
        <v>164</v>
      </c>
      <c r="D960" s="297"/>
      <c r="E960" s="297"/>
      <c r="F960" s="297"/>
      <c r="G960" s="297"/>
      <c r="H960" s="297"/>
      <c r="I960" s="297"/>
      <c r="J960" s="297"/>
      <c r="K960" s="297"/>
      <c r="L960" s="297"/>
      <c r="M960" s="297"/>
      <c r="N960" s="469"/>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2"/>
      <c r="B961" s="300"/>
      <c r="C961" s="301"/>
      <c r="D961" s="306"/>
      <c r="E961" s="306"/>
      <c r="F961" s="306"/>
      <c r="G961" s="306"/>
      <c r="H961" s="306"/>
      <c r="I961" s="306"/>
      <c r="J961" s="306"/>
      <c r="K961" s="306"/>
      <c r="L961" s="306"/>
      <c r="M961" s="306"/>
      <c r="N961" s="302"/>
      <c r="O961" s="306"/>
      <c r="P961" s="306"/>
      <c r="Q961" s="306"/>
      <c r="R961" s="306"/>
      <c r="S961" s="306"/>
      <c r="T961" s="306"/>
      <c r="U961" s="306"/>
      <c r="V961" s="306"/>
      <c r="W961" s="306"/>
      <c r="X961" s="306"/>
      <c r="Y961" s="414"/>
      <c r="Z961" s="415"/>
      <c r="AA961" s="415"/>
      <c r="AB961" s="415"/>
      <c r="AC961" s="415"/>
      <c r="AD961" s="415"/>
      <c r="AE961" s="415"/>
      <c r="AF961" s="415"/>
      <c r="AG961" s="415"/>
      <c r="AH961" s="415"/>
      <c r="AI961" s="415"/>
      <c r="AJ961" s="415"/>
      <c r="AK961" s="415"/>
      <c r="AL961" s="415"/>
      <c r="AM961" s="304"/>
    </row>
    <row r="962" spans="1:39" ht="15" hidden="1" customHeight="1" outlineLevel="1">
      <c r="A962" s="532">
        <v>3</v>
      </c>
      <c r="B962" s="430" t="s">
        <v>97</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2"/>
      <c r="B963" s="296" t="s">
        <v>347</v>
      </c>
      <c r="C963" s="293" t="s">
        <v>164</v>
      </c>
      <c r="D963" s="297"/>
      <c r="E963" s="297"/>
      <c r="F963" s="297"/>
      <c r="G963" s="297"/>
      <c r="H963" s="297"/>
      <c r="I963" s="297"/>
      <c r="J963" s="297"/>
      <c r="K963" s="297"/>
      <c r="L963" s="297"/>
      <c r="M963" s="297"/>
      <c r="N963" s="469"/>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2"/>
      <c r="B964" s="296"/>
      <c r="C964" s="307"/>
      <c r="D964" s="293"/>
      <c r="E964" s="293"/>
      <c r="F964" s="293"/>
      <c r="G964" s="293"/>
      <c r="H964" s="293"/>
      <c r="I964" s="293"/>
      <c r="J964" s="293"/>
      <c r="K964" s="293"/>
      <c r="L964" s="293"/>
      <c r="M964" s="293"/>
      <c r="N964" s="293"/>
      <c r="O964" s="293"/>
      <c r="P964" s="293"/>
      <c r="Q964" s="293"/>
      <c r="R964" s="293"/>
      <c r="S964" s="293"/>
      <c r="T964" s="293"/>
      <c r="U964" s="293"/>
      <c r="V964" s="293"/>
      <c r="W964" s="293"/>
      <c r="X964" s="293"/>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2">
        <v>4</v>
      </c>
      <c r="B965" s="430" t="s">
        <v>98</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2"/>
      <c r="B966" s="296" t="s">
        <v>347</v>
      </c>
      <c r="C966" s="293" t="s">
        <v>164</v>
      </c>
      <c r="D966" s="297"/>
      <c r="E966" s="297"/>
      <c r="F966" s="297"/>
      <c r="G966" s="297"/>
      <c r="H966" s="297"/>
      <c r="I966" s="297"/>
      <c r="J966" s="297"/>
      <c r="K966" s="297"/>
      <c r="L966" s="297"/>
      <c r="M966" s="297"/>
      <c r="N966" s="469"/>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2"/>
      <c r="B967" s="296"/>
      <c r="C967" s="307"/>
      <c r="D967" s="306"/>
      <c r="E967" s="306"/>
      <c r="F967" s="306"/>
      <c r="G967" s="306"/>
      <c r="H967" s="306"/>
      <c r="I967" s="306"/>
      <c r="J967" s="306"/>
      <c r="K967" s="306"/>
      <c r="L967" s="306"/>
      <c r="M967" s="306"/>
      <c r="N967" s="293"/>
      <c r="O967" s="306"/>
      <c r="P967" s="306"/>
      <c r="Q967" s="306"/>
      <c r="R967" s="306"/>
      <c r="S967" s="306"/>
      <c r="T967" s="306"/>
      <c r="U967" s="306"/>
      <c r="V967" s="306"/>
      <c r="W967" s="306"/>
      <c r="X967" s="306"/>
      <c r="Y967" s="414"/>
      <c r="Z967" s="414"/>
      <c r="AA967" s="414"/>
      <c r="AB967" s="414"/>
      <c r="AC967" s="414"/>
      <c r="AD967" s="414"/>
      <c r="AE967" s="414"/>
      <c r="AF967" s="414"/>
      <c r="AG967" s="414"/>
      <c r="AH967" s="414"/>
      <c r="AI967" s="414"/>
      <c r="AJ967" s="414"/>
      <c r="AK967" s="414"/>
      <c r="AL967" s="414"/>
      <c r="AM967" s="308"/>
    </row>
    <row r="968" spans="1:39" ht="15" hidden="1" customHeight="1" outlineLevel="1">
      <c r="A968" s="532">
        <v>5</v>
      </c>
      <c r="B968" s="430" t="s">
        <v>99</v>
      </c>
      <c r="C968" s="293" t="s">
        <v>25</v>
      </c>
      <c r="D968" s="297"/>
      <c r="E968" s="297"/>
      <c r="F968" s="297"/>
      <c r="G968" s="297"/>
      <c r="H968" s="297"/>
      <c r="I968" s="297"/>
      <c r="J968" s="297"/>
      <c r="K968" s="297"/>
      <c r="L968" s="297"/>
      <c r="M968" s="297"/>
      <c r="N968" s="293"/>
      <c r="O968" s="297"/>
      <c r="P968" s="297"/>
      <c r="Q968" s="297"/>
      <c r="R968" s="297"/>
      <c r="S968" s="297"/>
      <c r="T968" s="297"/>
      <c r="U968" s="297"/>
      <c r="V968" s="297"/>
      <c r="W968" s="297"/>
      <c r="X968" s="297"/>
      <c r="Y968" s="417"/>
      <c r="Z968" s="417"/>
      <c r="AA968" s="417"/>
      <c r="AB968" s="417"/>
      <c r="AC968" s="417"/>
      <c r="AD968" s="417"/>
      <c r="AE968" s="417"/>
      <c r="AF968" s="412"/>
      <c r="AG968" s="412"/>
      <c r="AH968" s="412"/>
      <c r="AI968" s="412"/>
      <c r="AJ968" s="412"/>
      <c r="AK968" s="412"/>
      <c r="AL968" s="412"/>
      <c r="AM968" s="298">
        <f>SUM(Y968:AL968)</f>
        <v>0</v>
      </c>
    </row>
    <row r="969" spans="1:39" ht="15" hidden="1" customHeight="1" outlineLevel="1">
      <c r="A969" s="532"/>
      <c r="B969" s="296" t="s">
        <v>347</v>
      </c>
      <c r="C969" s="293" t="s">
        <v>164</v>
      </c>
      <c r="D969" s="297"/>
      <c r="E969" s="297"/>
      <c r="F969" s="297"/>
      <c r="G969" s="297"/>
      <c r="H969" s="297"/>
      <c r="I969" s="297"/>
      <c r="J969" s="297"/>
      <c r="K969" s="297"/>
      <c r="L969" s="297"/>
      <c r="M969" s="297"/>
      <c r="N969" s="469"/>
      <c r="O969" s="297"/>
      <c r="P969" s="297"/>
      <c r="Q969" s="297"/>
      <c r="R969" s="297"/>
      <c r="S969" s="297"/>
      <c r="T969" s="297"/>
      <c r="U969" s="297"/>
      <c r="V969" s="297"/>
      <c r="W969" s="297"/>
      <c r="X969" s="297"/>
      <c r="Y969" s="413">
        <f>Y968</f>
        <v>0</v>
      </c>
      <c r="Z969" s="413">
        <f t="shared" ref="Z969" si="2926">Z968</f>
        <v>0</v>
      </c>
      <c r="AA969" s="413">
        <f t="shared" ref="AA969" si="2927">AA968</f>
        <v>0</v>
      </c>
      <c r="AB969" s="413">
        <f t="shared" ref="AB969" si="2928">AB968</f>
        <v>0</v>
      </c>
      <c r="AC969" s="413">
        <f t="shared" ref="AC969" si="2929">AC968</f>
        <v>0</v>
      </c>
      <c r="AD969" s="413">
        <f t="shared" ref="AD969" si="2930">AD968</f>
        <v>0</v>
      </c>
      <c r="AE969" s="413">
        <f t="shared" ref="AE969" si="2931">AE968</f>
        <v>0</v>
      </c>
      <c r="AF969" s="413">
        <f t="shared" ref="AF969" si="2932">AF968</f>
        <v>0</v>
      </c>
      <c r="AG969" s="413">
        <f t="shared" ref="AG969" si="2933">AG968</f>
        <v>0</v>
      </c>
      <c r="AH969" s="413">
        <f t="shared" ref="AH969" si="2934">AH968</f>
        <v>0</v>
      </c>
      <c r="AI969" s="413">
        <f t="shared" ref="AI969" si="2935">AI968</f>
        <v>0</v>
      </c>
      <c r="AJ969" s="413">
        <f t="shared" ref="AJ969" si="2936">AJ968</f>
        <v>0</v>
      </c>
      <c r="AK969" s="413">
        <f t="shared" ref="AK969" si="2937">AK968</f>
        <v>0</v>
      </c>
      <c r="AL969" s="413">
        <f t="shared" ref="AL969" si="2938">AL968</f>
        <v>0</v>
      </c>
      <c r="AM969" s="299"/>
    </row>
    <row r="970" spans="1:39" ht="15" hidden="1" customHeight="1" outlineLevel="1">
      <c r="A970" s="532"/>
      <c r="B970" s="296"/>
      <c r="C970" s="293"/>
      <c r="D970" s="293"/>
      <c r="E970" s="293"/>
      <c r="F970" s="293"/>
      <c r="G970" s="293"/>
      <c r="H970" s="293"/>
      <c r="I970" s="293"/>
      <c r="J970" s="293"/>
      <c r="K970" s="293"/>
      <c r="L970" s="293"/>
      <c r="M970" s="293"/>
      <c r="N970" s="293"/>
      <c r="O970" s="293"/>
      <c r="P970" s="293"/>
      <c r="Q970" s="293"/>
      <c r="R970" s="293"/>
      <c r="S970" s="293"/>
      <c r="T970" s="293"/>
      <c r="U970" s="293"/>
      <c r="V970" s="293"/>
      <c r="W970" s="293"/>
      <c r="X970" s="293"/>
      <c r="Y970" s="424"/>
      <c r="Z970" s="425"/>
      <c r="AA970" s="425"/>
      <c r="AB970" s="425"/>
      <c r="AC970" s="425"/>
      <c r="AD970" s="425"/>
      <c r="AE970" s="425"/>
      <c r="AF970" s="425"/>
      <c r="AG970" s="425"/>
      <c r="AH970" s="425"/>
      <c r="AI970" s="425"/>
      <c r="AJ970" s="425"/>
      <c r="AK970" s="425"/>
      <c r="AL970" s="425"/>
      <c r="AM970" s="299"/>
    </row>
    <row r="971" spans="1:39" ht="15.75" hidden="1" outlineLevel="1">
      <c r="A971" s="532"/>
      <c r="B971" s="321" t="s">
        <v>500</v>
      </c>
      <c r="C971" s="291"/>
      <c r="D971" s="291"/>
      <c r="E971" s="291"/>
      <c r="F971" s="291"/>
      <c r="G971" s="291"/>
      <c r="H971" s="291"/>
      <c r="I971" s="291"/>
      <c r="J971" s="291"/>
      <c r="K971" s="291"/>
      <c r="L971" s="291"/>
      <c r="M971" s="291"/>
      <c r="N971" s="292"/>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294"/>
    </row>
    <row r="972" spans="1:39" ht="15" hidden="1" customHeight="1" outlineLevel="1">
      <c r="A972" s="532">
        <v>6</v>
      </c>
      <c r="B972" s="430" t="s">
        <v>100</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2"/>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2"/>
      <c r="B974" s="312"/>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8"/>
      <c r="AA974" s="418"/>
      <c r="AB974" s="418"/>
      <c r="AC974" s="418"/>
      <c r="AD974" s="418"/>
      <c r="AE974" s="418"/>
      <c r="AF974" s="418"/>
      <c r="AG974" s="418"/>
      <c r="AH974" s="418"/>
      <c r="AI974" s="418"/>
      <c r="AJ974" s="418"/>
      <c r="AK974" s="418"/>
      <c r="AL974" s="418"/>
      <c r="AM974" s="315"/>
    </row>
    <row r="975" spans="1:39" ht="15" hidden="1" customHeight="1" outlineLevel="1">
      <c r="A975" s="532">
        <v>7</v>
      </c>
      <c r="B975" s="430" t="s">
        <v>101</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2"/>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2"/>
      <c r="B977" s="316"/>
      <c r="C977" s="314"/>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2">
        <v>8</v>
      </c>
      <c r="B978" s="430" t="s">
        <v>102</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2"/>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2"/>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9"/>
      <c r="AA980" s="418"/>
      <c r="AB980" s="418"/>
      <c r="AC980" s="418"/>
      <c r="AD980" s="418"/>
      <c r="AE980" s="418"/>
      <c r="AF980" s="418"/>
      <c r="AG980" s="418"/>
      <c r="AH980" s="418"/>
      <c r="AI980" s="418"/>
      <c r="AJ980" s="418"/>
      <c r="AK980" s="418"/>
      <c r="AL980" s="418"/>
      <c r="AM980" s="315"/>
    </row>
    <row r="981" spans="1:39" ht="15" hidden="1" customHeight="1" outlineLevel="1">
      <c r="A981" s="532">
        <v>9</v>
      </c>
      <c r="B981" s="430" t="s">
        <v>103</v>
      </c>
      <c r="C981" s="293" t="s">
        <v>25</v>
      </c>
      <c r="D981" s="297"/>
      <c r="E981" s="297"/>
      <c r="F981" s="297"/>
      <c r="G981" s="297"/>
      <c r="H981" s="297"/>
      <c r="I981" s="297"/>
      <c r="J981" s="297"/>
      <c r="K981" s="297"/>
      <c r="L981" s="297"/>
      <c r="M981" s="297"/>
      <c r="N981" s="297">
        <v>12</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2"/>
      <c r="B982" s="296" t="s">
        <v>347</v>
      </c>
      <c r="C982" s="293" t="s">
        <v>164</v>
      </c>
      <c r="D982" s="297"/>
      <c r="E982" s="297"/>
      <c r="F982" s="297"/>
      <c r="G982" s="297"/>
      <c r="H982" s="297"/>
      <c r="I982" s="297"/>
      <c r="J982" s="297"/>
      <c r="K982" s="297"/>
      <c r="L982" s="297"/>
      <c r="M982" s="297"/>
      <c r="N982" s="297">
        <f>N981</f>
        <v>12</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2"/>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8"/>
      <c r="AA983" s="418"/>
      <c r="AB983" s="418"/>
      <c r="AC983" s="418"/>
      <c r="AD983" s="418"/>
      <c r="AE983" s="418"/>
      <c r="AF983" s="418"/>
      <c r="AG983" s="418"/>
      <c r="AH983" s="418"/>
      <c r="AI983" s="418"/>
      <c r="AJ983" s="418"/>
      <c r="AK983" s="418"/>
      <c r="AL983" s="418"/>
      <c r="AM983" s="315"/>
    </row>
    <row r="984" spans="1:39" ht="15" hidden="1" customHeight="1" outlineLevel="1">
      <c r="A984" s="532">
        <v>10</v>
      </c>
      <c r="B984" s="430" t="s">
        <v>104</v>
      </c>
      <c r="C984" s="293" t="s">
        <v>25</v>
      </c>
      <c r="D984" s="297"/>
      <c r="E984" s="297"/>
      <c r="F984" s="297"/>
      <c r="G984" s="297"/>
      <c r="H984" s="297"/>
      <c r="I984" s="297"/>
      <c r="J984" s="297"/>
      <c r="K984" s="297"/>
      <c r="L984" s="297"/>
      <c r="M984" s="297"/>
      <c r="N984" s="297">
        <v>3</v>
      </c>
      <c r="O984" s="297"/>
      <c r="P984" s="297"/>
      <c r="Q984" s="297"/>
      <c r="R984" s="297"/>
      <c r="S984" s="297"/>
      <c r="T984" s="297"/>
      <c r="U984" s="297"/>
      <c r="V984" s="297"/>
      <c r="W984" s="297"/>
      <c r="X984" s="297"/>
      <c r="Y984" s="417"/>
      <c r="Z984" s="417"/>
      <c r="AA984" s="417"/>
      <c r="AB984" s="417"/>
      <c r="AC984" s="417"/>
      <c r="AD984" s="417"/>
      <c r="AE984" s="417"/>
      <c r="AF984" s="417"/>
      <c r="AG984" s="417"/>
      <c r="AH984" s="417"/>
      <c r="AI984" s="417"/>
      <c r="AJ984" s="417"/>
      <c r="AK984" s="417"/>
      <c r="AL984" s="417"/>
      <c r="AM984" s="298">
        <f>SUM(Y984:AL984)</f>
        <v>0</v>
      </c>
    </row>
    <row r="985" spans="1:39" ht="15" hidden="1" customHeight="1" outlineLevel="1">
      <c r="A985" s="532"/>
      <c r="B985" s="296" t="s">
        <v>347</v>
      </c>
      <c r="C985" s="293" t="s">
        <v>164</v>
      </c>
      <c r="D985" s="297"/>
      <c r="E985" s="297"/>
      <c r="F985" s="297"/>
      <c r="G985" s="297"/>
      <c r="H985" s="297"/>
      <c r="I985" s="297"/>
      <c r="J985" s="297"/>
      <c r="K985" s="297"/>
      <c r="L985" s="297"/>
      <c r="M985" s="297"/>
      <c r="N985" s="297">
        <f>N984</f>
        <v>3</v>
      </c>
      <c r="O985" s="297"/>
      <c r="P985" s="297"/>
      <c r="Q985" s="297"/>
      <c r="R985" s="297"/>
      <c r="S985" s="297"/>
      <c r="T985" s="297"/>
      <c r="U985" s="297"/>
      <c r="V985" s="297"/>
      <c r="W985" s="297"/>
      <c r="X985" s="297"/>
      <c r="Y985" s="413">
        <f>Y984</f>
        <v>0</v>
      </c>
      <c r="Z985" s="413">
        <f t="shared" ref="Z985" si="2991">Z984</f>
        <v>0</v>
      </c>
      <c r="AA985" s="413">
        <f t="shared" ref="AA985" si="2992">AA984</f>
        <v>0</v>
      </c>
      <c r="AB985" s="413">
        <f t="shared" ref="AB985" si="2993">AB984</f>
        <v>0</v>
      </c>
      <c r="AC985" s="413">
        <f t="shared" ref="AC985" si="2994">AC984</f>
        <v>0</v>
      </c>
      <c r="AD985" s="413">
        <f t="shared" ref="AD985" si="2995">AD984</f>
        <v>0</v>
      </c>
      <c r="AE985" s="413">
        <f t="shared" ref="AE985" si="2996">AE984</f>
        <v>0</v>
      </c>
      <c r="AF985" s="413">
        <f t="shared" ref="AF985" si="2997">AF984</f>
        <v>0</v>
      </c>
      <c r="AG985" s="413">
        <f t="shared" ref="AG985" si="2998">AG984</f>
        <v>0</v>
      </c>
      <c r="AH985" s="413">
        <f t="shared" ref="AH985" si="2999">AH984</f>
        <v>0</v>
      </c>
      <c r="AI985" s="413">
        <f t="shared" ref="AI985" si="3000">AI984</f>
        <v>0</v>
      </c>
      <c r="AJ985" s="413">
        <f t="shared" ref="AJ985" si="3001">AJ984</f>
        <v>0</v>
      </c>
      <c r="AK985" s="413">
        <f t="shared" ref="AK985" si="3002">AK984</f>
        <v>0</v>
      </c>
      <c r="AL985" s="413">
        <f t="shared" ref="AL985" si="3003">AL984</f>
        <v>0</v>
      </c>
      <c r="AM985" s="313"/>
    </row>
    <row r="986" spans="1:39" ht="15" hidden="1" customHeight="1" outlineLevel="1">
      <c r="A986" s="532"/>
      <c r="B986" s="316"/>
      <c r="C986" s="314"/>
      <c r="D986" s="318"/>
      <c r="E986" s="318"/>
      <c r="F986" s="318"/>
      <c r="G986" s="318"/>
      <c r="H986" s="318"/>
      <c r="I986" s="318"/>
      <c r="J986" s="318"/>
      <c r="K986" s="318"/>
      <c r="L986" s="318"/>
      <c r="M986" s="318"/>
      <c r="N986" s="293"/>
      <c r="O986" s="318"/>
      <c r="P986" s="318"/>
      <c r="Q986" s="318"/>
      <c r="R986" s="318"/>
      <c r="S986" s="318"/>
      <c r="T986" s="318"/>
      <c r="U986" s="318"/>
      <c r="V986" s="318"/>
      <c r="W986" s="318"/>
      <c r="X986" s="318"/>
      <c r="Y986" s="418"/>
      <c r="Z986" s="419"/>
      <c r="AA986" s="418"/>
      <c r="AB986" s="418"/>
      <c r="AC986" s="418"/>
      <c r="AD986" s="418"/>
      <c r="AE986" s="418"/>
      <c r="AF986" s="418"/>
      <c r="AG986" s="418"/>
      <c r="AH986" s="418"/>
      <c r="AI986" s="418"/>
      <c r="AJ986" s="418"/>
      <c r="AK986" s="418"/>
      <c r="AL986" s="418"/>
      <c r="AM986" s="315"/>
    </row>
    <row r="987" spans="1:39" ht="15" hidden="1" customHeight="1" outlineLevel="1">
      <c r="A987" s="532"/>
      <c r="B987" s="290" t="s">
        <v>10</v>
      </c>
      <c r="C987" s="291"/>
      <c r="D987" s="291"/>
      <c r="E987" s="291"/>
      <c r="F987" s="291"/>
      <c r="G987" s="291"/>
      <c r="H987" s="291"/>
      <c r="I987" s="291"/>
      <c r="J987" s="291"/>
      <c r="K987" s="291"/>
      <c r="L987" s="291"/>
      <c r="M987" s="291"/>
      <c r="N987" s="292"/>
      <c r="O987" s="291"/>
      <c r="P987" s="291"/>
      <c r="Q987" s="291"/>
      <c r="R987" s="291"/>
      <c r="S987" s="291"/>
      <c r="T987" s="291"/>
      <c r="U987" s="291"/>
      <c r="V987" s="291"/>
      <c r="W987" s="291"/>
      <c r="X987" s="291"/>
      <c r="Y987" s="416"/>
      <c r="Z987" s="416"/>
      <c r="AA987" s="416"/>
      <c r="AB987" s="416"/>
      <c r="AC987" s="416"/>
      <c r="AD987" s="416"/>
      <c r="AE987" s="416"/>
      <c r="AF987" s="416"/>
      <c r="AG987" s="416"/>
      <c r="AH987" s="416"/>
      <c r="AI987" s="416"/>
      <c r="AJ987" s="416"/>
      <c r="AK987" s="416"/>
      <c r="AL987" s="416"/>
      <c r="AM987" s="294"/>
    </row>
    <row r="988" spans="1:39" ht="15" hidden="1" customHeight="1" outlineLevel="1">
      <c r="A988" s="532">
        <v>11</v>
      </c>
      <c r="B988" s="430" t="s">
        <v>105</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28"/>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2"/>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2"/>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14"/>
      <c r="Z990" s="423"/>
      <c r="AA990" s="423"/>
      <c r="AB990" s="423"/>
      <c r="AC990" s="423"/>
      <c r="AD990" s="423"/>
      <c r="AE990" s="423"/>
      <c r="AF990" s="423"/>
      <c r="AG990" s="423"/>
      <c r="AH990" s="423"/>
      <c r="AI990" s="423"/>
      <c r="AJ990" s="423"/>
      <c r="AK990" s="423"/>
      <c r="AL990" s="423"/>
      <c r="AM990" s="308"/>
    </row>
    <row r="991" spans="1:39" ht="28.5" hidden="1" customHeight="1" outlineLevel="1">
      <c r="A991" s="532">
        <v>12</v>
      </c>
      <c r="B991" s="430" t="s">
        <v>106</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2"/>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299"/>
    </row>
    <row r="993" spans="1:40" ht="15" hidden="1" customHeight="1" outlineLevel="1">
      <c r="A993" s="532"/>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24"/>
      <c r="Z993" s="424"/>
      <c r="AA993" s="414"/>
      <c r="AB993" s="414"/>
      <c r="AC993" s="414"/>
      <c r="AD993" s="414"/>
      <c r="AE993" s="414"/>
      <c r="AF993" s="414"/>
      <c r="AG993" s="414"/>
      <c r="AH993" s="414"/>
      <c r="AI993" s="414"/>
      <c r="AJ993" s="414"/>
      <c r="AK993" s="414"/>
      <c r="AL993" s="414"/>
      <c r="AM993" s="308"/>
    </row>
    <row r="994" spans="1:40" ht="15" hidden="1" customHeight="1" outlineLevel="1">
      <c r="A994" s="532">
        <v>13</v>
      </c>
      <c r="B994" s="430" t="s">
        <v>107</v>
      </c>
      <c r="C994" s="293" t="s">
        <v>25</v>
      </c>
      <c r="D994" s="297"/>
      <c r="E994" s="297"/>
      <c r="F994" s="297"/>
      <c r="G994" s="297"/>
      <c r="H994" s="297"/>
      <c r="I994" s="297"/>
      <c r="J994" s="297"/>
      <c r="K994" s="297"/>
      <c r="L994" s="297"/>
      <c r="M994" s="297"/>
      <c r="N994" s="297">
        <v>12</v>
      </c>
      <c r="O994" s="297"/>
      <c r="P994" s="297"/>
      <c r="Q994" s="297"/>
      <c r="R994" s="297"/>
      <c r="S994" s="297"/>
      <c r="T994" s="297"/>
      <c r="U994" s="297"/>
      <c r="V994" s="297"/>
      <c r="W994" s="297"/>
      <c r="X994" s="297"/>
      <c r="Y994" s="412"/>
      <c r="Z994" s="417"/>
      <c r="AA994" s="417"/>
      <c r="AB994" s="417"/>
      <c r="AC994" s="417"/>
      <c r="AD994" s="417"/>
      <c r="AE994" s="417"/>
      <c r="AF994" s="417"/>
      <c r="AG994" s="417"/>
      <c r="AH994" s="417"/>
      <c r="AI994" s="417"/>
      <c r="AJ994" s="417"/>
      <c r="AK994" s="417"/>
      <c r="AL994" s="417"/>
      <c r="AM994" s="298">
        <f>SUM(Y994:AL994)</f>
        <v>0</v>
      </c>
    </row>
    <row r="995" spans="1:40" ht="15" hidden="1" customHeight="1" outlineLevel="1">
      <c r="A995" s="532"/>
      <c r="B995" s="296" t="s">
        <v>347</v>
      </c>
      <c r="C995" s="293" t="s">
        <v>164</v>
      </c>
      <c r="D995" s="297"/>
      <c r="E995" s="297"/>
      <c r="F995" s="297"/>
      <c r="G995" s="297"/>
      <c r="H995" s="297"/>
      <c r="I995" s="297"/>
      <c r="J995" s="297"/>
      <c r="K995" s="297"/>
      <c r="L995" s="297"/>
      <c r="M995" s="297"/>
      <c r="N995" s="297">
        <f>N994</f>
        <v>12</v>
      </c>
      <c r="O995" s="297"/>
      <c r="P995" s="297"/>
      <c r="Q995" s="297"/>
      <c r="R995" s="297"/>
      <c r="S995" s="297"/>
      <c r="T995" s="297"/>
      <c r="U995" s="297"/>
      <c r="V995" s="297"/>
      <c r="W995" s="297"/>
      <c r="X995" s="297"/>
      <c r="Y995" s="413">
        <f>Y994</f>
        <v>0</v>
      </c>
      <c r="Z995" s="413">
        <f t="shared" ref="Z995" si="3030">Z994</f>
        <v>0</v>
      </c>
      <c r="AA995" s="413">
        <f t="shared" ref="AA995" si="3031">AA994</f>
        <v>0</v>
      </c>
      <c r="AB995" s="413">
        <f t="shared" ref="AB995" si="3032">AB994</f>
        <v>0</v>
      </c>
      <c r="AC995" s="413">
        <f t="shared" ref="AC995" si="3033">AC994</f>
        <v>0</v>
      </c>
      <c r="AD995" s="413">
        <f t="shared" ref="AD995" si="3034">AD994</f>
        <v>0</v>
      </c>
      <c r="AE995" s="413">
        <f t="shared" ref="AE995" si="3035">AE994</f>
        <v>0</v>
      </c>
      <c r="AF995" s="413">
        <f t="shared" ref="AF995" si="3036">AF994</f>
        <v>0</v>
      </c>
      <c r="AG995" s="413">
        <f t="shared" ref="AG995" si="3037">AG994</f>
        <v>0</v>
      </c>
      <c r="AH995" s="413">
        <f t="shared" ref="AH995" si="3038">AH994</f>
        <v>0</v>
      </c>
      <c r="AI995" s="413">
        <f t="shared" ref="AI995" si="3039">AI994</f>
        <v>0</v>
      </c>
      <c r="AJ995" s="413">
        <f t="shared" ref="AJ995" si="3040">AJ994</f>
        <v>0</v>
      </c>
      <c r="AK995" s="413">
        <f t="shared" ref="AK995" si="3041">AK994</f>
        <v>0</v>
      </c>
      <c r="AL995" s="413">
        <f t="shared" ref="AL995" si="3042">AL994</f>
        <v>0</v>
      </c>
      <c r="AM995" s="308"/>
    </row>
    <row r="996" spans="1:40" ht="15" hidden="1" customHeight="1" outlineLevel="1">
      <c r="A996" s="532"/>
      <c r="B996" s="317"/>
      <c r="C996" s="307"/>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414"/>
      <c r="Z996" s="414"/>
      <c r="AA996" s="414"/>
      <c r="AB996" s="414"/>
      <c r="AC996" s="414"/>
      <c r="AD996" s="414"/>
      <c r="AE996" s="414"/>
      <c r="AF996" s="414"/>
      <c r="AG996" s="414"/>
      <c r="AH996" s="414"/>
      <c r="AI996" s="414"/>
      <c r="AJ996" s="414"/>
      <c r="AK996" s="414"/>
      <c r="AL996" s="414"/>
      <c r="AM996" s="308"/>
    </row>
    <row r="997" spans="1:40" ht="15" hidden="1" customHeight="1" outlineLevel="1">
      <c r="A997" s="532"/>
      <c r="B997" s="290" t="s">
        <v>108</v>
      </c>
      <c r="C997" s="291"/>
      <c r="D997" s="292"/>
      <c r="E997" s="292"/>
      <c r="F997" s="292"/>
      <c r="G997" s="292"/>
      <c r="H997" s="292"/>
      <c r="I997" s="292"/>
      <c r="J997" s="292"/>
      <c r="K997" s="292"/>
      <c r="L997" s="292"/>
      <c r="M997" s="292"/>
      <c r="N997" s="292"/>
      <c r="O997" s="292"/>
      <c r="P997" s="291"/>
      <c r="Q997" s="291"/>
      <c r="R997" s="291"/>
      <c r="S997" s="291"/>
      <c r="T997" s="291"/>
      <c r="U997" s="291"/>
      <c r="V997" s="291"/>
      <c r="W997" s="291"/>
      <c r="X997" s="291"/>
      <c r="Y997" s="416"/>
      <c r="Z997" s="416"/>
      <c r="AA997" s="416"/>
      <c r="AB997" s="416"/>
      <c r="AC997" s="416"/>
      <c r="AD997" s="416"/>
      <c r="AE997" s="416"/>
      <c r="AF997" s="416"/>
      <c r="AG997" s="416"/>
      <c r="AH997" s="416"/>
      <c r="AI997" s="416"/>
      <c r="AJ997" s="416"/>
      <c r="AK997" s="416"/>
      <c r="AL997" s="416"/>
      <c r="AM997" s="294"/>
    </row>
    <row r="998" spans="1:40" ht="15" hidden="1" customHeight="1" outlineLevel="1">
      <c r="A998" s="532">
        <v>14</v>
      </c>
      <c r="B998" s="317" t="s">
        <v>109</v>
      </c>
      <c r="C998" s="293" t="s">
        <v>25</v>
      </c>
      <c r="D998" s="297"/>
      <c r="E998" s="297"/>
      <c r="F998" s="297"/>
      <c r="G998" s="297"/>
      <c r="H998" s="297"/>
      <c r="I998" s="297"/>
      <c r="J998" s="297"/>
      <c r="K998" s="297"/>
      <c r="L998" s="297"/>
      <c r="M998" s="297"/>
      <c r="N998" s="297">
        <v>12</v>
      </c>
      <c r="O998" s="297"/>
      <c r="P998" s="297"/>
      <c r="Q998" s="297"/>
      <c r="R998" s="297"/>
      <c r="S998" s="297"/>
      <c r="T998" s="297"/>
      <c r="U998" s="297"/>
      <c r="V998" s="297"/>
      <c r="W998" s="297"/>
      <c r="X998" s="297"/>
      <c r="Y998" s="412"/>
      <c r="Z998" s="412"/>
      <c r="AA998" s="412"/>
      <c r="AB998" s="412"/>
      <c r="AC998" s="412"/>
      <c r="AD998" s="412"/>
      <c r="AE998" s="412"/>
      <c r="AF998" s="412"/>
      <c r="AG998" s="412"/>
      <c r="AH998" s="412"/>
      <c r="AI998" s="412"/>
      <c r="AJ998" s="412"/>
      <c r="AK998" s="412"/>
      <c r="AL998" s="412"/>
      <c r="AM998" s="298">
        <f>SUM(Y998:AL998)</f>
        <v>0</v>
      </c>
    </row>
    <row r="999" spans="1:40" ht="15" hidden="1" customHeight="1" outlineLevel="1">
      <c r="A999" s="532"/>
      <c r="B999" s="296" t="s">
        <v>347</v>
      </c>
      <c r="C999" s="293" t="s">
        <v>164</v>
      </c>
      <c r="D999" s="297"/>
      <c r="E999" s="297"/>
      <c r="F999" s="297"/>
      <c r="G999" s="297"/>
      <c r="H999" s="297"/>
      <c r="I999" s="297"/>
      <c r="J999" s="297"/>
      <c r="K999" s="297"/>
      <c r="L999" s="297"/>
      <c r="M999" s="297"/>
      <c r="N999" s="297">
        <f>N998</f>
        <v>12</v>
      </c>
      <c r="O999" s="297"/>
      <c r="P999" s="297"/>
      <c r="Q999" s="297"/>
      <c r="R999" s="297"/>
      <c r="S999" s="297"/>
      <c r="T999" s="297"/>
      <c r="U999" s="297"/>
      <c r="V999" s="297"/>
      <c r="W999" s="297"/>
      <c r="X999" s="297"/>
      <c r="Y999" s="413">
        <f>Y998</f>
        <v>0</v>
      </c>
      <c r="Z999" s="413">
        <f t="shared" ref="Z999" si="3043">Z998</f>
        <v>0</v>
      </c>
      <c r="AA999" s="413">
        <f t="shared" ref="AA999" si="3044">AA998</f>
        <v>0</v>
      </c>
      <c r="AB999" s="413">
        <f t="shared" ref="AB999" si="3045">AB998</f>
        <v>0</v>
      </c>
      <c r="AC999" s="413">
        <f t="shared" ref="AC999" si="3046">AC998</f>
        <v>0</v>
      </c>
      <c r="AD999" s="413">
        <f t="shared" ref="AD999" si="3047">AD998</f>
        <v>0</v>
      </c>
      <c r="AE999" s="413">
        <f t="shared" ref="AE999" si="3048">AE998</f>
        <v>0</v>
      </c>
      <c r="AF999" s="413">
        <f t="shared" ref="AF999" si="3049">AF998</f>
        <v>0</v>
      </c>
      <c r="AG999" s="413">
        <f t="shared" ref="AG999" si="3050">AG998</f>
        <v>0</v>
      </c>
      <c r="AH999" s="413">
        <f t="shared" ref="AH999" si="3051">AH998</f>
        <v>0</v>
      </c>
      <c r="AI999" s="413">
        <f t="shared" ref="AI999" si="3052">AI998</f>
        <v>0</v>
      </c>
      <c r="AJ999" s="413">
        <f t="shared" ref="AJ999" si="3053">AJ998</f>
        <v>0</v>
      </c>
      <c r="AK999" s="413">
        <f t="shared" ref="AK999" si="3054">AK998</f>
        <v>0</v>
      </c>
      <c r="AL999" s="413">
        <f t="shared" ref="AL999" si="3055">AL998</f>
        <v>0</v>
      </c>
      <c r="AM999" s="299"/>
    </row>
    <row r="1000" spans="1:40" ht="15" hidden="1" customHeight="1" outlineLevel="1">
      <c r="A1000" s="532"/>
      <c r="B1000" s="317"/>
      <c r="C1000" s="307"/>
      <c r="D1000" s="293"/>
      <c r="E1000" s="293"/>
      <c r="F1000" s="293"/>
      <c r="G1000" s="293"/>
      <c r="H1000" s="293"/>
      <c r="I1000" s="293"/>
      <c r="J1000" s="293"/>
      <c r="K1000" s="293"/>
      <c r="L1000" s="293"/>
      <c r="M1000" s="293"/>
      <c r="N1000" s="469"/>
      <c r="O1000" s="293"/>
      <c r="P1000" s="293"/>
      <c r="Q1000" s="293"/>
      <c r="R1000" s="293"/>
      <c r="S1000" s="293"/>
      <c r="T1000" s="293"/>
      <c r="U1000" s="293"/>
      <c r="V1000" s="293"/>
      <c r="W1000" s="293"/>
      <c r="X1000" s="293"/>
      <c r="Y1000" s="414"/>
      <c r="Z1000" s="414"/>
      <c r="AA1000" s="414"/>
      <c r="AB1000" s="414"/>
      <c r="AC1000" s="414"/>
      <c r="AD1000" s="414"/>
      <c r="AE1000" s="414"/>
      <c r="AF1000" s="414"/>
      <c r="AG1000" s="414"/>
      <c r="AH1000" s="414"/>
      <c r="AI1000" s="414"/>
      <c r="AJ1000" s="414"/>
      <c r="AK1000" s="414"/>
      <c r="AL1000" s="414"/>
      <c r="AM1000" s="303"/>
      <c r="AN1000" s="630"/>
    </row>
    <row r="1001" spans="1:40" s="311" customFormat="1" ht="15.75" hidden="1" outlineLevel="1">
      <c r="A1001" s="532"/>
      <c r="B1001" s="290" t="s">
        <v>492</v>
      </c>
      <c r="C1001" s="293"/>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8"/>
      <c r="AF1001" s="418"/>
      <c r="AG1001" s="418"/>
      <c r="AH1001" s="418"/>
      <c r="AI1001" s="418"/>
      <c r="AJ1001" s="418"/>
      <c r="AK1001" s="418"/>
      <c r="AL1001" s="418"/>
      <c r="AM1001" s="517"/>
      <c r="AN1001" s="631"/>
    </row>
    <row r="1002" spans="1:40" hidden="1" outlineLevel="1">
      <c r="A1002" s="532">
        <v>15</v>
      </c>
      <c r="B1002" s="296" t="s">
        <v>497</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632">
        <f>SUM(Y1002:AL1002)</f>
        <v>0</v>
      </c>
      <c r="AN1002" s="630"/>
    </row>
    <row r="1003" spans="1:40" hidden="1" outlineLevel="1">
      <c r="A1003" s="532"/>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Z1002</f>
        <v>0</v>
      </c>
      <c r="AA1003" s="413">
        <f t="shared" ref="AA1003:AL1003" si="3056">AA1002</f>
        <v>0</v>
      </c>
      <c r="AB1003" s="413">
        <f t="shared" si="3056"/>
        <v>0</v>
      </c>
      <c r="AC1003" s="413">
        <f t="shared" si="3056"/>
        <v>0</v>
      </c>
      <c r="AD1003" s="413">
        <f>AD1002</f>
        <v>0</v>
      </c>
      <c r="AE1003" s="413">
        <f t="shared" si="3056"/>
        <v>0</v>
      </c>
      <c r="AF1003" s="413">
        <f t="shared" si="3056"/>
        <v>0</v>
      </c>
      <c r="AG1003" s="413">
        <f t="shared" si="3056"/>
        <v>0</v>
      </c>
      <c r="AH1003" s="413">
        <f t="shared" si="3056"/>
        <v>0</v>
      </c>
      <c r="AI1003" s="413">
        <f t="shared" si="3056"/>
        <v>0</v>
      </c>
      <c r="AJ1003" s="413">
        <f t="shared" si="3056"/>
        <v>0</v>
      </c>
      <c r="AK1003" s="413">
        <f t="shared" si="3056"/>
        <v>0</v>
      </c>
      <c r="AL1003" s="413">
        <f t="shared" si="3056"/>
        <v>0</v>
      </c>
      <c r="AM1003" s="299"/>
    </row>
    <row r="1004" spans="1:40" hidden="1" outlineLevel="1">
      <c r="A1004" s="532"/>
      <c r="B1004" s="317"/>
      <c r="C1004" s="307"/>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4"/>
      <c r="AF1004" s="414"/>
      <c r="AG1004" s="414"/>
      <c r="AH1004" s="414"/>
      <c r="AI1004" s="414"/>
      <c r="AJ1004" s="414"/>
      <c r="AK1004" s="414"/>
      <c r="AL1004" s="414"/>
      <c r="AM1004" s="308"/>
    </row>
    <row r="1005" spans="1:40" s="285" customFormat="1" hidden="1" outlineLevel="1">
      <c r="A1005" s="532">
        <v>16</v>
      </c>
      <c r="B1005" s="326" t="s">
        <v>493</v>
      </c>
      <c r="C1005" s="293" t="s">
        <v>25</v>
      </c>
      <c r="D1005" s="297"/>
      <c r="E1005" s="297"/>
      <c r="F1005" s="297"/>
      <c r="G1005" s="297"/>
      <c r="H1005" s="297"/>
      <c r="I1005" s="297"/>
      <c r="J1005" s="297"/>
      <c r="K1005" s="297"/>
      <c r="L1005" s="297"/>
      <c r="M1005" s="297"/>
      <c r="N1005" s="297">
        <v>0</v>
      </c>
      <c r="O1005" s="297"/>
      <c r="P1005" s="297"/>
      <c r="Q1005" s="297"/>
      <c r="R1005" s="297"/>
      <c r="S1005" s="297"/>
      <c r="T1005" s="297"/>
      <c r="U1005" s="297"/>
      <c r="V1005" s="297"/>
      <c r="W1005" s="297"/>
      <c r="X1005" s="297"/>
      <c r="Y1005" s="412"/>
      <c r="Z1005" s="412"/>
      <c r="AA1005" s="412"/>
      <c r="AB1005" s="412"/>
      <c r="AC1005" s="412"/>
      <c r="AD1005" s="412"/>
      <c r="AE1005" s="412"/>
      <c r="AF1005" s="412"/>
      <c r="AG1005" s="412"/>
      <c r="AH1005" s="412"/>
      <c r="AI1005" s="412"/>
      <c r="AJ1005" s="412"/>
      <c r="AK1005" s="412"/>
      <c r="AL1005" s="412"/>
      <c r="AM1005" s="298">
        <f>SUM(Y1005:AL1005)</f>
        <v>0</v>
      </c>
    </row>
    <row r="1006" spans="1:40" s="285" customFormat="1" hidden="1" outlineLevel="1">
      <c r="A1006" s="532"/>
      <c r="B1006" s="296" t="s">
        <v>343</v>
      </c>
      <c r="C1006" s="293" t="s">
        <v>164</v>
      </c>
      <c r="D1006" s="297"/>
      <c r="E1006" s="297"/>
      <c r="F1006" s="297"/>
      <c r="G1006" s="297"/>
      <c r="H1006" s="297"/>
      <c r="I1006" s="297"/>
      <c r="J1006" s="297"/>
      <c r="K1006" s="297"/>
      <c r="L1006" s="297"/>
      <c r="M1006" s="297"/>
      <c r="N1006" s="297">
        <f>N1005</f>
        <v>0</v>
      </c>
      <c r="O1006" s="297"/>
      <c r="P1006" s="297"/>
      <c r="Q1006" s="297"/>
      <c r="R1006" s="297"/>
      <c r="S1006" s="297"/>
      <c r="T1006" s="297"/>
      <c r="U1006" s="297"/>
      <c r="V1006" s="297"/>
      <c r="W1006" s="297"/>
      <c r="X1006" s="297"/>
      <c r="Y1006" s="413">
        <f>Y1005</f>
        <v>0</v>
      </c>
      <c r="Z1006" s="413">
        <f t="shared" ref="Z1006:AK1006" si="3057">Z1005</f>
        <v>0</v>
      </c>
      <c r="AA1006" s="413">
        <f t="shared" si="3057"/>
        <v>0</v>
      </c>
      <c r="AB1006" s="413">
        <f t="shared" si="3057"/>
        <v>0</v>
      </c>
      <c r="AC1006" s="413">
        <f t="shared" si="3057"/>
        <v>0</v>
      </c>
      <c r="AD1006" s="413">
        <f t="shared" si="3057"/>
        <v>0</v>
      </c>
      <c r="AE1006" s="413">
        <f t="shared" si="3057"/>
        <v>0</v>
      </c>
      <c r="AF1006" s="413">
        <f t="shared" si="3057"/>
        <v>0</v>
      </c>
      <c r="AG1006" s="413">
        <f t="shared" si="3057"/>
        <v>0</v>
      </c>
      <c r="AH1006" s="413">
        <f t="shared" si="3057"/>
        <v>0</v>
      </c>
      <c r="AI1006" s="413">
        <f t="shared" si="3057"/>
        <v>0</v>
      </c>
      <c r="AJ1006" s="413">
        <f t="shared" si="3057"/>
        <v>0</v>
      </c>
      <c r="AK1006" s="413">
        <f t="shared" si="3057"/>
        <v>0</v>
      </c>
      <c r="AL1006" s="413">
        <f>AL1005</f>
        <v>0</v>
      </c>
      <c r="AM1006" s="299"/>
    </row>
    <row r="1007" spans="1:40" s="285" customFormat="1" hidden="1" outlineLevel="1">
      <c r="A1007" s="532"/>
      <c r="B1007" s="326"/>
      <c r="C1007" s="293"/>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414"/>
      <c r="Z1007" s="414"/>
      <c r="AA1007" s="414"/>
      <c r="AB1007" s="414"/>
      <c r="AC1007" s="414"/>
      <c r="AD1007" s="414"/>
      <c r="AE1007" s="418"/>
      <c r="AF1007" s="418"/>
      <c r="AG1007" s="418"/>
      <c r="AH1007" s="418"/>
      <c r="AI1007" s="418"/>
      <c r="AJ1007" s="418"/>
      <c r="AK1007" s="418"/>
      <c r="AL1007" s="418"/>
      <c r="AM1007" s="315"/>
    </row>
    <row r="1008" spans="1:40" ht="15.75" hidden="1" outlineLevel="1">
      <c r="A1008" s="532"/>
      <c r="B1008" s="519" t="s">
        <v>498</v>
      </c>
      <c r="C1008" s="322"/>
      <c r="D1008" s="292"/>
      <c r="E1008" s="291"/>
      <c r="F1008" s="291"/>
      <c r="G1008" s="291"/>
      <c r="H1008" s="291"/>
      <c r="I1008" s="291"/>
      <c r="J1008" s="291"/>
      <c r="K1008" s="291"/>
      <c r="L1008" s="291"/>
      <c r="M1008" s="291"/>
      <c r="N1008" s="292"/>
      <c r="O1008" s="291"/>
      <c r="P1008" s="291"/>
      <c r="Q1008" s="291"/>
      <c r="R1008" s="291"/>
      <c r="S1008" s="291"/>
      <c r="T1008" s="291"/>
      <c r="U1008" s="291"/>
      <c r="V1008" s="291"/>
      <c r="W1008" s="291"/>
      <c r="X1008" s="291"/>
      <c r="Y1008" s="416"/>
      <c r="Z1008" s="416"/>
      <c r="AA1008" s="416"/>
      <c r="AB1008" s="416"/>
      <c r="AC1008" s="416"/>
      <c r="AD1008" s="416"/>
      <c r="AE1008" s="416"/>
      <c r="AF1008" s="416"/>
      <c r="AG1008" s="416"/>
      <c r="AH1008" s="416"/>
      <c r="AI1008" s="416"/>
      <c r="AJ1008" s="416"/>
      <c r="AK1008" s="416"/>
      <c r="AL1008" s="416"/>
      <c r="AM1008" s="294"/>
    </row>
    <row r="1009" spans="1:39" hidden="1" outlineLevel="1">
      <c r="A1009" s="532">
        <v>17</v>
      </c>
      <c r="B1009" s="430" t="s">
        <v>113</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2"/>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58">Z1009</f>
        <v>0</v>
      </c>
      <c r="AA1010" s="413">
        <f t="shared" si="3058"/>
        <v>0</v>
      </c>
      <c r="AB1010" s="413">
        <f t="shared" si="3058"/>
        <v>0</v>
      </c>
      <c r="AC1010" s="413">
        <f t="shared" si="3058"/>
        <v>0</v>
      </c>
      <c r="AD1010" s="413">
        <f t="shared" si="3058"/>
        <v>0</v>
      </c>
      <c r="AE1010" s="413">
        <f t="shared" si="3058"/>
        <v>0</v>
      </c>
      <c r="AF1010" s="413">
        <f t="shared" si="3058"/>
        <v>0</v>
      </c>
      <c r="AG1010" s="413">
        <f t="shared" si="3058"/>
        <v>0</v>
      </c>
      <c r="AH1010" s="413">
        <f t="shared" si="3058"/>
        <v>0</v>
      </c>
      <c r="AI1010" s="413">
        <f t="shared" si="3058"/>
        <v>0</v>
      </c>
      <c r="AJ1010" s="413">
        <f t="shared" si="3058"/>
        <v>0</v>
      </c>
      <c r="AK1010" s="413">
        <f t="shared" si="3058"/>
        <v>0</v>
      </c>
      <c r="AL1010" s="413">
        <f t="shared" si="3058"/>
        <v>0</v>
      </c>
      <c r="AM1010" s="308"/>
    </row>
    <row r="1011" spans="1:39" hidden="1" outlineLevel="1">
      <c r="A1011" s="532"/>
      <c r="B1011" s="296"/>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4"/>
      <c r="Z1011" s="427"/>
      <c r="AA1011" s="427"/>
      <c r="AB1011" s="427"/>
      <c r="AC1011" s="427"/>
      <c r="AD1011" s="427"/>
      <c r="AE1011" s="427"/>
      <c r="AF1011" s="427"/>
      <c r="AG1011" s="427"/>
      <c r="AH1011" s="427"/>
      <c r="AI1011" s="427"/>
      <c r="AJ1011" s="427"/>
      <c r="AK1011" s="427"/>
      <c r="AL1011" s="427"/>
      <c r="AM1011" s="308"/>
    </row>
    <row r="1012" spans="1:39" hidden="1" outlineLevel="1">
      <c r="A1012" s="532">
        <v>18</v>
      </c>
      <c r="B1012" s="430" t="s">
        <v>110</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2"/>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59">Z1012</f>
        <v>0</v>
      </c>
      <c r="AA1013" s="413">
        <f t="shared" si="3059"/>
        <v>0</v>
      </c>
      <c r="AB1013" s="413">
        <f t="shared" si="3059"/>
        <v>0</v>
      </c>
      <c r="AC1013" s="413">
        <f t="shared" si="3059"/>
        <v>0</v>
      </c>
      <c r="AD1013" s="413">
        <f t="shared" si="3059"/>
        <v>0</v>
      </c>
      <c r="AE1013" s="413">
        <f t="shared" si="3059"/>
        <v>0</v>
      </c>
      <c r="AF1013" s="413">
        <f t="shared" si="3059"/>
        <v>0</v>
      </c>
      <c r="AG1013" s="413">
        <f t="shared" si="3059"/>
        <v>0</v>
      </c>
      <c r="AH1013" s="413">
        <f t="shared" si="3059"/>
        <v>0</v>
      </c>
      <c r="AI1013" s="413">
        <f t="shared" si="3059"/>
        <v>0</v>
      </c>
      <c r="AJ1013" s="413">
        <f t="shared" si="3059"/>
        <v>0</v>
      </c>
      <c r="AK1013" s="413">
        <f t="shared" si="3059"/>
        <v>0</v>
      </c>
      <c r="AL1013" s="413">
        <f t="shared" si="3059"/>
        <v>0</v>
      </c>
      <c r="AM1013" s="308"/>
    </row>
    <row r="1014" spans="1:39" hidden="1" outlineLevel="1">
      <c r="A1014" s="532"/>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25"/>
      <c r="Z1014" s="426"/>
      <c r="AA1014" s="426"/>
      <c r="AB1014" s="426"/>
      <c r="AC1014" s="426"/>
      <c r="AD1014" s="426"/>
      <c r="AE1014" s="426"/>
      <c r="AF1014" s="426"/>
      <c r="AG1014" s="426"/>
      <c r="AH1014" s="426"/>
      <c r="AI1014" s="426"/>
      <c r="AJ1014" s="426"/>
      <c r="AK1014" s="426"/>
      <c r="AL1014" s="426"/>
      <c r="AM1014" s="299"/>
    </row>
    <row r="1015" spans="1:39" hidden="1" outlineLevel="1">
      <c r="A1015" s="532">
        <v>19</v>
      </c>
      <c r="B1015" s="430" t="s">
        <v>112</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2"/>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Y1015</f>
        <v>0</v>
      </c>
      <c r="Z1016" s="413">
        <f t="shared" ref="Z1016:AL1016" si="3060">Z1015</f>
        <v>0</v>
      </c>
      <c r="AA1016" s="413">
        <f t="shared" si="3060"/>
        <v>0</v>
      </c>
      <c r="AB1016" s="413">
        <f t="shared" si="3060"/>
        <v>0</v>
      </c>
      <c r="AC1016" s="413">
        <f t="shared" si="3060"/>
        <v>0</v>
      </c>
      <c r="AD1016" s="413">
        <f t="shared" si="3060"/>
        <v>0</v>
      </c>
      <c r="AE1016" s="413">
        <f t="shared" si="3060"/>
        <v>0</v>
      </c>
      <c r="AF1016" s="413">
        <f t="shared" si="3060"/>
        <v>0</v>
      </c>
      <c r="AG1016" s="413">
        <f t="shared" si="3060"/>
        <v>0</v>
      </c>
      <c r="AH1016" s="413">
        <f t="shared" si="3060"/>
        <v>0</v>
      </c>
      <c r="AI1016" s="413">
        <f t="shared" si="3060"/>
        <v>0</v>
      </c>
      <c r="AJ1016" s="413">
        <f t="shared" si="3060"/>
        <v>0</v>
      </c>
      <c r="AK1016" s="413">
        <f t="shared" si="3060"/>
        <v>0</v>
      </c>
      <c r="AL1016" s="413">
        <f t="shared" si="3060"/>
        <v>0</v>
      </c>
      <c r="AM1016" s="299"/>
    </row>
    <row r="1017" spans="1:39" hidden="1" outlineLevel="1">
      <c r="A1017" s="532"/>
      <c r="B1017" s="324"/>
      <c r="C1017" s="293"/>
      <c r="D1017" s="293"/>
      <c r="E1017" s="293"/>
      <c r="F1017" s="293"/>
      <c r="G1017" s="293"/>
      <c r="H1017" s="293"/>
      <c r="I1017" s="293"/>
      <c r="J1017" s="293"/>
      <c r="K1017" s="293"/>
      <c r="L1017" s="293"/>
      <c r="M1017" s="293"/>
      <c r="N1017" s="293"/>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idden="1" outlineLevel="1">
      <c r="A1018" s="532">
        <v>20</v>
      </c>
      <c r="B1018" s="430" t="s">
        <v>111</v>
      </c>
      <c r="C1018" s="293" t="s">
        <v>25</v>
      </c>
      <c r="D1018" s="297"/>
      <c r="E1018" s="297"/>
      <c r="F1018" s="297"/>
      <c r="G1018" s="297"/>
      <c r="H1018" s="297"/>
      <c r="I1018" s="297"/>
      <c r="J1018" s="297"/>
      <c r="K1018" s="297"/>
      <c r="L1018" s="297"/>
      <c r="M1018" s="297"/>
      <c r="N1018" s="297">
        <v>0</v>
      </c>
      <c r="O1018" s="297"/>
      <c r="P1018" s="297"/>
      <c r="Q1018" s="297"/>
      <c r="R1018" s="297"/>
      <c r="S1018" s="297"/>
      <c r="T1018" s="297"/>
      <c r="U1018" s="297"/>
      <c r="V1018" s="297"/>
      <c r="W1018" s="297"/>
      <c r="X1018" s="297"/>
      <c r="Y1018" s="428"/>
      <c r="Z1018" s="412"/>
      <c r="AA1018" s="412"/>
      <c r="AB1018" s="412"/>
      <c r="AC1018" s="412"/>
      <c r="AD1018" s="412"/>
      <c r="AE1018" s="412"/>
      <c r="AF1018" s="417"/>
      <c r="AG1018" s="417"/>
      <c r="AH1018" s="417"/>
      <c r="AI1018" s="417"/>
      <c r="AJ1018" s="417"/>
      <c r="AK1018" s="417"/>
      <c r="AL1018" s="417"/>
      <c r="AM1018" s="298">
        <f>SUM(Y1018:AL1018)</f>
        <v>0</v>
      </c>
    </row>
    <row r="1019" spans="1:39" hidden="1" outlineLevel="1">
      <c r="A1019" s="532"/>
      <c r="B1019" s="296" t="s">
        <v>343</v>
      </c>
      <c r="C1019" s="293" t="s">
        <v>164</v>
      </c>
      <c r="D1019" s="297"/>
      <c r="E1019" s="297"/>
      <c r="F1019" s="297"/>
      <c r="G1019" s="297"/>
      <c r="H1019" s="297"/>
      <c r="I1019" s="297"/>
      <c r="J1019" s="297"/>
      <c r="K1019" s="297"/>
      <c r="L1019" s="297"/>
      <c r="M1019" s="297"/>
      <c r="N1019" s="297">
        <f>N1018</f>
        <v>0</v>
      </c>
      <c r="O1019" s="297"/>
      <c r="P1019" s="297"/>
      <c r="Q1019" s="297"/>
      <c r="R1019" s="297"/>
      <c r="S1019" s="297"/>
      <c r="T1019" s="297"/>
      <c r="U1019" s="297"/>
      <c r="V1019" s="297"/>
      <c r="W1019" s="297"/>
      <c r="X1019" s="297"/>
      <c r="Y1019" s="413">
        <f t="shared" ref="Y1019:AL1019" si="3061">Y1018</f>
        <v>0</v>
      </c>
      <c r="Z1019" s="413">
        <f t="shared" si="3061"/>
        <v>0</v>
      </c>
      <c r="AA1019" s="413">
        <f t="shared" si="3061"/>
        <v>0</v>
      </c>
      <c r="AB1019" s="413">
        <f t="shared" si="3061"/>
        <v>0</v>
      </c>
      <c r="AC1019" s="413">
        <f t="shared" si="3061"/>
        <v>0</v>
      </c>
      <c r="AD1019" s="413">
        <f t="shared" si="3061"/>
        <v>0</v>
      </c>
      <c r="AE1019" s="413">
        <f t="shared" si="3061"/>
        <v>0</v>
      </c>
      <c r="AF1019" s="413">
        <f t="shared" si="3061"/>
        <v>0</v>
      </c>
      <c r="AG1019" s="413">
        <f t="shared" si="3061"/>
        <v>0</v>
      </c>
      <c r="AH1019" s="413">
        <f t="shared" si="3061"/>
        <v>0</v>
      </c>
      <c r="AI1019" s="413">
        <f t="shared" si="3061"/>
        <v>0</v>
      </c>
      <c r="AJ1019" s="413">
        <f t="shared" si="3061"/>
        <v>0</v>
      </c>
      <c r="AK1019" s="413">
        <f t="shared" si="3061"/>
        <v>0</v>
      </c>
      <c r="AL1019" s="413">
        <f t="shared" si="3061"/>
        <v>0</v>
      </c>
      <c r="AM1019" s="308"/>
    </row>
    <row r="1020" spans="1:39" ht="15.75" hidden="1" outlineLevel="1">
      <c r="A1020" s="532"/>
      <c r="B1020" s="325"/>
      <c r="C1020" s="302"/>
      <c r="D1020" s="293"/>
      <c r="E1020" s="293"/>
      <c r="F1020" s="293"/>
      <c r="G1020" s="293"/>
      <c r="H1020" s="293"/>
      <c r="I1020" s="293"/>
      <c r="J1020" s="293"/>
      <c r="K1020" s="293"/>
      <c r="L1020" s="293"/>
      <c r="M1020" s="293"/>
      <c r="N1020" s="302"/>
      <c r="O1020" s="293"/>
      <c r="P1020" s="293"/>
      <c r="Q1020" s="293"/>
      <c r="R1020" s="293"/>
      <c r="S1020" s="293"/>
      <c r="T1020" s="293"/>
      <c r="U1020" s="293"/>
      <c r="V1020" s="293"/>
      <c r="W1020" s="293"/>
      <c r="X1020" s="293"/>
      <c r="Y1020" s="414"/>
      <c r="Z1020" s="414"/>
      <c r="AA1020" s="414"/>
      <c r="AB1020" s="414"/>
      <c r="AC1020" s="414"/>
      <c r="AD1020" s="414"/>
      <c r="AE1020" s="414"/>
      <c r="AF1020" s="414"/>
      <c r="AG1020" s="414"/>
      <c r="AH1020" s="414"/>
      <c r="AI1020" s="414"/>
      <c r="AJ1020" s="414"/>
      <c r="AK1020" s="414"/>
      <c r="AL1020" s="414"/>
      <c r="AM1020" s="308"/>
    </row>
    <row r="1021" spans="1:39" ht="15.75" hidden="1" outlineLevel="1">
      <c r="A1021" s="532"/>
      <c r="B1021" s="518" t="s">
        <v>505</v>
      </c>
      <c r="C1021" s="293"/>
      <c r="D1021" s="293"/>
      <c r="E1021" s="293"/>
      <c r="F1021" s="293"/>
      <c r="G1021" s="293"/>
      <c r="H1021" s="293"/>
      <c r="I1021" s="293"/>
      <c r="J1021" s="293"/>
      <c r="K1021" s="293"/>
      <c r="L1021" s="293"/>
      <c r="M1021" s="293"/>
      <c r="N1021" s="293"/>
      <c r="O1021" s="293"/>
      <c r="P1021" s="293"/>
      <c r="Q1021" s="293"/>
      <c r="R1021" s="293"/>
      <c r="S1021" s="293"/>
      <c r="T1021" s="293"/>
      <c r="U1021" s="293"/>
      <c r="V1021" s="293"/>
      <c r="W1021" s="293"/>
      <c r="X1021" s="293"/>
      <c r="Y1021" s="424"/>
      <c r="Z1021" s="427"/>
      <c r="AA1021" s="427"/>
      <c r="AB1021" s="427"/>
      <c r="AC1021" s="427"/>
      <c r="AD1021" s="427"/>
      <c r="AE1021" s="427"/>
      <c r="AF1021" s="427"/>
      <c r="AG1021" s="427"/>
      <c r="AH1021" s="427"/>
      <c r="AI1021" s="427"/>
      <c r="AJ1021" s="427"/>
      <c r="AK1021" s="427"/>
      <c r="AL1021" s="427"/>
      <c r="AM1021" s="308"/>
    </row>
    <row r="1022" spans="1:39" ht="15.75" hidden="1" outlineLevel="1">
      <c r="A1022" s="532"/>
      <c r="B1022" s="504" t="s">
        <v>501</v>
      </c>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2">
        <v>21</v>
      </c>
      <c r="B1023" s="430" t="s">
        <v>114</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2"/>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2"/>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2">
        <v>22</v>
      </c>
      <c r="B1026" s="430" t="s">
        <v>115</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2"/>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2"/>
      <c r="B1028" s="296"/>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2">
        <v>23</v>
      </c>
      <c r="B1029" s="430" t="s">
        <v>116</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2"/>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2"/>
      <c r="B1031" s="432"/>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2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2">
        <v>24</v>
      </c>
      <c r="B1032" s="430" t="s">
        <v>117</v>
      </c>
      <c r="C1032" s="293" t="s">
        <v>25</v>
      </c>
      <c r="D1032" s="297"/>
      <c r="E1032" s="297"/>
      <c r="F1032" s="297"/>
      <c r="G1032" s="297"/>
      <c r="H1032" s="297"/>
      <c r="I1032" s="297"/>
      <c r="J1032" s="297"/>
      <c r="K1032" s="297"/>
      <c r="L1032" s="297"/>
      <c r="M1032" s="297"/>
      <c r="N1032" s="293"/>
      <c r="O1032" s="297"/>
      <c r="P1032" s="297"/>
      <c r="Q1032" s="297"/>
      <c r="R1032" s="297"/>
      <c r="S1032" s="297"/>
      <c r="T1032" s="297"/>
      <c r="U1032" s="297"/>
      <c r="V1032" s="297"/>
      <c r="W1032" s="297"/>
      <c r="X1032" s="297"/>
      <c r="Y1032" s="412"/>
      <c r="Z1032" s="412"/>
      <c r="AA1032" s="412"/>
      <c r="AB1032" s="412"/>
      <c r="AC1032" s="412"/>
      <c r="AD1032" s="412"/>
      <c r="AE1032" s="412"/>
      <c r="AF1032" s="412"/>
      <c r="AG1032" s="412"/>
      <c r="AH1032" s="412"/>
      <c r="AI1032" s="412"/>
      <c r="AJ1032" s="412"/>
      <c r="AK1032" s="412"/>
      <c r="AL1032" s="412"/>
      <c r="AM1032" s="298">
        <f>SUM(Y1032:AL1032)</f>
        <v>0</v>
      </c>
    </row>
    <row r="1033" spans="1:39" ht="15" hidden="1" customHeight="1" outlineLevel="1">
      <c r="A1033" s="532"/>
      <c r="B1033" s="296" t="s">
        <v>347</v>
      </c>
      <c r="C1033" s="293" t="s">
        <v>164</v>
      </c>
      <c r="D1033" s="297"/>
      <c r="E1033" s="297"/>
      <c r="F1033" s="297"/>
      <c r="G1033" s="297"/>
      <c r="H1033" s="297"/>
      <c r="I1033" s="297"/>
      <c r="J1033" s="297"/>
      <c r="K1033" s="297"/>
      <c r="L1033" s="297"/>
      <c r="M1033" s="297"/>
      <c r="N1033" s="293"/>
      <c r="O1033" s="297"/>
      <c r="P1033" s="297"/>
      <c r="Q1033" s="297"/>
      <c r="R1033" s="297"/>
      <c r="S1033" s="297"/>
      <c r="T1033" s="297"/>
      <c r="U1033" s="297"/>
      <c r="V1033" s="297"/>
      <c r="W1033" s="297"/>
      <c r="X1033" s="297"/>
      <c r="Y1033" s="413">
        <f>Y1032</f>
        <v>0</v>
      </c>
      <c r="Z1033" s="413">
        <f t="shared" ref="Z1033" si="3101">Z1032</f>
        <v>0</v>
      </c>
      <c r="AA1033" s="413">
        <f t="shared" ref="AA1033" si="3102">AA1032</f>
        <v>0</v>
      </c>
      <c r="AB1033" s="413">
        <f t="shared" ref="AB1033" si="3103">AB1032</f>
        <v>0</v>
      </c>
      <c r="AC1033" s="413">
        <f t="shared" ref="AC1033" si="3104">AC1032</f>
        <v>0</v>
      </c>
      <c r="AD1033" s="413">
        <f t="shared" ref="AD1033" si="3105">AD1032</f>
        <v>0</v>
      </c>
      <c r="AE1033" s="413">
        <f t="shared" ref="AE1033" si="3106">AE1032</f>
        <v>0</v>
      </c>
      <c r="AF1033" s="413">
        <f t="shared" ref="AF1033" si="3107">AF1032</f>
        <v>0</v>
      </c>
      <c r="AG1033" s="413">
        <f t="shared" ref="AG1033" si="3108">AG1032</f>
        <v>0</v>
      </c>
      <c r="AH1033" s="413">
        <f t="shared" ref="AH1033" si="3109">AH1032</f>
        <v>0</v>
      </c>
      <c r="AI1033" s="413">
        <f t="shared" ref="AI1033" si="3110">AI1032</f>
        <v>0</v>
      </c>
      <c r="AJ1033" s="413">
        <f t="shared" ref="AJ1033" si="3111">AJ1032</f>
        <v>0</v>
      </c>
      <c r="AK1033" s="413">
        <f t="shared" ref="AK1033" si="3112">AK1032</f>
        <v>0</v>
      </c>
      <c r="AL1033" s="413">
        <f t="shared" ref="AL1033" si="3113">AL1032</f>
        <v>0</v>
      </c>
      <c r="AM1033" s="308"/>
    </row>
    <row r="1034" spans="1:39" ht="15" hidden="1" customHeight="1" outlineLevel="1">
      <c r="A1034" s="532"/>
      <c r="B1034" s="296"/>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414"/>
      <c r="Z1034" s="427"/>
      <c r="AA1034" s="427"/>
      <c r="AB1034" s="427"/>
      <c r="AC1034" s="427"/>
      <c r="AD1034" s="427"/>
      <c r="AE1034" s="427"/>
      <c r="AF1034" s="427"/>
      <c r="AG1034" s="427"/>
      <c r="AH1034" s="427"/>
      <c r="AI1034" s="427"/>
      <c r="AJ1034" s="427"/>
      <c r="AK1034" s="427"/>
      <c r="AL1034" s="427"/>
      <c r="AM1034" s="308"/>
    </row>
    <row r="1035" spans="1:39" ht="15" hidden="1" customHeight="1" outlineLevel="1">
      <c r="A1035" s="532"/>
      <c r="B1035" s="290" t="s">
        <v>502</v>
      </c>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2">
        <v>25</v>
      </c>
      <c r="B1036" s="430" t="s">
        <v>118</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2"/>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2"/>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2">
        <v>26</v>
      </c>
      <c r="B1039" s="430" t="s">
        <v>119</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2"/>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2"/>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2">
        <v>27</v>
      </c>
      <c r="B1042" s="430" t="s">
        <v>120</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2"/>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 t="shared" ref="Z1043" si="3140">Z1042</f>
        <v>0</v>
      </c>
      <c r="AA1043" s="413">
        <f t="shared" ref="AA1043" si="3141">AA1042</f>
        <v>0</v>
      </c>
      <c r="AB1043" s="413">
        <f t="shared" ref="AB1043" si="3142">AB1042</f>
        <v>0</v>
      </c>
      <c r="AC1043" s="413">
        <f t="shared" ref="AC1043" si="3143">AC1042</f>
        <v>0</v>
      </c>
      <c r="AD1043" s="413">
        <f t="shared" ref="AD1043" si="3144">AD1042</f>
        <v>0</v>
      </c>
      <c r="AE1043" s="413">
        <f t="shared" ref="AE1043" si="3145">AE1042</f>
        <v>0</v>
      </c>
      <c r="AF1043" s="413">
        <f t="shared" ref="AF1043" si="3146">AF1042</f>
        <v>0</v>
      </c>
      <c r="AG1043" s="413">
        <f t="shared" ref="AG1043" si="3147">AG1042</f>
        <v>0</v>
      </c>
      <c r="AH1043" s="413">
        <f t="shared" ref="AH1043" si="3148">AH1042</f>
        <v>0</v>
      </c>
      <c r="AI1043" s="413">
        <f t="shared" ref="AI1043" si="3149">AI1042</f>
        <v>0</v>
      </c>
      <c r="AJ1043" s="413">
        <f t="shared" ref="AJ1043" si="3150">AJ1042</f>
        <v>0</v>
      </c>
      <c r="AK1043" s="413">
        <f t="shared" ref="AK1043" si="3151">AK1042</f>
        <v>0</v>
      </c>
      <c r="AL1043" s="413">
        <f t="shared" ref="AL1043" si="3152">AL1042</f>
        <v>0</v>
      </c>
      <c r="AM1043" s="308"/>
    </row>
    <row r="1044" spans="1:39" ht="15" hidden="1" customHeight="1" outlineLevel="1">
      <c r="A1044" s="532"/>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2">
        <v>28</v>
      </c>
      <c r="B1045" s="430" t="s">
        <v>121</v>
      </c>
      <c r="C1045" s="293" t="s">
        <v>25</v>
      </c>
      <c r="D1045" s="297"/>
      <c r="E1045" s="297"/>
      <c r="F1045" s="297"/>
      <c r="G1045" s="297"/>
      <c r="H1045" s="297"/>
      <c r="I1045" s="297"/>
      <c r="J1045" s="297"/>
      <c r="K1045" s="297"/>
      <c r="L1045" s="297"/>
      <c r="M1045" s="297"/>
      <c r="N1045" s="297">
        <v>12</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2"/>
      <c r="B1046" s="296" t="s">
        <v>347</v>
      </c>
      <c r="C1046" s="293" t="s">
        <v>164</v>
      </c>
      <c r="D1046" s="297"/>
      <c r="E1046" s="297"/>
      <c r="F1046" s="297"/>
      <c r="G1046" s="297"/>
      <c r="H1046" s="297"/>
      <c r="I1046" s="297"/>
      <c r="J1046" s="297"/>
      <c r="K1046" s="297"/>
      <c r="L1046" s="297"/>
      <c r="M1046" s="297"/>
      <c r="N1046" s="297">
        <f>N1045</f>
        <v>12</v>
      </c>
      <c r="O1046" s="297"/>
      <c r="P1046" s="297"/>
      <c r="Q1046" s="297"/>
      <c r="R1046" s="297"/>
      <c r="S1046" s="297"/>
      <c r="T1046" s="297"/>
      <c r="U1046" s="297"/>
      <c r="V1046" s="297"/>
      <c r="W1046" s="297"/>
      <c r="X1046" s="297"/>
      <c r="Y1046" s="413">
        <f>Y1045</f>
        <v>0</v>
      </c>
      <c r="Z1046" s="413">
        <f>Z1045</f>
        <v>0</v>
      </c>
      <c r="AA1046" s="413">
        <f t="shared" ref="AA1046" si="3153">AA1045</f>
        <v>0</v>
      </c>
      <c r="AB1046" s="413">
        <f t="shared" ref="AB1046" si="3154">AB1045</f>
        <v>0</v>
      </c>
      <c r="AC1046" s="413">
        <f t="shared" ref="AC1046" si="3155">AC1045</f>
        <v>0</v>
      </c>
      <c r="AD1046" s="413">
        <f t="shared" ref="AD1046" si="3156">AD1045</f>
        <v>0</v>
      </c>
      <c r="AE1046" s="413">
        <f>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2"/>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2">
        <v>29</v>
      </c>
      <c r="B1048" s="430" t="s">
        <v>122</v>
      </c>
      <c r="C1048" s="293" t="s">
        <v>25</v>
      </c>
      <c r="D1048" s="297"/>
      <c r="E1048" s="297"/>
      <c r="F1048" s="297"/>
      <c r="G1048" s="297"/>
      <c r="H1048" s="297"/>
      <c r="I1048" s="297"/>
      <c r="J1048" s="297"/>
      <c r="K1048" s="297"/>
      <c r="L1048" s="297"/>
      <c r="M1048" s="297"/>
      <c r="N1048" s="297">
        <v>3</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2"/>
      <c r="B1049" s="296" t="s">
        <v>347</v>
      </c>
      <c r="C1049" s="293" t="s">
        <v>164</v>
      </c>
      <c r="D1049" s="297"/>
      <c r="E1049" s="297"/>
      <c r="F1049" s="297"/>
      <c r="G1049" s="297"/>
      <c r="H1049" s="297"/>
      <c r="I1049" s="297"/>
      <c r="J1049" s="297"/>
      <c r="K1049" s="297"/>
      <c r="L1049" s="297"/>
      <c r="M1049" s="297"/>
      <c r="N1049" s="297">
        <f>N1048</f>
        <v>3</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2"/>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2">
        <v>30</v>
      </c>
      <c r="B1051" s="430" t="s">
        <v>123</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2"/>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2"/>
      <c r="B1053" s="296"/>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2">
        <v>31</v>
      </c>
      <c r="B1054" s="430" t="s">
        <v>124</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2"/>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2"/>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2">
        <v>32</v>
      </c>
      <c r="B1057" s="430" t="s">
        <v>125</v>
      </c>
      <c r="C1057" s="293" t="s">
        <v>25</v>
      </c>
      <c r="D1057" s="297"/>
      <c r="E1057" s="297"/>
      <c r="F1057" s="297"/>
      <c r="G1057" s="297"/>
      <c r="H1057" s="297"/>
      <c r="I1057" s="297"/>
      <c r="J1057" s="297"/>
      <c r="K1057" s="297"/>
      <c r="L1057" s="297"/>
      <c r="M1057" s="297"/>
      <c r="N1057" s="297">
        <v>12</v>
      </c>
      <c r="O1057" s="297"/>
      <c r="P1057" s="297"/>
      <c r="Q1057" s="297"/>
      <c r="R1057" s="297"/>
      <c r="S1057" s="297"/>
      <c r="T1057" s="297"/>
      <c r="U1057" s="297"/>
      <c r="V1057" s="297"/>
      <c r="W1057" s="297"/>
      <c r="X1057" s="297"/>
      <c r="Y1057" s="428"/>
      <c r="Z1057" s="417"/>
      <c r="AA1057" s="417"/>
      <c r="AB1057" s="417"/>
      <c r="AC1057" s="417"/>
      <c r="AD1057" s="417"/>
      <c r="AE1057" s="417"/>
      <c r="AF1057" s="417"/>
      <c r="AG1057" s="417"/>
      <c r="AH1057" s="417"/>
      <c r="AI1057" s="417"/>
      <c r="AJ1057" s="417"/>
      <c r="AK1057" s="417"/>
      <c r="AL1057" s="417"/>
      <c r="AM1057" s="298">
        <f>SUM(Y1057:AL1057)</f>
        <v>0</v>
      </c>
    </row>
    <row r="1058" spans="1:39" ht="15" hidden="1" customHeight="1" outlineLevel="1">
      <c r="A1058" s="532"/>
      <c r="B1058" s="296" t="s">
        <v>347</v>
      </c>
      <c r="C1058" s="293" t="s">
        <v>164</v>
      </c>
      <c r="D1058" s="297"/>
      <c r="E1058" s="297"/>
      <c r="F1058" s="297"/>
      <c r="G1058" s="297"/>
      <c r="H1058" s="297"/>
      <c r="I1058" s="297"/>
      <c r="J1058" s="297"/>
      <c r="K1058" s="297"/>
      <c r="L1058" s="297"/>
      <c r="M1058" s="297"/>
      <c r="N1058" s="297">
        <f>N1057</f>
        <v>12</v>
      </c>
      <c r="O1058" s="297"/>
      <c r="P1058" s="297"/>
      <c r="Q1058" s="297"/>
      <c r="R1058" s="297"/>
      <c r="S1058" s="297"/>
      <c r="T1058" s="297"/>
      <c r="U1058" s="297"/>
      <c r="V1058" s="297"/>
      <c r="W1058" s="297"/>
      <c r="X1058" s="297"/>
      <c r="Y1058" s="413">
        <f>Y1057</f>
        <v>0</v>
      </c>
      <c r="Z1058" s="413">
        <f t="shared" ref="Z1058" si="3203">Z1057</f>
        <v>0</v>
      </c>
      <c r="AA1058" s="413">
        <f t="shared" ref="AA1058" si="3204">AA1057</f>
        <v>0</v>
      </c>
      <c r="AB1058" s="413">
        <f t="shared" ref="AB1058" si="3205">AB1057</f>
        <v>0</v>
      </c>
      <c r="AC1058" s="413">
        <f t="shared" ref="AC1058" si="3206">AC1057</f>
        <v>0</v>
      </c>
      <c r="AD1058" s="413">
        <f t="shared" ref="AD1058" si="3207">AD1057</f>
        <v>0</v>
      </c>
      <c r="AE1058" s="413">
        <f t="shared" ref="AE1058" si="3208">AE1057</f>
        <v>0</v>
      </c>
      <c r="AF1058" s="413">
        <f t="shared" ref="AF1058" si="3209">AF1057</f>
        <v>0</v>
      </c>
      <c r="AG1058" s="413">
        <f t="shared" ref="AG1058" si="3210">AG1057</f>
        <v>0</v>
      </c>
      <c r="AH1058" s="413">
        <f t="shared" ref="AH1058" si="3211">AH1057</f>
        <v>0</v>
      </c>
      <c r="AI1058" s="413">
        <f t="shared" ref="AI1058" si="3212">AI1057</f>
        <v>0</v>
      </c>
      <c r="AJ1058" s="413">
        <f t="shared" ref="AJ1058" si="3213">AJ1057</f>
        <v>0</v>
      </c>
      <c r="AK1058" s="413">
        <f t="shared" ref="AK1058" si="3214">AK1057</f>
        <v>0</v>
      </c>
      <c r="AL1058" s="413">
        <f t="shared" ref="AL1058" si="3215">AL1057</f>
        <v>0</v>
      </c>
      <c r="AM1058" s="308"/>
    </row>
    <row r="1059" spans="1:39" ht="15" hidden="1" customHeight="1" outlineLevel="1">
      <c r="A1059" s="532"/>
      <c r="B1059" s="430"/>
      <c r="C1059" s="293"/>
      <c r="D1059" s="293"/>
      <c r="E1059" s="293"/>
      <c r="F1059" s="293"/>
      <c r="G1059" s="293"/>
      <c r="H1059" s="293"/>
      <c r="I1059" s="293"/>
      <c r="J1059" s="293"/>
      <c r="K1059" s="293"/>
      <c r="L1059" s="293"/>
      <c r="M1059" s="293"/>
      <c r="N1059" s="293"/>
      <c r="O1059" s="293"/>
      <c r="P1059" s="293"/>
      <c r="Q1059" s="293"/>
      <c r="R1059" s="293"/>
      <c r="S1059" s="293"/>
      <c r="T1059" s="293"/>
      <c r="U1059" s="293"/>
      <c r="V1059" s="293"/>
      <c r="W1059" s="293"/>
      <c r="X1059" s="293"/>
      <c r="Y1059" s="414"/>
      <c r="Z1059" s="427"/>
      <c r="AA1059" s="427"/>
      <c r="AB1059" s="427"/>
      <c r="AC1059" s="427"/>
      <c r="AD1059" s="427"/>
      <c r="AE1059" s="427"/>
      <c r="AF1059" s="427"/>
      <c r="AG1059" s="427"/>
      <c r="AH1059" s="427"/>
      <c r="AI1059" s="427"/>
      <c r="AJ1059" s="427"/>
      <c r="AK1059" s="427"/>
      <c r="AL1059" s="427"/>
      <c r="AM1059" s="308"/>
    </row>
    <row r="1060" spans="1:39" ht="15" hidden="1" customHeight="1" outlineLevel="1">
      <c r="A1060" s="532"/>
      <c r="B1060" s="290" t="s">
        <v>503</v>
      </c>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2">
        <v>33</v>
      </c>
      <c r="B1061" s="430" t="s">
        <v>126</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2"/>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2"/>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2">
        <v>34</v>
      </c>
      <c r="B1064" s="430" t="s">
        <v>127</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2"/>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2"/>
      <c r="B1066" s="430"/>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2">
        <v>35</v>
      </c>
      <c r="B1067" s="430" t="s">
        <v>128</v>
      </c>
      <c r="C1067" s="293" t="s">
        <v>25</v>
      </c>
      <c r="D1067" s="297"/>
      <c r="E1067" s="297"/>
      <c r="F1067" s="297"/>
      <c r="G1067" s="297"/>
      <c r="H1067" s="297"/>
      <c r="I1067" s="297"/>
      <c r="J1067" s="297"/>
      <c r="K1067" s="297"/>
      <c r="L1067" s="297"/>
      <c r="M1067" s="297"/>
      <c r="N1067" s="297">
        <v>0</v>
      </c>
      <c r="O1067" s="297"/>
      <c r="P1067" s="297"/>
      <c r="Q1067" s="297"/>
      <c r="R1067" s="297"/>
      <c r="S1067" s="297"/>
      <c r="T1067" s="297"/>
      <c r="U1067" s="297"/>
      <c r="V1067" s="297"/>
      <c r="W1067" s="297"/>
      <c r="X1067" s="297"/>
      <c r="Y1067" s="428"/>
      <c r="Z1067" s="417"/>
      <c r="AA1067" s="417"/>
      <c r="AB1067" s="417"/>
      <c r="AC1067" s="417"/>
      <c r="AD1067" s="417"/>
      <c r="AE1067" s="417"/>
      <c r="AF1067" s="417"/>
      <c r="AG1067" s="417"/>
      <c r="AH1067" s="417"/>
      <c r="AI1067" s="417"/>
      <c r="AJ1067" s="417"/>
      <c r="AK1067" s="417"/>
      <c r="AL1067" s="417"/>
      <c r="AM1067" s="298">
        <f>SUM(Y1067:AL1067)</f>
        <v>0</v>
      </c>
    </row>
    <row r="1068" spans="1:39" ht="15" hidden="1" customHeight="1" outlineLevel="1">
      <c r="A1068" s="532"/>
      <c r="B1068" s="296" t="s">
        <v>347</v>
      </c>
      <c r="C1068" s="293" t="s">
        <v>164</v>
      </c>
      <c r="D1068" s="297"/>
      <c r="E1068" s="297"/>
      <c r="F1068" s="297"/>
      <c r="G1068" s="297"/>
      <c r="H1068" s="297"/>
      <c r="I1068" s="297"/>
      <c r="J1068" s="297"/>
      <c r="K1068" s="297"/>
      <c r="L1068" s="297"/>
      <c r="M1068" s="297"/>
      <c r="N1068" s="297">
        <f>N1067</f>
        <v>0</v>
      </c>
      <c r="O1068" s="297"/>
      <c r="P1068" s="297"/>
      <c r="Q1068" s="297"/>
      <c r="R1068" s="297"/>
      <c r="S1068" s="297"/>
      <c r="T1068" s="297"/>
      <c r="U1068" s="297"/>
      <c r="V1068" s="297"/>
      <c r="W1068" s="297"/>
      <c r="X1068" s="297"/>
      <c r="Y1068" s="413">
        <f>Y1067</f>
        <v>0</v>
      </c>
      <c r="Z1068" s="413">
        <f t="shared" ref="Z1068" si="3242">Z1067</f>
        <v>0</v>
      </c>
      <c r="AA1068" s="413">
        <f t="shared" ref="AA1068" si="3243">AA1067</f>
        <v>0</v>
      </c>
      <c r="AB1068" s="413">
        <f t="shared" ref="AB1068" si="3244">AB1067</f>
        <v>0</v>
      </c>
      <c r="AC1068" s="413">
        <f t="shared" ref="AC1068" si="3245">AC1067</f>
        <v>0</v>
      </c>
      <c r="AD1068" s="413">
        <f t="shared" ref="AD1068" si="3246">AD1067</f>
        <v>0</v>
      </c>
      <c r="AE1068" s="413">
        <f t="shared" ref="AE1068" si="3247">AE1067</f>
        <v>0</v>
      </c>
      <c r="AF1068" s="413">
        <f t="shared" ref="AF1068" si="3248">AF1067</f>
        <v>0</v>
      </c>
      <c r="AG1068" s="413">
        <f t="shared" ref="AG1068" si="3249">AG1067</f>
        <v>0</v>
      </c>
      <c r="AH1068" s="413">
        <f t="shared" ref="AH1068" si="3250">AH1067</f>
        <v>0</v>
      </c>
      <c r="AI1068" s="413">
        <f t="shared" ref="AI1068" si="3251">AI1067</f>
        <v>0</v>
      </c>
      <c r="AJ1068" s="413">
        <f t="shared" ref="AJ1068" si="3252">AJ1067</f>
        <v>0</v>
      </c>
      <c r="AK1068" s="413">
        <f t="shared" ref="AK1068" si="3253">AK1067</f>
        <v>0</v>
      </c>
      <c r="AL1068" s="413">
        <f t="shared" ref="AL1068" si="3254">AL1067</f>
        <v>0</v>
      </c>
      <c r="AM1068" s="308"/>
    </row>
    <row r="1069" spans="1:39" ht="15" hidden="1" customHeight="1" outlineLevel="1">
      <c r="A1069" s="532"/>
      <c r="B1069" s="433"/>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414"/>
      <c r="Z1069" s="427"/>
      <c r="AA1069" s="427"/>
      <c r="AB1069" s="427"/>
      <c r="AC1069" s="427"/>
      <c r="AD1069" s="427"/>
      <c r="AE1069" s="427"/>
      <c r="AF1069" s="427"/>
      <c r="AG1069" s="427"/>
      <c r="AH1069" s="427"/>
      <c r="AI1069" s="427"/>
      <c r="AJ1069" s="427"/>
      <c r="AK1069" s="427"/>
      <c r="AL1069" s="427"/>
      <c r="AM1069" s="308"/>
    </row>
    <row r="1070" spans="1:39" ht="15" hidden="1" customHeight="1" outlineLevel="1">
      <c r="A1070" s="532"/>
      <c r="B1070" s="290" t="s">
        <v>504</v>
      </c>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28.5" hidden="1" customHeight="1" outlineLevel="1">
      <c r="A1071" s="532">
        <v>36</v>
      </c>
      <c r="B1071" s="430" t="s">
        <v>129</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2"/>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2"/>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2">
        <v>37</v>
      </c>
      <c r="B1074" s="430" t="s">
        <v>130</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2"/>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2"/>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2">
        <v>38</v>
      </c>
      <c r="B1077" s="430" t="s">
        <v>131</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2"/>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2"/>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2">
        <v>39</v>
      </c>
      <c r="B1080" s="430" t="s">
        <v>132</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2"/>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2"/>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15" hidden="1" customHeight="1" outlineLevel="1">
      <c r="A1083" s="532">
        <v>40</v>
      </c>
      <c r="B1083" s="430" t="s">
        <v>133</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2"/>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2"/>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2">
        <v>41</v>
      </c>
      <c r="B1086" s="430" t="s">
        <v>134</v>
      </c>
      <c r="C1086" s="293" t="s">
        <v>25</v>
      </c>
      <c r="D1086" s="297"/>
      <c r="E1086" s="297"/>
      <c r="F1086" s="297"/>
      <c r="G1086" s="297"/>
      <c r="H1086" s="297"/>
      <c r="I1086" s="297"/>
      <c r="J1086" s="297"/>
      <c r="K1086" s="297"/>
      <c r="L1086" s="297"/>
      <c r="M1086" s="297"/>
      <c r="N1086" s="297">
        <v>0</v>
      </c>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2"/>
      <c r="B1087" s="296" t="s">
        <v>347</v>
      </c>
      <c r="C1087" s="293" t="s">
        <v>164</v>
      </c>
      <c r="D1087" s="297"/>
      <c r="E1087" s="297"/>
      <c r="F1087" s="297"/>
      <c r="G1087" s="297"/>
      <c r="H1087" s="297"/>
      <c r="I1087" s="297"/>
      <c r="J1087" s="297"/>
      <c r="K1087" s="297"/>
      <c r="L1087" s="297"/>
      <c r="M1087" s="297"/>
      <c r="N1087" s="297">
        <f>N1086</f>
        <v>0</v>
      </c>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2"/>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28.5" hidden="1" customHeight="1" outlineLevel="1">
      <c r="A1089" s="532">
        <v>42</v>
      </c>
      <c r="B1089" s="430" t="s">
        <v>135</v>
      </c>
      <c r="C1089" s="293" t="s">
        <v>25</v>
      </c>
      <c r="D1089" s="297"/>
      <c r="E1089" s="297"/>
      <c r="F1089" s="297"/>
      <c r="G1089" s="297"/>
      <c r="H1089" s="297"/>
      <c r="I1089" s="297"/>
      <c r="J1089" s="297"/>
      <c r="K1089" s="297"/>
      <c r="L1089" s="297"/>
      <c r="M1089" s="297"/>
      <c r="N1089" s="293"/>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2"/>
      <c r="B1090" s="296" t="s">
        <v>347</v>
      </c>
      <c r="C1090" s="293" t="s">
        <v>164</v>
      </c>
      <c r="D1090" s="297"/>
      <c r="E1090" s="297"/>
      <c r="F1090" s="297"/>
      <c r="G1090" s="297"/>
      <c r="H1090" s="297"/>
      <c r="I1090" s="297"/>
      <c r="J1090" s="297"/>
      <c r="K1090" s="297"/>
      <c r="L1090" s="297"/>
      <c r="M1090" s="297"/>
      <c r="N1090" s="469"/>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2"/>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15" hidden="1" customHeight="1" outlineLevel="1">
      <c r="A1092" s="532">
        <v>43</v>
      </c>
      <c r="B1092" s="430" t="s">
        <v>136</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2"/>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2"/>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28.5" hidden="1" customHeight="1" outlineLevel="1">
      <c r="A1095" s="532">
        <v>44</v>
      </c>
      <c r="B1095" s="430" t="s">
        <v>137</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2"/>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2"/>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2">
        <v>45</v>
      </c>
      <c r="B1098" s="430" t="s">
        <v>138</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c r="AJ1098" s="417"/>
      <c r="AK1098" s="417"/>
      <c r="AL1098" s="417"/>
      <c r="AM1098" s="298">
        <f>SUM(Y1098:AL1098)</f>
        <v>0</v>
      </c>
    </row>
    <row r="1099" spans="1:39" ht="15" hidden="1" customHeight="1" outlineLevel="1">
      <c r="A1099" s="532"/>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v>
      </c>
      <c r="AJ1099" s="413">
        <f t="shared" ref="AJ1099" si="3382">AJ1098</f>
        <v>0</v>
      </c>
      <c r="AK1099" s="413">
        <f t="shared" ref="AK1099" si="3383">AK1098</f>
        <v>0</v>
      </c>
      <c r="AL1099" s="413">
        <f t="shared" ref="AL1099" si="3384">AL1098</f>
        <v>0</v>
      </c>
      <c r="AM1099" s="308"/>
    </row>
    <row r="1100" spans="1:39" ht="15" hidden="1" customHeight="1" outlineLevel="1">
      <c r="A1100" s="532"/>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15" hidden="1" customHeight="1" outlineLevel="1">
      <c r="A1101" s="532">
        <v>46</v>
      </c>
      <c r="B1101" s="430" t="s">
        <v>139</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v>0.1</v>
      </c>
      <c r="AJ1101" s="417"/>
      <c r="AK1101" s="417"/>
      <c r="AL1101" s="417"/>
      <c r="AM1101" s="298">
        <f>SUM(Y1101:AL1101)</f>
        <v>0.1</v>
      </c>
    </row>
    <row r="1102" spans="1:39" ht="15" hidden="1" customHeight="1" outlineLevel="1">
      <c r="A1102" s="532"/>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0.1</v>
      </c>
      <c r="AJ1102" s="413">
        <f t="shared" ref="AJ1102" si="3395">AJ1101</f>
        <v>0</v>
      </c>
      <c r="AK1102" s="413">
        <f t="shared" ref="AK1102" si="3396">AK1101</f>
        <v>0</v>
      </c>
      <c r="AL1102" s="413">
        <f t="shared" ref="AL1102" si="3397">AL1101</f>
        <v>0</v>
      </c>
      <c r="AM1102" s="308"/>
    </row>
    <row r="1103" spans="1:39" ht="15" hidden="1" customHeight="1" outlineLevel="1">
      <c r="A1103" s="532"/>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2">
        <v>47</v>
      </c>
      <c r="B1104" s="430" t="s">
        <v>140</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2"/>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2"/>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28.5" hidden="1" customHeight="1" outlineLevel="1">
      <c r="A1107" s="532">
        <v>48</v>
      </c>
      <c r="B1107" s="430" t="s">
        <v>141</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2"/>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2"/>
      <c r="B1109" s="430"/>
      <c r="C1109" s="293"/>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414"/>
      <c r="Z1109" s="427"/>
      <c r="AA1109" s="427"/>
      <c r="AB1109" s="427"/>
      <c r="AC1109" s="427"/>
      <c r="AD1109" s="427"/>
      <c r="AE1109" s="427"/>
      <c r="AF1109" s="427"/>
      <c r="AG1109" s="427"/>
      <c r="AH1109" s="427"/>
      <c r="AI1109" s="427"/>
      <c r="AJ1109" s="427"/>
      <c r="AK1109" s="427"/>
      <c r="AL1109" s="427"/>
      <c r="AM1109" s="308"/>
    </row>
    <row r="1110" spans="1:39" ht="15" hidden="1" customHeight="1" outlineLevel="1">
      <c r="A1110" s="532">
        <v>49</v>
      </c>
      <c r="B1110" s="430" t="s">
        <v>142</v>
      </c>
      <c r="C1110" s="293" t="s">
        <v>25</v>
      </c>
      <c r="D1110" s="297"/>
      <c r="E1110" s="297"/>
      <c r="F1110" s="297"/>
      <c r="G1110" s="297"/>
      <c r="H1110" s="297"/>
      <c r="I1110" s="297"/>
      <c r="J1110" s="297"/>
      <c r="K1110" s="297"/>
      <c r="L1110" s="297"/>
      <c r="M1110" s="297"/>
      <c r="N1110" s="297">
        <v>0</v>
      </c>
      <c r="O1110" s="297"/>
      <c r="P1110" s="297"/>
      <c r="Q1110" s="297"/>
      <c r="R1110" s="297"/>
      <c r="S1110" s="297"/>
      <c r="T1110" s="297"/>
      <c r="U1110" s="297"/>
      <c r="V1110" s="297"/>
      <c r="W1110" s="297"/>
      <c r="X1110" s="297"/>
      <c r="Y1110" s="428"/>
      <c r="Z1110" s="417"/>
      <c r="AA1110" s="417"/>
      <c r="AB1110" s="417"/>
      <c r="AC1110" s="417"/>
      <c r="AD1110" s="417"/>
      <c r="AE1110" s="417"/>
      <c r="AF1110" s="417"/>
      <c r="AG1110" s="417"/>
      <c r="AH1110" s="417"/>
      <c r="AI1110" s="417"/>
      <c r="AJ1110" s="417"/>
      <c r="AK1110" s="417"/>
      <c r="AL1110" s="417"/>
      <c r="AM1110" s="298">
        <f>SUM(Y1110:AL1110)</f>
        <v>0</v>
      </c>
    </row>
    <row r="1111" spans="1:39" ht="15" hidden="1" customHeight="1" outlineLevel="1">
      <c r="A1111" s="532"/>
      <c r="B1111" s="296" t="s">
        <v>347</v>
      </c>
      <c r="C1111" s="293" t="s">
        <v>164</v>
      </c>
      <c r="D1111" s="297"/>
      <c r="E1111" s="297"/>
      <c r="F1111" s="297"/>
      <c r="G1111" s="297"/>
      <c r="H1111" s="297"/>
      <c r="I1111" s="297"/>
      <c r="J1111" s="297"/>
      <c r="K1111" s="297"/>
      <c r="L1111" s="297"/>
      <c r="M1111" s="297"/>
      <c r="N1111" s="297">
        <f>N1110</f>
        <v>0</v>
      </c>
      <c r="O1111" s="297"/>
      <c r="P1111" s="297"/>
      <c r="Q1111" s="297"/>
      <c r="R1111" s="297"/>
      <c r="S1111" s="297"/>
      <c r="T1111" s="297"/>
      <c r="U1111" s="297"/>
      <c r="V1111" s="297"/>
      <c r="W1111" s="297"/>
      <c r="X1111" s="297"/>
      <c r="Y1111" s="413">
        <f>Y1110</f>
        <v>0</v>
      </c>
      <c r="Z1111" s="413">
        <f t="shared" ref="Z1111" si="3424">Z1110</f>
        <v>0</v>
      </c>
      <c r="AA1111" s="413">
        <f t="shared" ref="AA1111" si="3425">AA1110</f>
        <v>0</v>
      </c>
      <c r="AB1111" s="413">
        <f t="shared" ref="AB1111" si="3426">AB1110</f>
        <v>0</v>
      </c>
      <c r="AC1111" s="413">
        <f t="shared" ref="AC1111" si="3427">AC1110</f>
        <v>0</v>
      </c>
      <c r="AD1111" s="413">
        <f t="shared" ref="AD1111" si="3428">AD1110</f>
        <v>0</v>
      </c>
      <c r="AE1111" s="413">
        <f t="shared" ref="AE1111" si="3429">AE1110</f>
        <v>0</v>
      </c>
      <c r="AF1111" s="413">
        <f t="shared" ref="AF1111" si="3430">AF1110</f>
        <v>0</v>
      </c>
      <c r="AG1111" s="413">
        <f t="shared" ref="AG1111" si="3431">AG1110</f>
        <v>0</v>
      </c>
      <c r="AH1111" s="413">
        <f t="shared" ref="AH1111" si="3432">AH1110</f>
        <v>0</v>
      </c>
      <c r="AI1111" s="413">
        <f t="shared" ref="AI1111" si="3433">AI1110</f>
        <v>0</v>
      </c>
      <c r="AJ1111" s="413">
        <f t="shared" ref="AJ1111" si="3434">AJ1110</f>
        <v>0</v>
      </c>
      <c r="AK1111" s="413">
        <f t="shared" ref="AK1111" si="3435">AK1110</f>
        <v>0</v>
      </c>
      <c r="AL1111" s="413">
        <f t="shared" ref="AL1111" si="3436">AL1110</f>
        <v>0</v>
      </c>
      <c r="AM1111" s="308"/>
    </row>
    <row r="1112" spans="1:39" ht="15" hidden="1" customHeight="1" outlineLevel="1">
      <c r="A1112" s="532"/>
      <c r="B1112" s="296"/>
      <c r="C1112" s="307"/>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303"/>
      <c r="Z1112" s="303"/>
      <c r="AA1112" s="303"/>
      <c r="AB1112" s="303"/>
      <c r="AC1112" s="303"/>
      <c r="AD1112" s="303"/>
      <c r="AE1112" s="303"/>
      <c r="AF1112" s="303"/>
      <c r="AG1112" s="303"/>
      <c r="AH1112" s="303"/>
      <c r="AI1112" s="303"/>
      <c r="AJ1112" s="303"/>
      <c r="AK1112" s="303"/>
      <c r="AL1112" s="303"/>
      <c r="AM1112" s="308"/>
    </row>
    <row r="1113" spans="1:39" ht="15.75" collapsed="1">
      <c r="B1113" s="329" t="s">
        <v>348</v>
      </c>
      <c r="C1113" s="331"/>
      <c r="D1113" s="331">
        <f>SUM(D956:D1111)</f>
        <v>0</v>
      </c>
      <c r="E1113" s="331"/>
      <c r="F1113" s="331"/>
      <c r="G1113" s="331"/>
      <c r="H1113" s="331"/>
      <c r="I1113" s="331"/>
      <c r="J1113" s="331"/>
      <c r="K1113" s="331"/>
      <c r="L1113" s="331"/>
      <c r="M1113" s="331"/>
      <c r="N1113" s="331"/>
      <c r="O1113" s="331">
        <f>SUM(O956:O1111)</f>
        <v>0</v>
      </c>
      <c r="P1113" s="331"/>
      <c r="Q1113" s="331"/>
      <c r="R1113" s="331"/>
      <c r="S1113" s="331"/>
      <c r="T1113" s="331"/>
      <c r="U1113" s="331"/>
      <c r="V1113" s="331"/>
      <c r="W1113" s="331"/>
      <c r="X1113" s="331"/>
      <c r="Y1113" s="331">
        <f>IF(Y954="kWh",SUMPRODUCT(D956:D1111,Y956:Y1111))</f>
        <v>0</v>
      </c>
      <c r="Z1113" s="331">
        <f>IF(Z954="kWh",SUMPRODUCT(D956:D1111,Z956:Z1111))</f>
        <v>0</v>
      </c>
      <c r="AA1113" s="331">
        <f>IF(AA954="kw",SUMPRODUCT(N956:N1111,O956:O1111,AA956:AA1111),SUMPRODUCT(D956:D1111,AA956:AA1111))</f>
        <v>0</v>
      </c>
      <c r="AB1113" s="331">
        <f>IF(AB954="kw",SUMPRODUCT(N956:N1111,O956:O1111,AB956:AB1111),SUMPRODUCT(D956:D1111,AB956:AB1111))</f>
        <v>0</v>
      </c>
      <c r="AC1113" s="331">
        <f>IF(AC954="kw",SUMPRODUCT(N956:N1111,O956:O1111,AC956:AC1111),SUMPRODUCT(D956:D1111,AC956:AC1111))</f>
        <v>0</v>
      </c>
      <c r="AD1113" s="331">
        <f>IF(AD954="kw",SUMPRODUCT(N956:N1111,O956:O1111,AD956:AD1111),SUMPRODUCT(D956:D1111,AD956:AD1111))</f>
        <v>0</v>
      </c>
      <c r="AE1113" s="331">
        <f>IF(AE954="kw",SUMPRODUCT(N956:N1111,O956:O1111,AE956:AE1111),SUMPRODUCT(D956:D1111,AE956:AE1111))</f>
        <v>0</v>
      </c>
      <c r="AF1113" s="331">
        <f>IF(AF954="kw",SUMPRODUCT(N956:N1111,O956:O1111,AF956:AF1111),SUMPRODUCT(D956:D1111,AF956:AF1111))</f>
        <v>0</v>
      </c>
      <c r="AG1113" s="331">
        <f>IF(AG954="kw",SUMPRODUCT(N956:N1111,O956:O1111,AG956:AG1111),SUMPRODUCT(D956:D1111,AG956:AG1111))</f>
        <v>0</v>
      </c>
      <c r="AH1113" s="331">
        <f>IF(AH954="kw",SUMPRODUCT(N956:N1111,O956:O1111,AH956:AH1111),SUMPRODUCT(D956:D1111,AH956:AH1111))</f>
        <v>0</v>
      </c>
      <c r="AI1113" s="331">
        <f>IF(AI954="kw",SUMPRODUCT(N956:N1111,O956:O1111,AI956:AI1111),SUMPRODUCT(D956:D1111,AI956:AI1111))</f>
        <v>0</v>
      </c>
      <c r="AJ1113" s="331">
        <f>IF(AJ954="kw",SUMPRODUCT(N956:N1111,O956:O1111,AJ956:AJ1111),SUMPRODUCT(D956:D1111,AJ956:AJ1111))</f>
        <v>0</v>
      </c>
      <c r="AK1113" s="331">
        <f>IF(AK954="kw",SUMPRODUCT(N956:N1111,O956:O1111,AK956:AK1111),SUMPRODUCT(D956:D1111,AK956:AK1111))</f>
        <v>0</v>
      </c>
      <c r="AL1113" s="331">
        <f>IF(AL954="kw",SUMPRODUCT(N956:N1111,O956:O1111,AL956:AL1111),SUMPRODUCT(D956:D1111,AL956:AL1111))</f>
        <v>0</v>
      </c>
      <c r="AM1113" s="332"/>
    </row>
    <row r="1114" spans="1:39" ht="15.75">
      <c r="B1114" s="393" t="s">
        <v>349</v>
      </c>
      <c r="C1114" s="394"/>
      <c r="D1114" s="394"/>
      <c r="E1114" s="394"/>
      <c r="F1114" s="394"/>
      <c r="G1114" s="394"/>
      <c r="H1114" s="394"/>
      <c r="I1114" s="394"/>
      <c r="J1114" s="394"/>
      <c r="K1114" s="394"/>
      <c r="L1114" s="394"/>
      <c r="M1114" s="394"/>
      <c r="N1114" s="394"/>
      <c r="O1114" s="394"/>
      <c r="P1114" s="394"/>
      <c r="Q1114" s="394"/>
      <c r="R1114" s="394"/>
      <c r="S1114" s="394"/>
      <c r="T1114" s="394"/>
      <c r="U1114" s="394"/>
      <c r="V1114" s="394"/>
      <c r="W1114" s="394"/>
      <c r="X1114" s="394"/>
      <c r="Y1114" s="394">
        <f>HLOOKUP(Y770,'2. LRAMVA Threshold'!$B$42:$Q$53,12,FALSE)</f>
        <v>0</v>
      </c>
      <c r="Z1114" s="394">
        <f>HLOOKUP(Z770,'2. LRAMVA Threshold'!$B$42:$Q$53,12,FALSE)</f>
        <v>0</v>
      </c>
      <c r="AA1114" s="394">
        <f>HLOOKUP(AA770,'2. LRAMVA Threshold'!$B$42:$Q$53,12,FALSE)</f>
        <v>0</v>
      </c>
      <c r="AB1114" s="394">
        <f>HLOOKUP(AB770,'2. LRAMVA Threshold'!$B$42:$Q$53,12,FALSE)</f>
        <v>0</v>
      </c>
      <c r="AC1114" s="394">
        <f>HLOOKUP(AC770,'2. LRAMVA Threshold'!$B$42:$Q$53,12,FALSE)</f>
        <v>0</v>
      </c>
      <c r="AD1114" s="394">
        <f>HLOOKUP(AD770,'2. LRAMVA Threshold'!$B$42:$Q$53,12,FALSE)</f>
        <v>0</v>
      </c>
      <c r="AE1114" s="394">
        <f>HLOOKUP(AE770,'2. LRAMVA Threshold'!$B$42:$Q$53,12,FALSE)</f>
        <v>0</v>
      </c>
      <c r="AF1114" s="394">
        <f>HLOOKUP(AF770,'2. LRAMVA Threshold'!$B$42:$Q$53,12,FALSE)</f>
        <v>0</v>
      </c>
      <c r="AG1114" s="394">
        <f>HLOOKUP(AG770,'2. LRAMVA Threshold'!$B$42:$Q$53,12,FALSE)</f>
        <v>0</v>
      </c>
      <c r="AH1114" s="394">
        <f>HLOOKUP(AH770,'2. LRAMVA Threshold'!$B$42:$Q$53,12,FALSE)</f>
        <v>0</v>
      </c>
      <c r="AI1114" s="394">
        <f>HLOOKUP(AI770,'2. LRAMVA Threshold'!$B$42:$Q$53,12,FALSE)</f>
        <v>0</v>
      </c>
      <c r="AJ1114" s="394">
        <f>HLOOKUP(AJ770,'2. LRAMVA Threshold'!$B$42:$Q$53,12,FALSE)</f>
        <v>0</v>
      </c>
      <c r="AK1114" s="394">
        <f>HLOOKUP(AK770,'2. LRAMVA Threshold'!$B$42:$Q$53,12,FALSE)</f>
        <v>0</v>
      </c>
      <c r="AL1114" s="394">
        <f>HLOOKUP(AL770,'2. LRAMVA Threshold'!$B$42:$Q$53,12,FALSE)</f>
        <v>0</v>
      </c>
      <c r="AM1114" s="444"/>
    </row>
    <row r="1115" spans="1:39">
      <c r="B1115" s="396"/>
      <c r="C1115" s="434"/>
      <c r="D1115" s="435"/>
      <c r="E1115" s="435"/>
      <c r="F1115" s="435"/>
      <c r="G1115" s="435"/>
      <c r="H1115" s="435"/>
      <c r="I1115" s="435"/>
      <c r="J1115" s="435"/>
      <c r="K1115" s="435"/>
      <c r="L1115" s="435"/>
      <c r="M1115" s="435"/>
      <c r="N1115" s="435"/>
      <c r="O1115" s="436"/>
      <c r="P1115" s="435"/>
      <c r="Q1115" s="435"/>
      <c r="R1115" s="435"/>
      <c r="S1115" s="437"/>
      <c r="T1115" s="437"/>
      <c r="U1115" s="437"/>
      <c r="V1115" s="437"/>
      <c r="W1115" s="435"/>
      <c r="X1115" s="435"/>
      <c r="Y1115" s="438"/>
      <c r="Z1115" s="438"/>
      <c r="AA1115" s="438"/>
      <c r="AB1115" s="438"/>
      <c r="AC1115" s="438"/>
      <c r="AD1115" s="438"/>
      <c r="AE1115" s="438"/>
      <c r="AF1115" s="401"/>
      <c r="AG1115" s="401"/>
      <c r="AH1115" s="401"/>
      <c r="AI1115" s="401"/>
      <c r="AJ1115" s="401"/>
      <c r="AK1115" s="401"/>
      <c r="AL1115" s="401"/>
      <c r="AM1115" s="402"/>
    </row>
    <row r="1116" spans="1:39">
      <c r="B1116" s="326" t="s">
        <v>350</v>
      </c>
      <c r="C1116" s="340"/>
      <c r="D1116" s="340"/>
      <c r="E1116" s="378"/>
      <c r="F1116" s="378"/>
      <c r="G1116" s="378"/>
      <c r="H1116" s="378"/>
      <c r="I1116" s="378"/>
      <c r="J1116" s="378"/>
      <c r="K1116" s="378"/>
      <c r="L1116" s="378"/>
      <c r="M1116" s="378"/>
      <c r="N1116" s="378"/>
      <c r="O1116" s="293"/>
      <c r="P1116" s="342"/>
      <c r="Q1116" s="342"/>
      <c r="R1116" s="342"/>
      <c r="S1116" s="341"/>
      <c r="T1116" s="341"/>
      <c r="U1116" s="341"/>
      <c r="V1116" s="341"/>
      <c r="W1116" s="342"/>
      <c r="X1116" s="342"/>
      <c r="Y1116" s="343">
        <f>HLOOKUP(Y$35,'3.  Distribution Rates'!$C$122:$P$133,12,FALSE)</f>
        <v>0</v>
      </c>
      <c r="Z1116" s="343">
        <f>HLOOKUP(Z$35,'3.  Distribution Rates'!$C$122:$P$133,12,FALSE)</f>
        <v>0</v>
      </c>
      <c r="AA1116" s="343">
        <f>HLOOKUP(AA$35,'3.  Distribution Rates'!$C$122:$P$133,12,FALSE)</f>
        <v>0</v>
      </c>
      <c r="AB1116" s="343">
        <f>HLOOKUP(AB$35,'3.  Distribution Rates'!$C$122:$P$133,12,FALSE)</f>
        <v>0</v>
      </c>
      <c r="AC1116" s="343">
        <f>HLOOKUP(AC$35,'3.  Distribution Rates'!$C$122:$P$133,12,FALSE)</f>
        <v>0</v>
      </c>
      <c r="AD1116" s="343">
        <f>HLOOKUP(AD$35,'3.  Distribution Rates'!$C$122:$P$133,12,FALSE)</f>
        <v>0</v>
      </c>
      <c r="AE1116" s="343">
        <f>HLOOKUP(AE$35,'3.  Distribution Rates'!$C$122:$P$133,12,FALSE)</f>
        <v>0</v>
      </c>
      <c r="AF1116" s="343">
        <f>HLOOKUP(AF$35,'3.  Distribution Rates'!$C$122:$P$133,12,FALSE)</f>
        <v>0</v>
      </c>
      <c r="AG1116" s="343">
        <f>HLOOKUP(AG$35,'3.  Distribution Rates'!$C$122:$P$133,12,FALSE)</f>
        <v>0</v>
      </c>
      <c r="AH1116" s="343">
        <f>HLOOKUP(AH$35,'3.  Distribution Rates'!$C$122:$P$133,12,FALSE)</f>
        <v>0</v>
      </c>
      <c r="AI1116" s="343">
        <f>HLOOKUP(AI$35,'3.  Distribution Rates'!$C$122:$P$133,12,FALSE)</f>
        <v>0</v>
      </c>
      <c r="AJ1116" s="343">
        <f>HLOOKUP(AJ$35,'3.  Distribution Rates'!$C$122:$P$133,12,FALSE)</f>
        <v>0</v>
      </c>
      <c r="AK1116" s="343">
        <f>HLOOKUP(AK$35,'3.  Distribution Rates'!$C$122:$P$133,12,FALSE)</f>
        <v>0</v>
      </c>
      <c r="AL1116" s="343">
        <f>HLOOKUP(AL$35,'3.  Distribution Rates'!$C$122:$P$133,12,FALSE)</f>
        <v>0</v>
      </c>
      <c r="AM1116" s="446"/>
    </row>
    <row r="1117" spans="1:39">
      <c r="B1117" s="326" t="s">
        <v>354</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LRAM'!Y143*Y1116</f>
        <v>0</v>
      </c>
      <c r="Z1117" s="380">
        <f>'4.  2011-2014 LRAM'!Z143*Z1116</f>
        <v>0</v>
      </c>
      <c r="AA1117" s="380">
        <f>'4.  2011-2014 LRAM'!AA143*AA1116</f>
        <v>0</v>
      </c>
      <c r="AB1117" s="380">
        <f>'4.  2011-2014 LRAM'!AB143*AB1116</f>
        <v>0</v>
      </c>
      <c r="AC1117" s="380">
        <f>'4.  2011-2014 LRAM'!AC143*AC1116</f>
        <v>0</v>
      </c>
      <c r="AD1117" s="380">
        <f>'4.  2011-2014 LRAM'!AD143*AD1116</f>
        <v>0</v>
      </c>
      <c r="AE1117" s="380">
        <f>'4.  2011-2014 LRAM'!AE143*AE1116</f>
        <v>0</v>
      </c>
      <c r="AF1117" s="380">
        <f>'4.  2011-2014 LRAM'!AF143*AF1116</f>
        <v>0</v>
      </c>
      <c r="AG1117" s="380">
        <f>'4.  2011-2014 LRAM'!AG143*AG1116</f>
        <v>0</v>
      </c>
      <c r="AH1117" s="380">
        <f>'4.  2011-2014 LRAM'!AH143*AH1116</f>
        <v>0</v>
      </c>
      <c r="AI1117" s="380">
        <f>'4.  2011-2014 LRAM'!AI143*AI1116</f>
        <v>0</v>
      </c>
      <c r="AJ1117" s="380">
        <f>'4.  2011-2014 LRAM'!AJ143*AJ1116</f>
        <v>0</v>
      </c>
      <c r="AK1117" s="380">
        <f>'4.  2011-2014 LRAM'!AK143*AK1116</f>
        <v>0</v>
      </c>
      <c r="AL1117" s="380">
        <f>'4.  2011-2014 LRAM'!AL143*AL1116</f>
        <v>0</v>
      </c>
      <c r="AM1117" s="629">
        <f t="shared" ref="AM1117:AM1126" si="3437">SUM(Y1117:AL1117)</f>
        <v>0</v>
      </c>
    </row>
    <row r="1118" spans="1:39">
      <c r="B1118" s="326" t="s">
        <v>355</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'4.  2011-2014 LRAM'!Y272*Y1116</f>
        <v>0</v>
      </c>
      <c r="Z1118" s="380">
        <f>'4.  2011-2014 LRAM'!Z272*Z1116</f>
        <v>0</v>
      </c>
      <c r="AA1118" s="380">
        <f>'4.  2011-2014 LRAM'!AA272*AA1116</f>
        <v>0</v>
      </c>
      <c r="AB1118" s="380">
        <f>'4.  2011-2014 LRAM'!AB272*AB1116</f>
        <v>0</v>
      </c>
      <c r="AC1118" s="380">
        <f>'4.  2011-2014 LRAM'!AC272*AC1116</f>
        <v>0</v>
      </c>
      <c r="AD1118" s="380">
        <f>'4.  2011-2014 LRAM'!AD272*AD1116</f>
        <v>0</v>
      </c>
      <c r="AE1118" s="380">
        <f>'4.  2011-2014 LRAM'!AE272*AE1116</f>
        <v>0</v>
      </c>
      <c r="AF1118" s="380">
        <f>'4.  2011-2014 LRAM'!AF272*AF1116</f>
        <v>0</v>
      </c>
      <c r="AG1118" s="380">
        <f>'4.  2011-2014 LRAM'!AG272*AG1116</f>
        <v>0</v>
      </c>
      <c r="AH1118" s="380">
        <f>'4.  2011-2014 LRAM'!AH272*AH1116</f>
        <v>0</v>
      </c>
      <c r="AI1118" s="380">
        <f>'4.  2011-2014 LRAM'!AI272*AI1116</f>
        <v>0</v>
      </c>
      <c r="AJ1118" s="380">
        <f>'4.  2011-2014 LRAM'!AJ272*AJ1116</f>
        <v>0</v>
      </c>
      <c r="AK1118" s="380">
        <f>'4.  2011-2014 LRAM'!AK272*AK1116</f>
        <v>0</v>
      </c>
      <c r="AL1118" s="380">
        <f>'4.  2011-2014 LRAM'!AL272*AL1116</f>
        <v>0</v>
      </c>
      <c r="AM1118" s="629">
        <f t="shared" si="3437"/>
        <v>0</v>
      </c>
    </row>
    <row r="1119" spans="1:39">
      <c r="B1119" s="326" t="s">
        <v>356</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'4.  2011-2014 LRAM'!Y401*Y1116</f>
        <v>0</v>
      </c>
      <c r="Z1119" s="380">
        <f>'4.  2011-2014 LRAM'!Z401*Z1116</f>
        <v>0</v>
      </c>
      <c r="AA1119" s="380">
        <f>'4.  2011-2014 LRAM'!AA401*AA1116</f>
        <v>0</v>
      </c>
      <c r="AB1119" s="380">
        <f>'4.  2011-2014 LRAM'!AB401*AB1116</f>
        <v>0</v>
      </c>
      <c r="AC1119" s="380">
        <f>'4.  2011-2014 LRAM'!AC401*AC1116</f>
        <v>0</v>
      </c>
      <c r="AD1119" s="380">
        <f>'4.  2011-2014 LRAM'!AD401*AD1116</f>
        <v>0</v>
      </c>
      <c r="AE1119" s="380">
        <f>'4.  2011-2014 LRAM'!AE401*AE1116</f>
        <v>0</v>
      </c>
      <c r="AF1119" s="380">
        <f>'4.  2011-2014 LRAM'!AF401*AF1116</f>
        <v>0</v>
      </c>
      <c r="AG1119" s="380">
        <f>'4.  2011-2014 LRAM'!AG401*AG1116</f>
        <v>0</v>
      </c>
      <c r="AH1119" s="380">
        <f>'4.  2011-2014 LRAM'!AH401*AH1116</f>
        <v>0</v>
      </c>
      <c r="AI1119" s="380">
        <f>'4.  2011-2014 LRAM'!AI401*AI1116</f>
        <v>0</v>
      </c>
      <c r="AJ1119" s="380">
        <f>'4.  2011-2014 LRAM'!AJ401*AJ1116</f>
        <v>0</v>
      </c>
      <c r="AK1119" s="380">
        <f>'4.  2011-2014 LRAM'!AK401*AK1116</f>
        <v>0</v>
      </c>
      <c r="AL1119" s="380">
        <f>'4.  2011-2014 LRAM'!AL401*AL1116</f>
        <v>0</v>
      </c>
      <c r="AM1119" s="629">
        <f t="shared" si="3437"/>
        <v>0</v>
      </c>
    </row>
    <row r="1120" spans="1:39">
      <c r="B1120" s="326" t="s">
        <v>357</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'4.  2011-2014 LRAM'!Y531*Y1116</f>
        <v>0</v>
      </c>
      <c r="Z1120" s="380">
        <f>'4.  2011-2014 LRAM'!Z531*Z1116</f>
        <v>0</v>
      </c>
      <c r="AA1120" s="380">
        <f>'4.  2011-2014 LRAM'!AA531*AA1116</f>
        <v>0</v>
      </c>
      <c r="AB1120" s="380">
        <f>'4.  2011-2014 LRAM'!AB531*AB1116</f>
        <v>0</v>
      </c>
      <c r="AC1120" s="380">
        <f>'4.  2011-2014 LRAM'!AC531*AC1116</f>
        <v>0</v>
      </c>
      <c r="AD1120" s="380">
        <f>'4.  2011-2014 LRAM'!AD531*AD1116</f>
        <v>0</v>
      </c>
      <c r="AE1120" s="380">
        <f>'4.  2011-2014 LRAM'!AE531*AE1116</f>
        <v>0</v>
      </c>
      <c r="AF1120" s="380">
        <f>'4.  2011-2014 LRAM'!AF531*AF1116</f>
        <v>0</v>
      </c>
      <c r="AG1120" s="380">
        <f>'4.  2011-2014 LRAM'!AG531*AG1116</f>
        <v>0</v>
      </c>
      <c r="AH1120" s="380">
        <f>'4.  2011-2014 LRAM'!AH531*AH1116</f>
        <v>0</v>
      </c>
      <c r="AI1120" s="380">
        <f>'4.  2011-2014 LRAM'!AI531*AI1116</f>
        <v>0</v>
      </c>
      <c r="AJ1120" s="380">
        <f>'4.  2011-2014 LRAM'!AJ531*AJ1116</f>
        <v>0</v>
      </c>
      <c r="AK1120" s="380">
        <f>'4.  2011-2014 LRAM'!AK531*AK1116</f>
        <v>0</v>
      </c>
      <c r="AL1120" s="380">
        <f>'4.  2011-2014 LRAM'!AL531*AL1116</f>
        <v>0</v>
      </c>
      <c r="AM1120" s="629">
        <f t="shared" si="3437"/>
        <v>0</v>
      </c>
    </row>
    <row r="1121" spans="2:39">
      <c r="B1121" s="326" t="s">
        <v>358</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38">Y212*Y1116</f>
        <v>0</v>
      </c>
      <c r="Z1121" s="380">
        <f t="shared" si="3438"/>
        <v>0</v>
      </c>
      <c r="AA1121" s="380">
        <f t="shared" si="3438"/>
        <v>0</v>
      </c>
      <c r="AB1121" s="380">
        <f t="shared" si="3438"/>
        <v>0</v>
      </c>
      <c r="AC1121" s="380">
        <f t="shared" si="3438"/>
        <v>0</v>
      </c>
      <c r="AD1121" s="380">
        <f t="shared" si="3438"/>
        <v>0</v>
      </c>
      <c r="AE1121" s="380">
        <f t="shared" si="3438"/>
        <v>0</v>
      </c>
      <c r="AF1121" s="380">
        <f t="shared" si="3438"/>
        <v>0</v>
      </c>
      <c r="AG1121" s="380">
        <f t="shared" si="3438"/>
        <v>0</v>
      </c>
      <c r="AH1121" s="380">
        <f t="shared" si="3438"/>
        <v>0</v>
      </c>
      <c r="AI1121" s="380">
        <f t="shared" si="3438"/>
        <v>0</v>
      </c>
      <c r="AJ1121" s="380">
        <f t="shared" si="3438"/>
        <v>0</v>
      </c>
      <c r="AK1121" s="380">
        <f t="shared" si="3438"/>
        <v>0</v>
      </c>
      <c r="AL1121" s="380">
        <f t="shared" si="3438"/>
        <v>0</v>
      </c>
      <c r="AM1121" s="629">
        <f t="shared" si="3437"/>
        <v>0</v>
      </c>
    </row>
    <row r="1122" spans="2:39">
      <c r="B1122" s="326" t="s">
        <v>359</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39">Y398*Y1116</f>
        <v>0</v>
      </c>
      <c r="Z1122" s="380">
        <f t="shared" si="3439"/>
        <v>0</v>
      </c>
      <c r="AA1122" s="380">
        <f t="shared" si="3439"/>
        <v>0</v>
      </c>
      <c r="AB1122" s="380">
        <f t="shared" si="3439"/>
        <v>0</v>
      </c>
      <c r="AC1122" s="380">
        <f t="shared" si="3439"/>
        <v>0</v>
      </c>
      <c r="AD1122" s="380">
        <f t="shared" si="3439"/>
        <v>0</v>
      </c>
      <c r="AE1122" s="380">
        <f t="shared" si="3439"/>
        <v>0</v>
      </c>
      <c r="AF1122" s="380">
        <f t="shared" si="3439"/>
        <v>0</v>
      </c>
      <c r="AG1122" s="380">
        <f t="shared" si="3439"/>
        <v>0</v>
      </c>
      <c r="AH1122" s="380">
        <f t="shared" si="3439"/>
        <v>0</v>
      </c>
      <c r="AI1122" s="380">
        <f t="shared" si="3439"/>
        <v>0</v>
      </c>
      <c r="AJ1122" s="380">
        <f t="shared" si="3439"/>
        <v>0</v>
      </c>
      <c r="AK1122" s="380">
        <f t="shared" si="3439"/>
        <v>0</v>
      </c>
      <c r="AL1122" s="380">
        <f t="shared" si="3439"/>
        <v>0</v>
      </c>
      <c r="AM1122" s="629">
        <f t="shared" si="3437"/>
        <v>0</v>
      </c>
    </row>
    <row r="1123" spans="2:39">
      <c r="B1123" s="326" t="s">
        <v>360</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 t="shared" ref="Y1123:AL1123" si="3440">Y581*Y1116</f>
        <v>0</v>
      </c>
      <c r="Z1123" s="380">
        <f t="shared" si="3440"/>
        <v>0</v>
      </c>
      <c r="AA1123" s="380">
        <f t="shared" si="3440"/>
        <v>0</v>
      </c>
      <c r="AB1123" s="380">
        <f t="shared" si="3440"/>
        <v>0</v>
      </c>
      <c r="AC1123" s="380">
        <f t="shared" si="3440"/>
        <v>0</v>
      </c>
      <c r="AD1123" s="380">
        <f t="shared" si="3440"/>
        <v>0</v>
      </c>
      <c r="AE1123" s="380">
        <f t="shared" si="3440"/>
        <v>0</v>
      </c>
      <c r="AF1123" s="380">
        <f t="shared" si="3440"/>
        <v>0</v>
      </c>
      <c r="AG1123" s="380">
        <f t="shared" si="3440"/>
        <v>0</v>
      </c>
      <c r="AH1123" s="380">
        <f t="shared" si="3440"/>
        <v>0</v>
      </c>
      <c r="AI1123" s="380">
        <f t="shared" si="3440"/>
        <v>0</v>
      </c>
      <c r="AJ1123" s="380">
        <f t="shared" si="3440"/>
        <v>0</v>
      </c>
      <c r="AK1123" s="380">
        <f t="shared" si="3440"/>
        <v>0</v>
      </c>
      <c r="AL1123" s="380">
        <f t="shared" si="3440"/>
        <v>0</v>
      </c>
      <c r="AM1123" s="629">
        <f t="shared" si="3437"/>
        <v>0</v>
      </c>
    </row>
    <row r="1124" spans="2:39">
      <c r="B1124" s="326" t="s">
        <v>361</v>
      </c>
      <c r="C1124" s="347"/>
      <c r="D1124" s="311"/>
      <c r="E1124" s="281"/>
      <c r="F1124" s="281"/>
      <c r="G1124" s="281"/>
      <c r="H1124" s="281"/>
      <c r="I1124" s="281"/>
      <c r="J1124" s="281"/>
      <c r="K1124" s="281"/>
      <c r="L1124" s="281"/>
      <c r="M1124" s="281"/>
      <c r="N1124" s="281"/>
      <c r="O1124" s="293"/>
      <c r="P1124" s="281"/>
      <c r="Q1124" s="281"/>
      <c r="R1124" s="281"/>
      <c r="S1124" s="311"/>
      <c r="T1124" s="311"/>
      <c r="U1124" s="311"/>
      <c r="V1124" s="311"/>
      <c r="W1124" s="281"/>
      <c r="X1124" s="281"/>
      <c r="Y1124" s="380">
        <f t="shared" ref="Y1124:AL1124" si="3441">Y764*Y1116</f>
        <v>0</v>
      </c>
      <c r="Z1124" s="380">
        <f t="shared" si="3441"/>
        <v>0</v>
      </c>
      <c r="AA1124" s="380">
        <f t="shared" si="3441"/>
        <v>0</v>
      </c>
      <c r="AB1124" s="380">
        <f t="shared" si="3441"/>
        <v>0</v>
      </c>
      <c r="AC1124" s="380">
        <f t="shared" si="3441"/>
        <v>0</v>
      </c>
      <c r="AD1124" s="380">
        <f t="shared" si="3441"/>
        <v>0</v>
      </c>
      <c r="AE1124" s="380">
        <f t="shared" si="3441"/>
        <v>0</v>
      </c>
      <c r="AF1124" s="380">
        <f t="shared" si="3441"/>
        <v>0</v>
      </c>
      <c r="AG1124" s="380">
        <f t="shared" si="3441"/>
        <v>0</v>
      </c>
      <c r="AH1124" s="380">
        <f t="shared" si="3441"/>
        <v>0</v>
      </c>
      <c r="AI1124" s="380">
        <f t="shared" si="3441"/>
        <v>0</v>
      </c>
      <c r="AJ1124" s="380">
        <f t="shared" si="3441"/>
        <v>0</v>
      </c>
      <c r="AK1124" s="380">
        <f t="shared" si="3441"/>
        <v>0</v>
      </c>
      <c r="AL1124" s="380">
        <f t="shared" si="3441"/>
        <v>0</v>
      </c>
      <c r="AM1124" s="629">
        <f t="shared" si="3437"/>
        <v>0</v>
      </c>
    </row>
    <row r="1125" spans="2:39">
      <c r="B1125" s="326" t="s">
        <v>362</v>
      </c>
      <c r="C1125" s="347"/>
      <c r="D1125" s="311"/>
      <c r="E1125" s="281"/>
      <c r="F1125" s="281"/>
      <c r="G1125" s="281"/>
      <c r="H1125" s="281"/>
      <c r="I1125" s="281"/>
      <c r="J1125" s="281"/>
      <c r="K1125" s="281"/>
      <c r="L1125" s="281"/>
      <c r="M1125" s="281"/>
      <c r="N1125" s="281"/>
      <c r="O1125" s="293"/>
      <c r="P1125" s="281"/>
      <c r="Q1125" s="281"/>
      <c r="R1125" s="281"/>
      <c r="S1125" s="311"/>
      <c r="T1125" s="311"/>
      <c r="U1125" s="311"/>
      <c r="V1125" s="311"/>
      <c r="W1125" s="281"/>
      <c r="X1125" s="281"/>
      <c r="Y1125" s="380">
        <f t="shared" ref="Y1125:AL1125" si="3442">Y947*Y1116</f>
        <v>0</v>
      </c>
      <c r="Z1125" s="380">
        <f t="shared" si="3442"/>
        <v>0</v>
      </c>
      <c r="AA1125" s="380">
        <f t="shared" si="3442"/>
        <v>0</v>
      </c>
      <c r="AB1125" s="380">
        <f t="shared" si="3442"/>
        <v>0</v>
      </c>
      <c r="AC1125" s="380">
        <f t="shared" si="3442"/>
        <v>0</v>
      </c>
      <c r="AD1125" s="380">
        <f t="shared" si="3442"/>
        <v>0</v>
      </c>
      <c r="AE1125" s="380">
        <f t="shared" si="3442"/>
        <v>0</v>
      </c>
      <c r="AF1125" s="380">
        <f t="shared" si="3442"/>
        <v>0</v>
      </c>
      <c r="AG1125" s="380">
        <f t="shared" si="3442"/>
        <v>0</v>
      </c>
      <c r="AH1125" s="380">
        <f t="shared" si="3442"/>
        <v>0</v>
      </c>
      <c r="AI1125" s="380">
        <f t="shared" si="3442"/>
        <v>0</v>
      </c>
      <c r="AJ1125" s="380">
        <f t="shared" si="3442"/>
        <v>0</v>
      </c>
      <c r="AK1125" s="380">
        <f t="shared" si="3442"/>
        <v>0</v>
      </c>
      <c r="AL1125" s="380">
        <f t="shared" si="3442"/>
        <v>0</v>
      </c>
      <c r="AM1125" s="629">
        <f t="shared" si="3437"/>
        <v>0</v>
      </c>
    </row>
    <row r="1126" spans="2:39">
      <c r="B1126" s="326" t="s">
        <v>363</v>
      </c>
      <c r="C1126" s="347"/>
      <c r="D1126" s="311"/>
      <c r="E1126" s="281"/>
      <c r="F1126" s="281"/>
      <c r="G1126" s="281"/>
      <c r="H1126" s="281"/>
      <c r="I1126" s="281"/>
      <c r="J1126" s="281"/>
      <c r="K1126" s="281"/>
      <c r="L1126" s="281"/>
      <c r="M1126" s="281"/>
      <c r="N1126" s="281"/>
      <c r="O1126" s="293"/>
      <c r="P1126" s="281"/>
      <c r="Q1126" s="281"/>
      <c r="R1126" s="281"/>
      <c r="S1126" s="311"/>
      <c r="T1126" s="311"/>
      <c r="U1126" s="311"/>
      <c r="V1126" s="311"/>
      <c r="W1126" s="281"/>
      <c r="X1126" s="281"/>
      <c r="Y1126" s="380">
        <f>Y1113*Y1116</f>
        <v>0</v>
      </c>
      <c r="Z1126" s="380">
        <f>Z1113*Z1116</f>
        <v>0</v>
      </c>
      <c r="AA1126" s="380">
        <f t="shared" ref="AA1126:AL1126" si="3443">AA1113*AA1116</f>
        <v>0</v>
      </c>
      <c r="AB1126" s="380">
        <f t="shared" si="3443"/>
        <v>0</v>
      </c>
      <c r="AC1126" s="380">
        <f t="shared" si="3443"/>
        <v>0</v>
      </c>
      <c r="AD1126" s="380">
        <f t="shared" si="3443"/>
        <v>0</v>
      </c>
      <c r="AE1126" s="380">
        <f t="shared" si="3443"/>
        <v>0</v>
      </c>
      <c r="AF1126" s="380">
        <f t="shared" si="3443"/>
        <v>0</v>
      </c>
      <c r="AG1126" s="380">
        <f t="shared" si="3443"/>
        <v>0</v>
      </c>
      <c r="AH1126" s="380">
        <f t="shared" si="3443"/>
        <v>0</v>
      </c>
      <c r="AI1126" s="380">
        <f t="shared" si="3443"/>
        <v>0</v>
      </c>
      <c r="AJ1126" s="380">
        <f t="shared" si="3443"/>
        <v>0</v>
      </c>
      <c r="AK1126" s="380">
        <f t="shared" si="3443"/>
        <v>0</v>
      </c>
      <c r="AL1126" s="380">
        <f t="shared" si="3443"/>
        <v>0</v>
      </c>
      <c r="AM1126" s="629">
        <f t="shared" si="3437"/>
        <v>0</v>
      </c>
    </row>
    <row r="1127" spans="2:39" ht="15.75">
      <c r="B1127" s="351" t="s">
        <v>353</v>
      </c>
      <c r="C1127" s="347"/>
      <c r="D1127" s="338"/>
      <c r="E1127" s="336"/>
      <c r="F1127" s="336"/>
      <c r="G1127" s="336"/>
      <c r="H1127" s="336"/>
      <c r="I1127" s="336"/>
      <c r="J1127" s="336"/>
      <c r="K1127" s="336"/>
      <c r="L1127" s="336"/>
      <c r="M1127" s="336"/>
      <c r="N1127" s="336"/>
      <c r="O1127" s="302"/>
      <c r="P1127" s="336"/>
      <c r="Q1127" s="336"/>
      <c r="R1127" s="336"/>
      <c r="S1127" s="338"/>
      <c r="T1127" s="338"/>
      <c r="U1127" s="338"/>
      <c r="V1127" s="338"/>
      <c r="W1127" s="336"/>
      <c r="X1127" s="336"/>
      <c r="Y1127" s="348">
        <f>SUM(Y1117:Y1126)</f>
        <v>0</v>
      </c>
      <c r="Z1127" s="348">
        <f t="shared" ref="Z1127:AE1127" si="3444">SUM(Z1117:Z1126)</f>
        <v>0</v>
      </c>
      <c r="AA1127" s="348">
        <f t="shared" si="3444"/>
        <v>0</v>
      </c>
      <c r="AB1127" s="348">
        <f t="shared" si="3444"/>
        <v>0</v>
      </c>
      <c r="AC1127" s="348">
        <f t="shared" si="3444"/>
        <v>0</v>
      </c>
      <c r="AD1127" s="348">
        <f t="shared" si="3444"/>
        <v>0</v>
      </c>
      <c r="AE1127" s="348">
        <f t="shared" si="3444"/>
        <v>0</v>
      </c>
      <c r="AF1127" s="348">
        <f>SUM(AF1117:AF1126)</f>
        <v>0</v>
      </c>
      <c r="AG1127" s="348">
        <f t="shared" ref="AG1127:AL1127" si="3445">SUM(AG1117:AG1126)</f>
        <v>0</v>
      </c>
      <c r="AH1127" s="348">
        <f t="shared" si="3445"/>
        <v>0</v>
      </c>
      <c r="AI1127" s="348">
        <f t="shared" si="3445"/>
        <v>0</v>
      </c>
      <c r="AJ1127" s="348">
        <f t="shared" si="3445"/>
        <v>0</v>
      </c>
      <c r="AK1127" s="348">
        <f t="shared" si="3445"/>
        <v>0</v>
      </c>
      <c r="AL1127" s="348">
        <f t="shared" si="3445"/>
        <v>0</v>
      </c>
      <c r="AM1127" s="409">
        <f>SUM(AM1117:AM1126)</f>
        <v>0</v>
      </c>
    </row>
    <row r="1128" spans="2:39" ht="15.75">
      <c r="B1128" s="351" t="s">
        <v>352</v>
      </c>
      <c r="C1128" s="347"/>
      <c r="D1128" s="352"/>
      <c r="E1128" s="336"/>
      <c r="F1128" s="336"/>
      <c r="G1128" s="336"/>
      <c r="H1128" s="336"/>
      <c r="I1128" s="336"/>
      <c r="J1128" s="336"/>
      <c r="K1128" s="336"/>
      <c r="L1128" s="336"/>
      <c r="M1128" s="336"/>
      <c r="N1128" s="336"/>
      <c r="O1128" s="302"/>
      <c r="P1128" s="336"/>
      <c r="Q1128" s="336"/>
      <c r="R1128" s="336"/>
      <c r="S1128" s="338"/>
      <c r="T1128" s="338"/>
      <c r="U1128" s="338"/>
      <c r="V1128" s="338"/>
      <c r="W1128" s="336"/>
      <c r="X1128" s="336"/>
      <c r="Y1128" s="349">
        <f>Y1114*Y1116</f>
        <v>0</v>
      </c>
      <c r="Z1128" s="349">
        <f t="shared" ref="Z1128:AE1128" si="3446">Z1114*Z1116</f>
        <v>0</v>
      </c>
      <c r="AA1128" s="349">
        <f>AA1114*AA1116</f>
        <v>0</v>
      </c>
      <c r="AB1128" s="349">
        <f t="shared" si="3446"/>
        <v>0</v>
      </c>
      <c r="AC1128" s="349">
        <f t="shared" si="3446"/>
        <v>0</v>
      </c>
      <c r="AD1128" s="349">
        <f t="shared" si="3446"/>
        <v>0</v>
      </c>
      <c r="AE1128" s="349">
        <f t="shared" si="3446"/>
        <v>0</v>
      </c>
      <c r="AF1128" s="349">
        <f t="shared" ref="AF1128:AL1128" si="3447">AF1114*AF1116</f>
        <v>0</v>
      </c>
      <c r="AG1128" s="349">
        <f t="shared" si="3447"/>
        <v>0</v>
      </c>
      <c r="AH1128" s="349">
        <f t="shared" si="3447"/>
        <v>0</v>
      </c>
      <c r="AI1128" s="349">
        <f t="shared" si="3447"/>
        <v>0</v>
      </c>
      <c r="AJ1128" s="349">
        <f t="shared" si="3447"/>
        <v>0</v>
      </c>
      <c r="AK1128" s="349">
        <f t="shared" si="3447"/>
        <v>0</v>
      </c>
      <c r="AL1128" s="349">
        <f t="shared" si="3447"/>
        <v>0</v>
      </c>
      <c r="AM1128" s="409">
        <f>SUM(Y1128:AL1128)</f>
        <v>0</v>
      </c>
    </row>
    <row r="1129" spans="2:39" ht="15.75">
      <c r="B1129" s="351" t="s">
        <v>351</v>
      </c>
      <c r="C1129" s="347"/>
      <c r="D1129" s="352"/>
      <c r="E1129" s="336"/>
      <c r="F1129" s="336"/>
      <c r="G1129" s="336"/>
      <c r="H1129" s="336"/>
      <c r="I1129" s="336"/>
      <c r="J1129" s="336"/>
      <c r="K1129" s="336"/>
      <c r="L1129" s="336"/>
      <c r="M1129" s="336"/>
      <c r="N1129" s="336"/>
      <c r="O1129" s="302"/>
      <c r="P1129" s="336"/>
      <c r="Q1129" s="336"/>
      <c r="R1129" s="336"/>
      <c r="S1129" s="352"/>
      <c r="T1129" s="352"/>
      <c r="U1129" s="352"/>
      <c r="V1129" s="352"/>
      <c r="W1129" s="336"/>
      <c r="X1129" s="336"/>
      <c r="Y1129" s="353"/>
      <c r="Z1129" s="353"/>
      <c r="AA1129" s="353"/>
      <c r="AB1129" s="353"/>
      <c r="AC1129" s="353"/>
      <c r="AD1129" s="353"/>
      <c r="AE1129" s="353"/>
      <c r="AF1129" s="353"/>
      <c r="AG1129" s="353"/>
      <c r="AH1129" s="353"/>
      <c r="AI1129" s="353"/>
      <c r="AJ1129" s="353"/>
      <c r="AK1129" s="353"/>
      <c r="AL1129" s="353"/>
      <c r="AM1129" s="409">
        <f>AM1127-AM1128</f>
        <v>0</v>
      </c>
    </row>
    <row r="1130" spans="2:39">
      <c r="B1130" s="383"/>
      <c r="C1130" s="447"/>
      <c r="D1130" s="447"/>
      <c r="E1130" s="448"/>
      <c r="F1130" s="448"/>
      <c r="G1130" s="448"/>
      <c r="H1130" s="448"/>
      <c r="I1130" s="448"/>
      <c r="J1130" s="448"/>
      <c r="K1130" s="448"/>
      <c r="L1130" s="448"/>
      <c r="M1130" s="448"/>
      <c r="N1130" s="448"/>
      <c r="O1130" s="449"/>
      <c r="P1130" s="448"/>
      <c r="Q1130" s="448"/>
      <c r="R1130" s="448"/>
      <c r="S1130" s="447"/>
      <c r="T1130" s="450"/>
      <c r="U1130" s="447"/>
      <c r="V1130" s="447"/>
      <c r="W1130" s="448"/>
      <c r="X1130" s="448"/>
      <c r="Y1130" s="451"/>
      <c r="Z1130" s="451"/>
      <c r="AA1130" s="451"/>
      <c r="AB1130" s="451"/>
      <c r="AC1130" s="451"/>
      <c r="AD1130" s="451"/>
      <c r="AE1130" s="451"/>
      <c r="AF1130" s="451"/>
      <c r="AG1130" s="451"/>
      <c r="AH1130" s="451"/>
      <c r="AI1130" s="451"/>
      <c r="AJ1130" s="451"/>
      <c r="AK1130" s="451"/>
      <c r="AL1130" s="451"/>
      <c r="AM1130" s="388"/>
    </row>
    <row r="1131" spans="2:39" ht="19.5" customHeight="1">
      <c r="B1131" s="370" t="s">
        <v>592</v>
      </c>
      <c r="C1131" s="389"/>
      <c r="D1131" s="390"/>
      <c r="E1131" s="390"/>
      <c r="F1131" s="390"/>
      <c r="G1131" s="390"/>
      <c r="H1131" s="390"/>
      <c r="I1131" s="390"/>
      <c r="J1131" s="390"/>
      <c r="K1131" s="390"/>
      <c r="L1131" s="390"/>
      <c r="M1131" s="390"/>
      <c r="N1131" s="390"/>
      <c r="O1131" s="390"/>
      <c r="P1131" s="390"/>
      <c r="Q1131" s="390"/>
      <c r="R1131" s="390"/>
      <c r="S1131" s="373"/>
      <c r="T1131" s="374"/>
      <c r="U1131" s="390"/>
      <c r="V1131" s="390"/>
      <c r="W1131" s="390"/>
      <c r="X1131" s="390"/>
      <c r="Y1131" s="411"/>
      <c r="Z1131" s="411"/>
      <c r="AA1131" s="411"/>
      <c r="AB1131" s="411"/>
      <c r="AC1131" s="411"/>
      <c r="AD1131" s="411"/>
      <c r="AE1131" s="411"/>
      <c r="AF1131" s="411"/>
      <c r="AG1131" s="411"/>
      <c r="AH1131" s="411"/>
      <c r="AI1131" s="411"/>
      <c r="AJ1131" s="411"/>
      <c r="AK1131" s="411"/>
      <c r="AL1131" s="411"/>
      <c r="AM1131" s="391"/>
    </row>
    <row r="1133" spans="2:39">
      <c r="B1133" s="590" t="s">
        <v>528</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3:AM403"/>
    <mergeCell ref="Y217:AM217"/>
    <mergeCell ref="N34:N35"/>
    <mergeCell ref="P34:X34"/>
    <mergeCell ref="Y34:AM34"/>
    <mergeCell ref="P403:X403"/>
    <mergeCell ref="B217:B218"/>
    <mergeCell ref="C217:C218"/>
    <mergeCell ref="E217:M217"/>
    <mergeCell ref="N217:N218"/>
    <mergeCell ref="P217:X217"/>
    <mergeCell ref="C403:C404"/>
    <mergeCell ref="E403:M403"/>
    <mergeCell ref="N403:N404"/>
    <mergeCell ref="B586:B587"/>
    <mergeCell ref="C586:C587"/>
    <mergeCell ref="E586:M586"/>
    <mergeCell ref="N586:N587"/>
    <mergeCell ref="B403:B404"/>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2"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54" zoomScale="90" zoomScaleNormal="90" workbookViewId="0">
      <selection activeCell="A149" sqref="A149:XFD163"/>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0"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83" t="s">
        <v>677</v>
      </c>
      <c r="D8" s="883"/>
      <c r="E8" s="883"/>
      <c r="F8" s="883"/>
      <c r="G8" s="883"/>
      <c r="H8" s="883"/>
      <c r="I8" s="883"/>
      <c r="J8" s="883"/>
      <c r="K8" s="883"/>
      <c r="L8" s="883"/>
      <c r="M8" s="883"/>
      <c r="N8" s="883"/>
      <c r="O8" s="883"/>
      <c r="P8" s="883"/>
      <c r="Q8" s="883"/>
      <c r="R8" s="883"/>
      <c r="S8" s="883"/>
      <c r="T8" s="107"/>
      <c r="U8" s="107"/>
      <c r="V8" s="107"/>
      <c r="W8" s="107"/>
    </row>
    <row r="9" spans="1:28" s="9" customFormat="1" ht="45" customHeight="1">
      <c r="B9" s="57"/>
      <c r="C9" s="883" t="s">
        <v>566</v>
      </c>
      <c r="D9" s="883"/>
      <c r="E9" s="883"/>
      <c r="F9" s="883"/>
      <c r="G9" s="883"/>
      <c r="H9" s="883"/>
      <c r="I9" s="883"/>
      <c r="J9" s="883"/>
      <c r="K9" s="883"/>
      <c r="L9" s="883"/>
      <c r="M9" s="883"/>
      <c r="N9" s="883"/>
      <c r="O9" s="883"/>
      <c r="P9" s="883"/>
      <c r="Q9" s="883"/>
      <c r="R9" s="883"/>
      <c r="S9" s="883"/>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82" t="s">
        <v>236</v>
      </c>
      <c r="C12" s="882"/>
      <c r="D12" s="183"/>
      <c r="E12" s="184" t="s">
        <v>237</v>
      </c>
      <c r="F12" s="52"/>
      <c r="G12" s="52"/>
      <c r="H12" s="45"/>
      <c r="I12" s="52"/>
      <c r="K12" s="592"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GS&gt;50 kW</v>
      </c>
      <c r="L14" s="206" t="str">
        <f>'1.  LRAMVA Summary'!G50</f>
        <v>Streetlights</v>
      </c>
      <c r="M14" s="206" t="str">
        <f>'1.  LRAMVA Summary'!H50</f>
        <v>Unmetered Scattered Load</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f>-I27</f>
        <v>0</v>
      </c>
      <c r="J28" s="225">
        <f t="shared" ref="J28:M28" si="3">-J27</f>
        <v>0</v>
      </c>
      <c r="K28" s="225">
        <f t="shared" si="3"/>
        <v>0</v>
      </c>
      <c r="L28" s="225">
        <f t="shared" si="3"/>
        <v>0</v>
      </c>
      <c r="M28" s="225">
        <f t="shared" si="3"/>
        <v>0</v>
      </c>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4">J27+J28</f>
        <v>0</v>
      </c>
      <c r="K29" s="230">
        <f t="shared" si="4"/>
        <v>0</v>
      </c>
      <c r="L29" s="230">
        <f t="shared" si="4"/>
        <v>0</v>
      </c>
      <c r="M29" s="230">
        <f t="shared" si="4"/>
        <v>0</v>
      </c>
      <c r="N29" s="230">
        <f>N27+N28</f>
        <v>0</v>
      </c>
      <c r="O29" s="230">
        <f>O27+O28</f>
        <v>0</v>
      </c>
      <c r="P29" s="230">
        <f t="shared" ref="P29:V29" si="5">P27+P28</f>
        <v>0</v>
      </c>
      <c r="Q29" s="230">
        <f t="shared" si="5"/>
        <v>0</v>
      </c>
      <c r="R29" s="230">
        <f t="shared" si="5"/>
        <v>0</v>
      </c>
      <c r="S29" s="230">
        <f t="shared" si="5"/>
        <v>0</v>
      </c>
      <c r="T29" s="230">
        <f t="shared" si="5"/>
        <v>0</v>
      </c>
      <c r="U29" s="230">
        <f t="shared" si="5"/>
        <v>0</v>
      </c>
      <c r="V29" s="230">
        <f t="shared" si="5"/>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6">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6"/>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6"/>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6"/>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6"/>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6"/>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6"/>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6"/>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6"/>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6"/>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15">
        <v>1.4999999999999999E-2</v>
      </c>
      <c r="D42" s="208"/>
      <c r="E42" s="218" t="s">
        <v>464</v>
      </c>
      <c r="F42" s="218"/>
      <c r="G42" s="219"/>
      <c r="H42" s="236"/>
      <c r="I42" s="221">
        <f>SUM(I29:I41)</f>
        <v>0</v>
      </c>
      <c r="J42" s="221">
        <f t="shared" ref="J42:O42" si="7">SUM(J29:J41)</f>
        <v>0</v>
      </c>
      <c r="K42" s="221">
        <f t="shared" si="7"/>
        <v>0</v>
      </c>
      <c r="L42" s="221">
        <f t="shared" si="7"/>
        <v>0</v>
      </c>
      <c r="M42" s="221">
        <f t="shared" si="7"/>
        <v>0</v>
      </c>
      <c r="N42" s="221">
        <f t="shared" si="7"/>
        <v>0</v>
      </c>
      <c r="O42" s="221">
        <f t="shared" si="7"/>
        <v>0</v>
      </c>
      <c r="P42" s="221">
        <f t="shared" ref="P42:V42" si="8">SUM(P29:P41)</f>
        <v>0</v>
      </c>
      <c r="Q42" s="221">
        <f t="shared" si="8"/>
        <v>0</v>
      </c>
      <c r="R42" s="221">
        <f t="shared" si="8"/>
        <v>0</v>
      </c>
      <c r="S42" s="221">
        <f t="shared" si="8"/>
        <v>0</v>
      </c>
      <c r="T42" s="221">
        <f t="shared" si="8"/>
        <v>0</v>
      </c>
      <c r="U42" s="221">
        <f t="shared" si="8"/>
        <v>0</v>
      </c>
      <c r="V42" s="221">
        <f t="shared" si="8"/>
        <v>0</v>
      </c>
      <c r="W42" s="221">
        <f>SUM(W29:W41)</f>
        <v>0</v>
      </c>
    </row>
    <row r="43" spans="2:23" s="9" customFormat="1" ht="15.75" thickTop="1">
      <c r="B43" s="215" t="s">
        <v>81</v>
      </c>
      <c r="C43" s="215">
        <v>1.4999999999999999E-2</v>
      </c>
      <c r="D43" s="208"/>
      <c r="E43" s="222" t="s">
        <v>67</v>
      </c>
      <c r="F43" s="222"/>
      <c r="G43" s="223"/>
      <c r="H43" s="224"/>
      <c r="I43" s="225">
        <f>-I42</f>
        <v>0</v>
      </c>
      <c r="J43" s="225">
        <f t="shared" ref="J43" si="9">-J42</f>
        <v>0</v>
      </c>
      <c r="K43" s="225">
        <f t="shared" ref="K43" si="10">-K42</f>
        <v>0</v>
      </c>
      <c r="L43" s="225">
        <f t="shared" ref="L43" si="11">-L42</f>
        <v>0</v>
      </c>
      <c r="M43" s="225">
        <f t="shared" ref="M43" si="12">-M42</f>
        <v>0</v>
      </c>
      <c r="N43" s="225"/>
      <c r="O43" s="225"/>
      <c r="P43" s="225"/>
      <c r="Q43" s="225"/>
      <c r="R43" s="225"/>
      <c r="S43" s="225"/>
      <c r="T43" s="225"/>
      <c r="U43" s="225"/>
      <c r="V43" s="225"/>
      <c r="W43" s="226"/>
    </row>
    <row r="44" spans="2:23" s="9" customFormat="1">
      <c r="B44" s="215" t="s">
        <v>82</v>
      </c>
      <c r="C44" s="215">
        <v>1.89E-2</v>
      </c>
      <c r="D44" s="208"/>
      <c r="E44" s="227" t="s">
        <v>428</v>
      </c>
      <c r="F44" s="227"/>
      <c r="G44" s="228"/>
      <c r="H44" s="229"/>
      <c r="I44" s="230">
        <f t="shared" ref="I44:O44" si="13">I42+I43</f>
        <v>0</v>
      </c>
      <c r="J44" s="230">
        <f t="shared" si="13"/>
        <v>0</v>
      </c>
      <c r="K44" s="230">
        <f t="shared" si="13"/>
        <v>0</v>
      </c>
      <c r="L44" s="230">
        <f t="shared" si="13"/>
        <v>0</v>
      </c>
      <c r="M44" s="230">
        <f t="shared" si="13"/>
        <v>0</v>
      </c>
      <c r="N44" s="230">
        <f t="shared" si="13"/>
        <v>0</v>
      </c>
      <c r="O44" s="230">
        <f t="shared" si="13"/>
        <v>0</v>
      </c>
      <c r="P44" s="230">
        <f t="shared" ref="P44:V44" si="14">P42+P43</f>
        <v>0</v>
      </c>
      <c r="Q44" s="230">
        <f t="shared" si="14"/>
        <v>0</v>
      </c>
      <c r="R44" s="230">
        <f t="shared" si="14"/>
        <v>0</v>
      </c>
      <c r="S44" s="230">
        <f t="shared" si="14"/>
        <v>0</v>
      </c>
      <c r="T44" s="230">
        <f t="shared" si="14"/>
        <v>0</v>
      </c>
      <c r="U44" s="230">
        <f t="shared" si="14"/>
        <v>0</v>
      </c>
      <c r="V44" s="230">
        <f t="shared" si="14"/>
        <v>0</v>
      </c>
      <c r="W44" s="230">
        <f>W42+W43</f>
        <v>0</v>
      </c>
    </row>
    <row r="45" spans="2:23" s="9" customFormat="1">
      <c r="B45" s="215" t="s">
        <v>83</v>
      </c>
      <c r="C45" s="235">
        <v>1.89E-2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2.1700000000000001E-2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5">SUM(I46:V46)</f>
        <v>0</v>
      </c>
    </row>
    <row r="47" spans="2:23" s="9" customFormat="1">
      <c r="B47" s="215" t="s">
        <v>85</v>
      </c>
      <c r="C47" s="235">
        <v>2.1700000000000001E-2</v>
      </c>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5"/>
        <v>0</v>
      </c>
    </row>
    <row r="48" spans="2:23" s="9" customFormat="1">
      <c r="B48" s="215" t="s">
        <v>86</v>
      </c>
      <c r="C48" s="235">
        <v>2.1700000000000001E-2</v>
      </c>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5"/>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5"/>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5"/>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5"/>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5"/>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5"/>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5"/>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5"/>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5"/>
        <v>0</v>
      </c>
    </row>
    <row r="57" spans="1:23" s="9" customFormat="1" ht="15.75" thickBot="1">
      <c r="B57" s="27"/>
      <c r="C57" s="27"/>
      <c r="D57" s="208"/>
      <c r="E57" s="218" t="s">
        <v>465</v>
      </c>
      <c r="F57" s="218"/>
      <c r="G57" s="219"/>
      <c r="H57" s="220"/>
      <c r="I57" s="221">
        <f>SUM(I44:I56)</f>
        <v>0</v>
      </c>
      <c r="J57" s="221">
        <f t="shared" ref="J57:O57" si="16">SUM(J44:J56)</f>
        <v>0</v>
      </c>
      <c r="K57" s="221">
        <f t="shared" si="16"/>
        <v>0</v>
      </c>
      <c r="L57" s="221">
        <f t="shared" si="16"/>
        <v>0</v>
      </c>
      <c r="M57" s="221">
        <f t="shared" si="16"/>
        <v>0</v>
      </c>
      <c r="N57" s="221">
        <f t="shared" si="16"/>
        <v>0</v>
      </c>
      <c r="O57" s="221">
        <f t="shared" si="16"/>
        <v>0</v>
      </c>
      <c r="P57" s="221">
        <f t="shared" ref="P57:V57" si="17">SUM(P44:P56)</f>
        <v>0</v>
      </c>
      <c r="Q57" s="221">
        <f t="shared" si="17"/>
        <v>0</v>
      </c>
      <c r="R57" s="221">
        <f t="shared" si="17"/>
        <v>0</v>
      </c>
      <c r="S57" s="221">
        <f t="shared" si="17"/>
        <v>0</v>
      </c>
      <c r="T57" s="221">
        <f t="shared" si="17"/>
        <v>0</v>
      </c>
      <c r="U57" s="221">
        <f t="shared" si="17"/>
        <v>0</v>
      </c>
      <c r="V57" s="221">
        <f t="shared" si="17"/>
        <v>0</v>
      </c>
      <c r="W57" s="221">
        <f>SUM(W44:W56)</f>
        <v>0</v>
      </c>
    </row>
    <row r="58" spans="1:23" s="9" customFormat="1" ht="15.75" thickTop="1">
      <c r="D58" s="208"/>
      <c r="E58" s="222" t="s">
        <v>67</v>
      </c>
      <c r="F58" s="222"/>
      <c r="G58" s="223"/>
      <c r="H58" s="224"/>
      <c r="I58" s="225">
        <f>-I57</f>
        <v>0</v>
      </c>
      <c r="J58" s="225">
        <f t="shared" ref="J58" si="18">-J57</f>
        <v>0</v>
      </c>
      <c r="K58" s="225">
        <f t="shared" ref="K58" si="19">-K57</f>
        <v>0</v>
      </c>
      <c r="L58" s="225">
        <f t="shared" ref="L58" si="20">-L57</f>
        <v>0</v>
      </c>
      <c r="M58" s="225">
        <f t="shared" ref="M58" si="21">-M57</f>
        <v>0</v>
      </c>
      <c r="N58" s="225"/>
      <c r="O58" s="225"/>
      <c r="P58" s="225"/>
      <c r="Q58" s="225"/>
      <c r="R58" s="225"/>
      <c r="S58" s="225"/>
      <c r="T58" s="225"/>
      <c r="U58" s="225"/>
      <c r="V58" s="225"/>
      <c r="W58" s="226"/>
    </row>
    <row r="59" spans="1:23" s="9" customFormat="1">
      <c r="D59" s="208"/>
      <c r="E59" s="227" t="s">
        <v>429</v>
      </c>
      <c r="F59" s="227"/>
      <c r="G59" s="228"/>
      <c r="H59" s="229"/>
      <c r="I59" s="230">
        <f t="shared" ref="I59:W59" si="22">I57+I58</f>
        <v>0</v>
      </c>
      <c r="J59" s="230">
        <f t="shared" si="22"/>
        <v>0</v>
      </c>
      <c r="K59" s="230">
        <f t="shared" si="22"/>
        <v>0</v>
      </c>
      <c r="L59" s="230">
        <f t="shared" si="22"/>
        <v>0</v>
      </c>
      <c r="M59" s="230">
        <f t="shared" si="22"/>
        <v>0</v>
      </c>
      <c r="N59" s="230">
        <f t="shared" si="22"/>
        <v>0</v>
      </c>
      <c r="O59" s="230">
        <f t="shared" si="22"/>
        <v>0</v>
      </c>
      <c r="P59" s="230">
        <f t="shared" ref="P59:V59" si="23">P57+P58</f>
        <v>0</v>
      </c>
      <c r="Q59" s="230">
        <f t="shared" si="23"/>
        <v>0</v>
      </c>
      <c r="R59" s="230">
        <f t="shared" si="23"/>
        <v>0</v>
      </c>
      <c r="S59" s="230">
        <f t="shared" si="23"/>
        <v>0</v>
      </c>
      <c r="T59" s="230">
        <f t="shared" si="23"/>
        <v>0</v>
      </c>
      <c r="U59" s="230">
        <f t="shared" si="23"/>
        <v>0</v>
      </c>
      <c r="V59" s="230">
        <f t="shared" si="23"/>
        <v>0</v>
      </c>
      <c r="W59" s="230">
        <f t="shared" si="22"/>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24">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24"/>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24"/>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24"/>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24"/>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24"/>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24"/>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24"/>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24"/>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24"/>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24"/>
        <v>0</v>
      </c>
    </row>
    <row r="72" spans="2:23" s="9" customFormat="1" ht="15.75" thickBot="1">
      <c r="B72" s="68"/>
      <c r="E72" s="218" t="s">
        <v>466</v>
      </c>
      <c r="F72" s="218"/>
      <c r="G72" s="219"/>
      <c r="H72" s="220"/>
      <c r="I72" s="221">
        <f>SUM(I59:I71)</f>
        <v>0</v>
      </c>
      <c r="J72" s="221">
        <f t="shared" ref="J72:V72" si="25">SUM(J59:J71)</f>
        <v>0</v>
      </c>
      <c r="K72" s="221">
        <f t="shared" si="25"/>
        <v>0</v>
      </c>
      <c r="L72" s="221">
        <f t="shared" si="25"/>
        <v>0</v>
      </c>
      <c r="M72" s="221">
        <f t="shared" si="25"/>
        <v>0</v>
      </c>
      <c r="N72" s="221">
        <f t="shared" si="25"/>
        <v>0</v>
      </c>
      <c r="O72" s="221">
        <f t="shared" si="25"/>
        <v>0</v>
      </c>
      <c r="P72" s="221">
        <f t="shared" si="25"/>
        <v>0</v>
      </c>
      <c r="Q72" s="221">
        <f t="shared" si="25"/>
        <v>0</v>
      </c>
      <c r="R72" s="221">
        <f t="shared" si="25"/>
        <v>0</v>
      </c>
      <c r="S72" s="221">
        <f t="shared" si="25"/>
        <v>0</v>
      </c>
      <c r="T72" s="221">
        <f t="shared" si="25"/>
        <v>0</v>
      </c>
      <c r="U72" s="221">
        <f t="shared" si="25"/>
        <v>0</v>
      </c>
      <c r="V72" s="221">
        <f t="shared" si="25"/>
        <v>0</v>
      </c>
      <c r="W72" s="221">
        <f>SUM(W59:W71)</f>
        <v>0</v>
      </c>
    </row>
    <row r="73" spans="2:23" s="9" customFormat="1" ht="15.75" thickTop="1">
      <c r="B73" s="68"/>
      <c r="E73" s="222" t="s">
        <v>67</v>
      </c>
      <c r="F73" s="222"/>
      <c r="G73" s="223"/>
      <c r="H73" s="224"/>
      <c r="I73" s="225">
        <f>-I72</f>
        <v>0</v>
      </c>
      <c r="J73" s="225">
        <f t="shared" ref="J73" si="26">-J72</f>
        <v>0</v>
      </c>
      <c r="K73" s="225">
        <f t="shared" ref="K73" si="27">-K72</f>
        <v>0</v>
      </c>
      <c r="L73" s="225">
        <f t="shared" ref="L73" si="28">-L72</f>
        <v>0</v>
      </c>
      <c r="M73" s="225">
        <f t="shared" ref="M73" si="29">-M72</f>
        <v>0</v>
      </c>
      <c r="N73" s="225"/>
      <c r="O73" s="225"/>
      <c r="P73" s="225"/>
      <c r="Q73" s="225"/>
      <c r="R73" s="225"/>
      <c r="S73" s="225"/>
      <c r="T73" s="225"/>
      <c r="U73" s="225"/>
      <c r="V73" s="225"/>
      <c r="W73" s="226"/>
    </row>
    <row r="74" spans="2:23" s="9" customFormat="1">
      <c r="B74" s="68"/>
      <c r="E74" s="227" t="s">
        <v>430</v>
      </c>
      <c r="F74" s="227"/>
      <c r="G74" s="228"/>
      <c r="H74" s="229"/>
      <c r="I74" s="230">
        <f t="shared" ref="I74:O74" si="30">I72+I73</f>
        <v>0</v>
      </c>
      <c r="J74" s="230">
        <f t="shared" si="30"/>
        <v>0</v>
      </c>
      <c r="K74" s="230">
        <f t="shared" si="30"/>
        <v>0</v>
      </c>
      <c r="L74" s="230">
        <f t="shared" si="30"/>
        <v>0</v>
      </c>
      <c r="M74" s="230">
        <f t="shared" si="30"/>
        <v>0</v>
      </c>
      <c r="N74" s="230">
        <f t="shared" si="30"/>
        <v>0</v>
      </c>
      <c r="O74" s="230">
        <f t="shared" si="30"/>
        <v>0</v>
      </c>
      <c r="P74" s="230">
        <f t="shared" ref="P74:V74" si="31">P72+P73</f>
        <v>0</v>
      </c>
      <c r="Q74" s="230">
        <f t="shared" si="31"/>
        <v>0</v>
      </c>
      <c r="R74" s="230">
        <f t="shared" si="31"/>
        <v>0</v>
      </c>
      <c r="S74" s="230">
        <f t="shared" si="31"/>
        <v>0</v>
      </c>
      <c r="T74" s="230">
        <f t="shared" si="31"/>
        <v>0</v>
      </c>
      <c r="U74" s="230">
        <f t="shared" si="31"/>
        <v>0</v>
      </c>
      <c r="V74" s="230">
        <f t="shared" si="31"/>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32">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32"/>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33">SUM(I78:V78)</f>
        <v>0</v>
      </c>
    </row>
    <row r="79" spans="2:23" s="9" customFormat="1">
      <c r="B79" s="68"/>
      <c r="E79" s="216">
        <v>42125</v>
      </c>
      <c r="F79" s="216" t="s">
        <v>182</v>
      </c>
      <c r="G79" s="217" t="s">
        <v>66</v>
      </c>
      <c r="H79" s="231">
        <f t="shared" ref="H79:H80" si="34">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33"/>
        <v>0</v>
      </c>
    </row>
    <row r="80" spans="2:23" s="9" customFormat="1">
      <c r="B80" s="68"/>
      <c r="E80" s="216">
        <v>42156</v>
      </c>
      <c r="F80" s="216" t="s">
        <v>182</v>
      </c>
      <c r="G80" s="217" t="s">
        <v>66</v>
      </c>
      <c r="H80" s="231">
        <f t="shared" si="34"/>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33"/>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33"/>
        <v>0</v>
      </c>
    </row>
    <row r="82" spans="2:23" s="9" customFormat="1">
      <c r="B82" s="68"/>
      <c r="E82" s="216">
        <v>42217</v>
      </c>
      <c r="F82" s="216" t="s">
        <v>182</v>
      </c>
      <c r="G82" s="217" t="s">
        <v>68</v>
      </c>
      <c r="H82" s="231">
        <f t="shared" ref="H82:H83" si="35">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33"/>
        <v>0</v>
      </c>
    </row>
    <row r="83" spans="2:23" s="9" customFormat="1">
      <c r="B83" s="68"/>
      <c r="E83" s="216">
        <v>42248</v>
      </c>
      <c r="F83" s="216" t="s">
        <v>182</v>
      </c>
      <c r="G83" s="217" t="s">
        <v>68</v>
      </c>
      <c r="H83" s="231">
        <f t="shared" si="35"/>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33"/>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33"/>
        <v>0</v>
      </c>
    </row>
    <row r="85" spans="2:23" s="9" customFormat="1">
      <c r="B85" s="68"/>
      <c r="E85" s="216">
        <v>42309</v>
      </c>
      <c r="F85" s="216" t="s">
        <v>182</v>
      </c>
      <c r="G85" s="217" t="s">
        <v>69</v>
      </c>
      <c r="H85" s="231">
        <f t="shared" ref="H85:H86" si="36">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33"/>
        <v>0</v>
      </c>
    </row>
    <row r="86" spans="2:23" s="9" customFormat="1">
      <c r="B86" s="68"/>
      <c r="E86" s="216">
        <v>42339</v>
      </c>
      <c r="F86" s="216" t="s">
        <v>182</v>
      </c>
      <c r="G86" s="217" t="s">
        <v>69</v>
      </c>
      <c r="H86" s="231">
        <f t="shared" si="36"/>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33"/>
        <v>0</v>
      </c>
    </row>
    <row r="87" spans="2:23" s="9" customFormat="1" ht="15.75" thickBot="1">
      <c r="B87" s="68"/>
      <c r="E87" s="218" t="s">
        <v>467</v>
      </c>
      <c r="F87" s="218"/>
      <c r="G87" s="219"/>
      <c r="H87" s="220"/>
      <c r="I87" s="221">
        <f>SUM(I74:I86)</f>
        <v>0</v>
      </c>
      <c r="J87" s="221">
        <f>SUM(J74:J86)</f>
        <v>0</v>
      </c>
      <c r="K87" s="221">
        <f t="shared" ref="K87:O87" si="37">SUM(K74:K86)</f>
        <v>0</v>
      </c>
      <c r="L87" s="221">
        <f t="shared" si="37"/>
        <v>0</v>
      </c>
      <c r="M87" s="221">
        <f t="shared" si="37"/>
        <v>0</v>
      </c>
      <c r="N87" s="221">
        <f t="shared" si="37"/>
        <v>0</v>
      </c>
      <c r="O87" s="221">
        <f t="shared" si="37"/>
        <v>0</v>
      </c>
      <c r="P87" s="221">
        <f t="shared" ref="P87:V87" si="38">SUM(P74:P86)</f>
        <v>0</v>
      </c>
      <c r="Q87" s="221">
        <f t="shared" si="38"/>
        <v>0</v>
      </c>
      <c r="R87" s="221">
        <f t="shared" si="38"/>
        <v>0</v>
      </c>
      <c r="S87" s="221">
        <f t="shared" si="38"/>
        <v>0</v>
      </c>
      <c r="T87" s="221">
        <f t="shared" si="38"/>
        <v>0</v>
      </c>
      <c r="U87" s="221">
        <f t="shared" si="38"/>
        <v>0</v>
      </c>
      <c r="V87" s="221">
        <f t="shared" si="38"/>
        <v>0</v>
      </c>
      <c r="W87" s="221">
        <f>SUM(W74:W86)</f>
        <v>0</v>
      </c>
    </row>
    <row r="88" spans="2:23" s="9" customFormat="1" ht="15.75" thickTop="1">
      <c r="B88" s="68"/>
      <c r="E88" s="222" t="s">
        <v>67</v>
      </c>
      <c r="F88" s="222"/>
      <c r="G88" s="223"/>
      <c r="H88" s="224"/>
      <c r="I88" s="225">
        <f>-I87</f>
        <v>0</v>
      </c>
      <c r="J88" s="225">
        <f t="shared" ref="J88" si="39">-J87</f>
        <v>0</v>
      </c>
      <c r="K88" s="225">
        <f t="shared" ref="K88" si="40">-K87</f>
        <v>0</v>
      </c>
      <c r="L88" s="225">
        <f t="shared" ref="L88" si="41">-L87</f>
        <v>0</v>
      </c>
      <c r="M88" s="225">
        <f t="shared" ref="M88" si="42">-M87</f>
        <v>0</v>
      </c>
      <c r="N88" s="225"/>
      <c r="O88" s="225"/>
      <c r="P88" s="225"/>
      <c r="Q88" s="225"/>
      <c r="R88" s="225"/>
      <c r="S88" s="225"/>
      <c r="T88" s="225"/>
      <c r="U88" s="225"/>
      <c r="V88" s="225"/>
      <c r="W88" s="226"/>
    </row>
    <row r="89" spans="2:23" s="9" customFormat="1">
      <c r="B89" s="68"/>
      <c r="E89" s="227" t="s">
        <v>431</v>
      </c>
      <c r="F89" s="227"/>
      <c r="G89" s="228"/>
      <c r="H89" s="229"/>
      <c r="I89" s="230">
        <f>I87+I88</f>
        <v>0</v>
      </c>
      <c r="J89" s="230">
        <f t="shared" ref="J89" si="43">J87+J88</f>
        <v>0</v>
      </c>
      <c r="K89" s="230">
        <f t="shared" ref="K89" si="44">K87+K88</f>
        <v>0</v>
      </c>
      <c r="L89" s="230">
        <f t="shared" ref="L89" si="45">L87+L88</f>
        <v>0</v>
      </c>
      <c r="M89" s="230">
        <f t="shared" ref="M89" si="46">M87+M88</f>
        <v>0</v>
      </c>
      <c r="N89" s="230">
        <f t="shared" ref="N89" si="47">N87+N88</f>
        <v>0</v>
      </c>
      <c r="O89" s="230">
        <f t="shared" ref="O89:U89" si="48">O87+O88</f>
        <v>0</v>
      </c>
      <c r="P89" s="230">
        <f t="shared" si="48"/>
        <v>0</v>
      </c>
      <c r="Q89" s="230">
        <f t="shared" si="48"/>
        <v>0</v>
      </c>
      <c r="R89" s="230">
        <f t="shared" si="48"/>
        <v>0</v>
      </c>
      <c r="S89" s="230">
        <f t="shared" si="48"/>
        <v>0</v>
      </c>
      <c r="T89" s="230">
        <f t="shared" si="48"/>
        <v>0</v>
      </c>
      <c r="U89" s="230">
        <f t="shared" si="48"/>
        <v>0</v>
      </c>
      <c r="V89" s="230">
        <f t="shared" ref="V89" si="49">V87+V88</f>
        <v>0</v>
      </c>
      <c r="W89" s="230">
        <f t="shared" ref="W89" si="50">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51">$C$35/12</f>
        <v>9.1666666666666665E-4</v>
      </c>
      <c r="I91" s="232">
        <f>(SUM('1.  LRAMVA Summary'!D$52:D$66)+SUM('1.  LRAMVA Summary'!D$67:D$68)*(MONTH($E91)-1)/12)*$H91</f>
        <v>2.7604116563836651</v>
      </c>
      <c r="J91" s="232">
        <f>(SUM('1.  LRAMVA Summary'!E$52:E$66)+SUM('1.  LRAMVA Summary'!E$67:E$68)*(MONTH($E91)-1)/12)*$H91</f>
        <v>4.8175678816534475</v>
      </c>
      <c r="K91" s="232">
        <f>(SUM('1.  LRAMVA Summary'!F$52:F$66)+SUM('1.  LRAMVA Summary'!F$67:F$68)*(MONTH($E91)-1)/12)*$H91</f>
        <v>-1.7388276867982269</v>
      </c>
      <c r="L91" s="232">
        <f>(SUM('1.  LRAMVA Summary'!G$52:G$66)+SUM('1.  LRAMVA Summary'!G$67:G$68)*(MONTH($E91)-1)/12)*$H91</f>
        <v>-0.22573020555555554</v>
      </c>
      <c r="M91" s="232">
        <f>(SUM('1.  LRAMVA Summary'!H$52:H$66)+SUM('1.  LRAMVA Summary'!H$67:H$68)*(MONTH($E91)-1)/12)*$H91</f>
        <v>-4.2221055555555559E-3</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52">SUM(I91:V91)</f>
        <v>5.6091995401277748</v>
      </c>
    </row>
    <row r="92" spans="2:23" s="9" customFormat="1" ht="14.25" customHeight="1">
      <c r="B92" s="68"/>
      <c r="E92" s="216">
        <v>42430</v>
      </c>
      <c r="F92" s="216" t="s">
        <v>184</v>
      </c>
      <c r="G92" s="217" t="s">
        <v>65</v>
      </c>
      <c r="H92" s="231">
        <f t="shared" si="51"/>
        <v>9.1666666666666665E-4</v>
      </c>
      <c r="I92" s="232">
        <f>(SUM('1.  LRAMVA Summary'!D$52:D$66)+SUM('1.  LRAMVA Summary'!D$67:D$68)*(MONTH($E92)-1)/12)*$H92</f>
        <v>5.5208233127673303</v>
      </c>
      <c r="J92" s="232">
        <f>(SUM('1.  LRAMVA Summary'!E$52:E$66)+SUM('1.  LRAMVA Summary'!E$67:E$68)*(MONTH($E92)-1)/12)*$H92</f>
        <v>9.635135763306895</v>
      </c>
      <c r="K92" s="232">
        <f>(SUM('1.  LRAMVA Summary'!F$52:F$66)+SUM('1.  LRAMVA Summary'!F$67:F$68)*(MONTH($E92)-1)/12)*$H92</f>
        <v>-3.4776553735964537</v>
      </c>
      <c r="L92" s="232">
        <f>(SUM('1.  LRAMVA Summary'!G$52:G$66)+SUM('1.  LRAMVA Summary'!G$67:G$68)*(MONTH($E92)-1)/12)*$H92</f>
        <v>-0.45146041111111107</v>
      </c>
      <c r="M92" s="232">
        <f>(SUM('1.  LRAMVA Summary'!H$52:H$66)+SUM('1.  LRAMVA Summary'!H$67:H$68)*(MONTH($E92)-1)/12)*$H92</f>
        <v>-8.4442111111111117E-3</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52"/>
        <v>11.21839908025555</v>
      </c>
    </row>
    <row r="93" spans="2:23" s="8" customFormat="1">
      <c r="B93" s="241"/>
      <c r="D93" s="9"/>
      <c r="E93" s="216">
        <v>42461</v>
      </c>
      <c r="F93" s="216" t="s">
        <v>184</v>
      </c>
      <c r="G93" s="217" t="s">
        <v>66</v>
      </c>
      <c r="H93" s="231">
        <f>$C$36/12</f>
        <v>9.1666666666666665E-4</v>
      </c>
      <c r="I93" s="232">
        <f>(SUM('1.  LRAMVA Summary'!D$52:D$66)+SUM('1.  LRAMVA Summary'!D$67:D$68)*(MONTH($E93)-1)/12)*$H93</f>
        <v>8.2812349691509954</v>
      </c>
      <c r="J93" s="232">
        <f>(SUM('1.  LRAMVA Summary'!E$52:E$66)+SUM('1.  LRAMVA Summary'!E$67:E$68)*(MONTH($E93)-1)/12)*$H93</f>
        <v>14.452703644960341</v>
      </c>
      <c r="K93" s="232">
        <f>(SUM('1.  LRAMVA Summary'!F$52:F$66)+SUM('1.  LRAMVA Summary'!F$67:F$68)*(MONTH($E93)-1)/12)*$H93</f>
        <v>-5.2164830603946797</v>
      </c>
      <c r="L93" s="232">
        <f>(SUM('1.  LRAMVA Summary'!G$52:G$66)+SUM('1.  LRAMVA Summary'!G$67:G$68)*(MONTH($E93)-1)/12)*$H93</f>
        <v>-0.67719061666666658</v>
      </c>
      <c r="M93" s="232">
        <f>(SUM('1.  LRAMVA Summary'!H$52:H$66)+SUM('1.  LRAMVA Summary'!H$67:H$68)*(MONTH($E93)-1)/12)*$H93</f>
        <v>-1.2666316666666667E-2</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52"/>
        <v>16.827598620383323</v>
      </c>
    </row>
    <row r="94" spans="2:23" s="9" customFormat="1">
      <c r="B94" s="68"/>
      <c r="E94" s="216">
        <v>42491</v>
      </c>
      <c r="F94" s="216" t="s">
        <v>184</v>
      </c>
      <c r="G94" s="217" t="s">
        <v>66</v>
      </c>
      <c r="H94" s="231">
        <f t="shared" ref="H94:H95" si="53">$C$36/12</f>
        <v>9.1666666666666665E-4</v>
      </c>
      <c r="I94" s="232">
        <f>(SUM('1.  LRAMVA Summary'!D$52:D$66)+SUM('1.  LRAMVA Summary'!D$67:D$68)*(MONTH($E94)-1)/12)*$H94</f>
        <v>11.041646625534661</v>
      </c>
      <c r="J94" s="232">
        <f>(SUM('1.  LRAMVA Summary'!E$52:E$66)+SUM('1.  LRAMVA Summary'!E$67:E$68)*(MONTH($E94)-1)/12)*$H94</f>
        <v>19.27027152661379</v>
      </c>
      <c r="K94" s="232">
        <f>(SUM('1.  LRAMVA Summary'!F$52:F$66)+SUM('1.  LRAMVA Summary'!F$67:F$68)*(MONTH($E94)-1)/12)*$H94</f>
        <v>-6.9553107471929074</v>
      </c>
      <c r="L94" s="232">
        <f>(SUM('1.  LRAMVA Summary'!G$52:G$66)+SUM('1.  LRAMVA Summary'!G$67:G$68)*(MONTH($E94)-1)/12)*$H94</f>
        <v>-0.90292082222222214</v>
      </c>
      <c r="M94" s="232">
        <f>(SUM('1.  LRAMVA Summary'!H$52:H$66)+SUM('1.  LRAMVA Summary'!H$67:H$68)*(MONTH($E94)-1)/12)*$H94</f>
        <v>-1.6888422222222223E-2</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52"/>
        <v>22.436798160511099</v>
      </c>
    </row>
    <row r="95" spans="2:23" s="240" customFormat="1">
      <c r="B95" s="239"/>
      <c r="D95" s="9"/>
      <c r="E95" s="216">
        <v>42522</v>
      </c>
      <c r="F95" s="216" t="s">
        <v>184</v>
      </c>
      <c r="G95" s="217" t="s">
        <v>66</v>
      </c>
      <c r="H95" s="231">
        <f t="shared" si="53"/>
        <v>9.1666666666666665E-4</v>
      </c>
      <c r="I95" s="232">
        <f>(SUM('1.  LRAMVA Summary'!D$52:D$66)+SUM('1.  LRAMVA Summary'!D$67:D$68)*(MONTH($E95)-1)/12)*$H95</f>
        <v>13.802058281918324</v>
      </c>
      <c r="J95" s="232">
        <f>(SUM('1.  LRAMVA Summary'!E$52:E$66)+SUM('1.  LRAMVA Summary'!E$67:E$68)*(MONTH($E95)-1)/12)*$H95</f>
        <v>24.087839408267236</v>
      </c>
      <c r="K95" s="232">
        <f>(SUM('1.  LRAMVA Summary'!F$52:F$66)+SUM('1.  LRAMVA Summary'!F$67:F$68)*(MONTH($E95)-1)/12)*$H95</f>
        <v>-8.6941384339911352</v>
      </c>
      <c r="L95" s="232">
        <f>(SUM('1.  LRAMVA Summary'!G$52:G$66)+SUM('1.  LRAMVA Summary'!G$67:G$68)*(MONTH($E95)-1)/12)*$H95</f>
        <v>-1.1286510277777777</v>
      </c>
      <c r="M95" s="232">
        <f>(SUM('1.  LRAMVA Summary'!H$52:H$66)+SUM('1.  LRAMVA Summary'!H$67:H$68)*(MONTH($E95)-1)/12)*$H95</f>
        <v>-2.1110527777777777E-2</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52"/>
        <v>28.045997700638871</v>
      </c>
    </row>
    <row r="96" spans="2:23" s="9" customFormat="1">
      <c r="B96" s="68"/>
      <c r="E96" s="216">
        <v>42552</v>
      </c>
      <c r="F96" s="216" t="s">
        <v>184</v>
      </c>
      <c r="G96" s="217" t="s">
        <v>68</v>
      </c>
      <c r="H96" s="231">
        <f>$C$37/12</f>
        <v>9.1666666666666665E-4</v>
      </c>
      <c r="I96" s="232">
        <f>(SUM('1.  LRAMVA Summary'!D$52:D$66)+SUM('1.  LRAMVA Summary'!D$67:D$68)*(MONTH($E96)-1)/12)*$H96</f>
        <v>16.562469938301991</v>
      </c>
      <c r="J96" s="232">
        <f>(SUM('1.  LRAMVA Summary'!E$52:E$66)+SUM('1.  LRAMVA Summary'!E$67:E$68)*(MONTH($E96)-1)/12)*$H96</f>
        <v>28.905407289920682</v>
      </c>
      <c r="K96" s="232">
        <f>(SUM('1.  LRAMVA Summary'!F$52:F$66)+SUM('1.  LRAMVA Summary'!F$67:F$68)*(MONTH($E96)-1)/12)*$H96</f>
        <v>-10.432966120789359</v>
      </c>
      <c r="L96" s="232">
        <f>(SUM('1.  LRAMVA Summary'!G$52:G$66)+SUM('1.  LRAMVA Summary'!G$67:G$68)*(MONTH($E96)-1)/12)*$H96</f>
        <v>-1.3543812333333332</v>
      </c>
      <c r="M96" s="232">
        <f>(SUM('1.  LRAMVA Summary'!H$52:H$66)+SUM('1.  LRAMVA Summary'!H$67:H$68)*(MONTH($E96)-1)/12)*$H96</f>
        <v>-2.5332633333333333E-2</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52"/>
        <v>33.655197240766647</v>
      </c>
    </row>
    <row r="97" spans="2:23" s="9" customFormat="1">
      <c r="B97" s="68"/>
      <c r="E97" s="216">
        <v>42583</v>
      </c>
      <c r="F97" s="216" t="s">
        <v>184</v>
      </c>
      <c r="G97" s="217" t="s">
        <v>68</v>
      </c>
      <c r="H97" s="231">
        <f t="shared" ref="H97:H98" si="54">$C$37/12</f>
        <v>9.1666666666666665E-4</v>
      </c>
      <c r="I97" s="232">
        <f>(SUM('1.  LRAMVA Summary'!D$52:D$66)+SUM('1.  LRAMVA Summary'!D$67:D$68)*(MONTH($E97)-1)/12)*$H97</f>
        <v>19.322881594685658</v>
      </c>
      <c r="J97" s="232">
        <f>(SUM('1.  LRAMVA Summary'!E$52:E$66)+SUM('1.  LRAMVA Summary'!E$67:E$68)*(MONTH($E97)-1)/12)*$H97</f>
        <v>33.722975171574134</v>
      </c>
      <c r="K97" s="232">
        <f>(SUM('1.  LRAMVA Summary'!F$52:F$66)+SUM('1.  LRAMVA Summary'!F$67:F$68)*(MONTH($E97)-1)/12)*$H97</f>
        <v>-12.171793807587589</v>
      </c>
      <c r="L97" s="232">
        <f>(SUM('1.  LRAMVA Summary'!G$52:G$66)+SUM('1.  LRAMVA Summary'!G$67:G$68)*(MONTH($E97)-1)/12)*$H97</f>
        <v>-1.5801114388888888</v>
      </c>
      <c r="M97" s="232">
        <f>(SUM('1.  LRAMVA Summary'!H$52:H$66)+SUM('1.  LRAMVA Summary'!H$67:H$68)*(MONTH($E97)-1)/12)*$H97</f>
        <v>-2.9554738888888883E-2</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52"/>
        <v>39.264396780894415</v>
      </c>
    </row>
    <row r="98" spans="2:23" s="9" customFormat="1">
      <c r="B98" s="68"/>
      <c r="E98" s="216">
        <v>42614</v>
      </c>
      <c r="F98" s="216" t="s">
        <v>184</v>
      </c>
      <c r="G98" s="217" t="s">
        <v>68</v>
      </c>
      <c r="H98" s="231">
        <f t="shared" si="54"/>
        <v>9.1666666666666665E-4</v>
      </c>
      <c r="I98" s="232">
        <f>(SUM('1.  LRAMVA Summary'!D$52:D$66)+SUM('1.  LRAMVA Summary'!D$67:D$68)*(MONTH($E98)-1)/12)*$H98</f>
        <v>22.083293251069321</v>
      </c>
      <c r="J98" s="232">
        <f>(SUM('1.  LRAMVA Summary'!E$52:E$66)+SUM('1.  LRAMVA Summary'!E$67:E$68)*(MONTH($E98)-1)/12)*$H98</f>
        <v>38.54054305322758</v>
      </c>
      <c r="K98" s="232">
        <f>(SUM('1.  LRAMVA Summary'!F$52:F$66)+SUM('1.  LRAMVA Summary'!F$67:F$68)*(MONTH($E98)-1)/12)*$H98</f>
        <v>-13.910621494385815</v>
      </c>
      <c r="L98" s="232">
        <f>(SUM('1.  LRAMVA Summary'!G$52:G$66)+SUM('1.  LRAMVA Summary'!G$67:G$68)*(MONTH($E98)-1)/12)*$H98</f>
        <v>-1.8058416444444443</v>
      </c>
      <c r="M98" s="232">
        <f>(SUM('1.  LRAMVA Summary'!H$52:H$66)+SUM('1.  LRAMVA Summary'!H$67:H$68)*(MONTH($E98)-1)/12)*$H98</f>
        <v>-3.3776844444444447E-2</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52"/>
        <v>44.873596321022198</v>
      </c>
    </row>
    <row r="99" spans="2:23" s="9" customFormat="1">
      <c r="B99" s="68"/>
      <c r="E99" s="216">
        <v>42644</v>
      </c>
      <c r="F99" s="216" t="s">
        <v>184</v>
      </c>
      <c r="G99" s="217" t="s">
        <v>69</v>
      </c>
      <c r="H99" s="212">
        <f>$C$38/12</f>
        <v>9.1666666666666665E-4</v>
      </c>
      <c r="I99" s="232">
        <f>(SUM('1.  LRAMVA Summary'!D$52:D$66)+SUM('1.  LRAMVA Summary'!D$67:D$68)*(MONTH($E99)-1)/12)*$H99</f>
        <v>24.843704907452985</v>
      </c>
      <c r="J99" s="232">
        <f>(SUM('1.  LRAMVA Summary'!E$52:E$66)+SUM('1.  LRAMVA Summary'!E$67:E$68)*(MONTH($E99)-1)/12)*$H99</f>
        <v>43.358110934881019</v>
      </c>
      <c r="K99" s="232">
        <f>(SUM('1.  LRAMVA Summary'!F$52:F$66)+SUM('1.  LRAMVA Summary'!F$67:F$68)*(MONTH($E99)-1)/12)*$H99</f>
        <v>-15.649449181184044</v>
      </c>
      <c r="L99" s="232">
        <f>(SUM('1.  LRAMVA Summary'!G$52:G$66)+SUM('1.  LRAMVA Summary'!G$67:G$68)*(MONTH($E99)-1)/12)*$H99</f>
        <v>-2.0315718499999997</v>
      </c>
      <c r="M99" s="232">
        <f>(SUM('1.  LRAMVA Summary'!H$52:H$66)+SUM('1.  LRAMVA Summary'!H$67:H$68)*(MONTH($E99)-1)/12)*$H99</f>
        <v>-3.7998950000000004E-2</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52"/>
        <v>50.482795861149953</v>
      </c>
    </row>
    <row r="100" spans="2:23" s="9" customFormat="1">
      <c r="B100" s="68"/>
      <c r="E100" s="216">
        <v>42675</v>
      </c>
      <c r="F100" s="216" t="s">
        <v>184</v>
      </c>
      <c r="G100" s="217" t="s">
        <v>69</v>
      </c>
      <c r="H100" s="212">
        <f t="shared" ref="H100:H101" si="55">$C$38/12</f>
        <v>9.1666666666666665E-4</v>
      </c>
      <c r="I100" s="232">
        <f>(SUM('1.  LRAMVA Summary'!D$52:D$66)+SUM('1.  LRAMVA Summary'!D$67:D$68)*(MONTH($E100)-1)/12)*$H100</f>
        <v>27.604116563836648</v>
      </c>
      <c r="J100" s="232">
        <f>(SUM('1.  LRAMVA Summary'!E$52:E$66)+SUM('1.  LRAMVA Summary'!E$67:E$68)*(MONTH($E100)-1)/12)*$H100</f>
        <v>48.175678816534472</v>
      </c>
      <c r="K100" s="232">
        <f>(SUM('1.  LRAMVA Summary'!F$52:F$66)+SUM('1.  LRAMVA Summary'!F$67:F$68)*(MONTH($E100)-1)/12)*$H100</f>
        <v>-17.38827686798227</v>
      </c>
      <c r="L100" s="232">
        <f>(SUM('1.  LRAMVA Summary'!G$52:G$66)+SUM('1.  LRAMVA Summary'!G$67:G$68)*(MONTH($E100)-1)/12)*$H100</f>
        <v>-2.2573020555555554</v>
      </c>
      <c r="M100" s="232">
        <f>(SUM('1.  LRAMVA Summary'!H$52:H$66)+SUM('1.  LRAMVA Summary'!H$67:H$68)*(MONTH($E100)-1)/12)*$H100</f>
        <v>-4.2221055555555553E-2</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52"/>
        <v>56.091995401277742</v>
      </c>
    </row>
    <row r="101" spans="2:23" s="9" customFormat="1">
      <c r="B101" s="68"/>
      <c r="E101" s="216">
        <v>42705</v>
      </c>
      <c r="F101" s="216" t="s">
        <v>184</v>
      </c>
      <c r="G101" s="217" t="s">
        <v>69</v>
      </c>
      <c r="H101" s="212">
        <f t="shared" si="55"/>
        <v>9.1666666666666665E-4</v>
      </c>
      <c r="I101" s="232">
        <f>(SUM('1.  LRAMVA Summary'!D$52:D$66)+SUM('1.  LRAMVA Summary'!D$67:D$68)*(MONTH($E101)-1)/12)*$H101</f>
        <v>30.364528220220315</v>
      </c>
      <c r="J101" s="232">
        <f>(SUM('1.  LRAMVA Summary'!E$52:E$66)+SUM('1.  LRAMVA Summary'!E$67:E$68)*(MONTH($E101)-1)/12)*$H101</f>
        <v>52.993246698187917</v>
      </c>
      <c r="K101" s="232">
        <f>(SUM('1.  LRAMVA Summary'!F$52:F$66)+SUM('1.  LRAMVA Summary'!F$67:F$68)*(MONTH($E101)-1)/12)*$H101</f>
        <v>-19.127104554780495</v>
      </c>
      <c r="L101" s="232">
        <f>(SUM('1.  LRAMVA Summary'!G$52:G$66)+SUM('1.  LRAMVA Summary'!G$67:G$68)*(MONTH($E101)-1)/12)*$H101</f>
        <v>-2.4830322611111111</v>
      </c>
      <c r="M101" s="232">
        <f>(SUM('1.  LRAMVA Summary'!H$52:H$66)+SUM('1.  LRAMVA Summary'!H$67:H$68)*(MONTH($E101)-1)/12)*$H101</f>
        <v>-4.644316111111111E-2</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52"/>
        <v>61.701194941405525</v>
      </c>
    </row>
    <row r="102" spans="2:23" s="9" customFormat="1" ht="15.75" thickBot="1">
      <c r="B102" s="68"/>
      <c r="E102" s="218" t="s">
        <v>468</v>
      </c>
      <c r="F102" s="218"/>
      <c r="G102" s="219"/>
      <c r="H102" s="220"/>
      <c r="I102" s="221">
        <f>SUM(I89:I101)</f>
        <v>182.18716932132187</v>
      </c>
      <c r="J102" s="221">
        <f>SUM(J89:J101)</f>
        <v>317.95948018912753</v>
      </c>
      <c r="K102" s="221">
        <f t="shared" ref="K102:O102" si="56">SUM(K89:K101)</f>
        <v>-114.76262732868298</v>
      </c>
      <c r="L102" s="221">
        <f t="shared" si="56"/>
        <v>-14.898193566666665</v>
      </c>
      <c r="M102" s="221">
        <f t="shared" si="56"/>
        <v>-0.27865896666666667</v>
      </c>
      <c r="N102" s="221">
        <f t="shared" si="56"/>
        <v>0</v>
      </c>
      <c r="O102" s="221">
        <f t="shared" si="56"/>
        <v>0</v>
      </c>
      <c r="P102" s="221">
        <f t="shared" ref="P102:V102" si="57">SUM(P89:P101)</f>
        <v>0</v>
      </c>
      <c r="Q102" s="221">
        <f t="shared" si="57"/>
        <v>0</v>
      </c>
      <c r="R102" s="221">
        <f t="shared" si="57"/>
        <v>0</v>
      </c>
      <c r="S102" s="221">
        <f t="shared" si="57"/>
        <v>0</v>
      </c>
      <c r="T102" s="221">
        <f t="shared" si="57"/>
        <v>0</v>
      </c>
      <c r="U102" s="221">
        <f t="shared" si="57"/>
        <v>0</v>
      </c>
      <c r="V102" s="221">
        <f t="shared" si="57"/>
        <v>0</v>
      </c>
      <c r="W102" s="221">
        <f>SUM(W89:W101)</f>
        <v>370.20716964843308</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c r="B104" s="68"/>
      <c r="E104" s="227" t="s">
        <v>432</v>
      </c>
      <c r="F104" s="227"/>
      <c r="G104" s="228"/>
      <c r="H104" s="229"/>
      <c r="I104" s="230">
        <f>I102+I103</f>
        <v>182.18716932132187</v>
      </c>
      <c r="J104" s="230">
        <f t="shared" ref="J104" si="58">J102+J103</f>
        <v>317.95948018912753</v>
      </c>
      <c r="K104" s="230">
        <f t="shared" ref="K104" si="59">K102+K103</f>
        <v>-114.76262732868298</v>
      </c>
      <c r="L104" s="230">
        <f t="shared" ref="L104" si="60">L102+L103</f>
        <v>-14.898193566666665</v>
      </c>
      <c r="M104" s="230">
        <f t="shared" ref="M104" si="61">M102+M103</f>
        <v>-0.27865896666666667</v>
      </c>
      <c r="N104" s="230">
        <f t="shared" ref="N104" si="62">N102+N103</f>
        <v>0</v>
      </c>
      <c r="O104" s="230">
        <f t="shared" ref="O104:V104" si="63">O102+O103</f>
        <v>0</v>
      </c>
      <c r="P104" s="230">
        <f t="shared" si="63"/>
        <v>0</v>
      </c>
      <c r="Q104" s="230">
        <f t="shared" si="63"/>
        <v>0</v>
      </c>
      <c r="R104" s="230">
        <f t="shared" si="63"/>
        <v>0</v>
      </c>
      <c r="S104" s="230">
        <f t="shared" si="63"/>
        <v>0</v>
      </c>
      <c r="T104" s="230">
        <f t="shared" si="63"/>
        <v>0</v>
      </c>
      <c r="U104" s="230">
        <f t="shared" si="63"/>
        <v>0</v>
      </c>
      <c r="V104" s="230">
        <f t="shared" si="63"/>
        <v>0</v>
      </c>
      <c r="W104" s="230">
        <f t="shared" ref="W104" si="64">W102+W103</f>
        <v>370.20716964843308</v>
      </c>
    </row>
    <row r="105" spans="2:23" s="9" customFormat="1">
      <c r="B105" s="68"/>
      <c r="E105" s="216">
        <v>42736</v>
      </c>
      <c r="F105" s="216" t="s">
        <v>185</v>
      </c>
      <c r="G105" s="217" t="s">
        <v>65</v>
      </c>
      <c r="H105" s="242">
        <f>$C$39/12</f>
        <v>9.1666666666666665E-4</v>
      </c>
      <c r="I105" s="232">
        <f>(SUM('1.  LRAMVA Summary'!D$52:D$69)+SUM('1.  LRAMVA Summary'!D$70:D$71)*(MONTH($E105)-1)/12)*$H105</f>
        <v>33.124939876603982</v>
      </c>
      <c r="J105" s="232">
        <f>(SUM('1.  LRAMVA Summary'!E$52:E$69)+SUM('1.  LRAMVA Summary'!E$70:E$71)*(MONTH($E105)-1)/12)*$H105</f>
        <v>57.810814579841363</v>
      </c>
      <c r="K105" s="232">
        <f>(SUM('1.  LRAMVA Summary'!F$52:F$69)+SUM('1.  LRAMVA Summary'!F$70:F$71)*(MONTH($E105)-1)/12)*$H105</f>
        <v>-20.865932241578722</v>
      </c>
      <c r="L105" s="232">
        <f>(SUM('1.  LRAMVA Summary'!G$52:G$69)+SUM('1.  LRAMVA Summary'!G$70:G$71)*(MONTH($E105)-1)/12)*$H105</f>
        <v>-2.7087624666666663</v>
      </c>
      <c r="M105" s="232">
        <f>(SUM('1.  LRAMVA Summary'!H$52:H$69)+SUM('1.  LRAMVA Summary'!H$70:H$71)*(MONTH($E105)-1)/12)*$H105</f>
        <v>-5.0665266666666667E-2</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67.310394481533294</v>
      </c>
    </row>
    <row r="106" spans="2:23" s="9" customFormat="1">
      <c r="B106" s="68"/>
      <c r="E106" s="216">
        <v>42767</v>
      </c>
      <c r="F106" s="216" t="s">
        <v>185</v>
      </c>
      <c r="G106" s="217" t="s">
        <v>65</v>
      </c>
      <c r="H106" s="242">
        <f t="shared" ref="H106:H107" si="65">$C$39/12</f>
        <v>9.1666666666666665E-4</v>
      </c>
      <c r="I106" s="232">
        <f>(SUM('1.  LRAMVA Summary'!D$52:D$69)+SUM('1.  LRAMVA Summary'!D$70:D$71)*(MONTH($E106)-1)/12)*$H106</f>
        <v>33.124939876603982</v>
      </c>
      <c r="J106" s="232">
        <f>(SUM('1.  LRAMVA Summary'!E$52:E$69)+SUM('1.  LRAMVA Summary'!E$70:E$71)*(MONTH($E106)-1)/12)*$H106</f>
        <v>57.810814579841363</v>
      </c>
      <c r="K106" s="232">
        <f>(SUM('1.  LRAMVA Summary'!F$52:F$69)+SUM('1.  LRAMVA Summary'!F$70:F$71)*(MONTH($E106)-1)/12)*$H106</f>
        <v>-20.865932241578722</v>
      </c>
      <c r="L106" s="232">
        <f>(SUM('1.  LRAMVA Summary'!G$52:G$69)+SUM('1.  LRAMVA Summary'!G$70:G$71)*(MONTH($E106)-1)/12)*$H106</f>
        <v>-2.7087624666666663</v>
      </c>
      <c r="M106" s="232">
        <f>(SUM('1.  LRAMVA Summary'!H$52:H$69)+SUM('1.  LRAMVA Summary'!H$70:H$71)*(MONTH($E106)-1)/12)*$H106</f>
        <v>-5.0665266666666667E-2</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66">SUM(I106:V106)</f>
        <v>67.310394481533294</v>
      </c>
    </row>
    <row r="107" spans="2:23" s="9" customFormat="1">
      <c r="B107" s="68"/>
      <c r="E107" s="216">
        <v>42795</v>
      </c>
      <c r="F107" s="216" t="s">
        <v>185</v>
      </c>
      <c r="G107" s="217" t="s">
        <v>65</v>
      </c>
      <c r="H107" s="242">
        <f t="shared" si="65"/>
        <v>9.1666666666666665E-4</v>
      </c>
      <c r="I107" s="232">
        <f>(SUM('1.  LRAMVA Summary'!D$52:D$69)+SUM('1.  LRAMVA Summary'!D$70:D$71)*(MONTH($E107)-1)/12)*$H107</f>
        <v>33.124939876603982</v>
      </c>
      <c r="J107" s="232">
        <f>(SUM('1.  LRAMVA Summary'!E$52:E$69)+SUM('1.  LRAMVA Summary'!E$70:E$71)*(MONTH($E107)-1)/12)*$H107</f>
        <v>57.810814579841363</v>
      </c>
      <c r="K107" s="232">
        <f>(SUM('1.  LRAMVA Summary'!F$52:F$69)+SUM('1.  LRAMVA Summary'!F$70:F$71)*(MONTH($E107)-1)/12)*$H107</f>
        <v>-20.865932241578722</v>
      </c>
      <c r="L107" s="232">
        <f>(SUM('1.  LRAMVA Summary'!G$52:G$69)+SUM('1.  LRAMVA Summary'!G$70:G$71)*(MONTH($E107)-1)/12)*$H107</f>
        <v>-2.7087624666666663</v>
      </c>
      <c r="M107" s="232">
        <f>(SUM('1.  LRAMVA Summary'!H$52:H$69)+SUM('1.  LRAMVA Summary'!H$70:H$71)*(MONTH($E107)-1)/12)*$H107</f>
        <v>-5.0665266666666667E-2</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66"/>
        <v>67.310394481533294</v>
      </c>
    </row>
    <row r="108" spans="2:23" s="8" customFormat="1">
      <c r="B108" s="241"/>
      <c r="E108" s="216">
        <v>42826</v>
      </c>
      <c r="F108" s="216" t="s">
        <v>185</v>
      </c>
      <c r="G108" s="217" t="s">
        <v>66</v>
      </c>
      <c r="H108" s="242">
        <f>$C$40/12</f>
        <v>9.1666666666666665E-4</v>
      </c>
      <c r="I108" s="232">
        <f>(SUM('1.  LRAMVA Summary'!D$52:D$69)+SUM('1.  LRAMVA Summary'!D$70:D$71)*(MONTH($E108)-1)/12)*$H108</f>
        <v>33.124939876603982</v>
      </c>
      <c r="J108" s="232">
        <f>(SUM('1.  LRAMVA Summary'!E$52:E$69)+SUM('1.  LRAMVA Summary'!E$70:E$71)*(MONTH($E108)-1)/12)*$H108</f>
        <v>57.810814579841363</v>
      </c>
      <c r="K108" s="232">
        <f>(SUM('1.  LRAMVA Summary'!F$52:F$69)+SUM('1.  LRAMVA Summary'!F$70:F$71)*(MONTH($E108)-1)/12)*$H108</f>
        <v>-20.865932241578722</v>
      </c>
      <c r="L108" s="232">
        <f>(SUM('1.  LRAMVA Summary'!G$52:G$69)+SUM('1.  LRAMVA Summary'!G$70:G$71)*(MONTH($E108)-1)/12)*$H108</f>
        <v>-2.7087624666666663</v>
      </c>
      <c r="M108" s="232">
        <f>(SUM('1.  LRAMVA Summary'!H$52:H$69)+SUM('1.  LRAMVA Summary'!H$70:H$71)*(MONTH($E108)-1)/12)*$H108</f>
        <v>-5.0665266666666667E-2</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66"/>
        <v>67.310394481533294</v>
      </c>
    </row>
    <row r="109" spans="2:23" s="9" customFormat="1">
      <c r="B109" s="68"/>
      <c r="E109" s="216">
        <v>42856</v>
      </c>
      <c r="F109" s="216" t="s">
        <v>185</v>
      </c>
      <c r="G109" s="217" t="s">
        <v>66</v>
      </c>
      <c r="H109" s="242">
        <f t="shared" ref="H109:H110" si="67">$C$40/12</f>
        <v>9.1666666666666665E-4</v>
      </c>
      <c r="I109" s="232">
        <f>(SUM('1.  LRAMVA Summary'!D$52:D$69)+SUM('1.  LRAMVA Summary'!D$70:D$71)*(MONTH($E109)-1)/12)*$H109</f>
        <v>33.124939876603982</v>
      </c>
      <c r="J109" s="232">
        <f>(SUM('1.  LRAMVA Summary'!E$52:E$69)+SUM('1.  LRAMVA Summary'!E$70:E$71)*(MONTH($E109)-1)/12)*$H109</f>
        <v>57.810814579841363</v>
      </c>
      <c r="K109" s="232">
        <f>(SUM('1.  LRAMVA Summary'!F$52:F$69)+SUM('1.  LRAMVA Summary'!F$70:F$71)*(MONTH($E109)-1)/12)*$H109</f>
        <v>-20.865932241578722</v>
      </c>
      <c r="L109" s="232">
        <f>(SUM('1.  LRAMVA Summary'!G$52:G$69)+SUM('1.  LRAMVA Summary'!G$70:G$71)*(MONTH($E109)-1)/12)*$H109</f>
        <v>-2.7087624666666663</v>
      </c>
      <c r="M109" s="232">
        <f>(SUM('1.  LRAMVA Summary'!H$52:H$69)+SUM('1.  LRAMVA Summary'!H$70:H$71)*(MONTH($E109)-1)/12)*$H109</f>
        <v>-5.0665266666666667E-2</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66"/>
        <v>67.310394481533294</v>
      </c>
    </row>
    <row r="110" spans="2:23" s="240" customFormat="1">
      <c r="B110" s="239"/>
      <c r="E110" s="216">
        <v>42887</v>
      </c>
      <c r="F110" s="216" t="s">
        <v>185</v>
      </c>
      <c r="G110" s="217" t="s">
        <v>66</v>
      </c>
      <c r="H110" s="242">
        <f t="shared" si="67"/>
        <v>9.1666666666666665E-4</v>
      </c>
      <c r="I110" s="232">
        <f>(SUM('1.  LRAMVA Summary'!D$52:D$69)+SUM('1.  LRAMVA Summary'!D$70:D$71)*(MONTH($E110)-1)/12)*$H110</f>
        <v>33.124939876603982</v>
      </c>
      <c r="J110" s="232">
        <f>(SUM('1.  LRAMVA Summary'!E$52:E$69)+SUM('1.  LRAMVA Summary'!E$70:E$71)*(MONTH($E110)-1)/12)*$H110</f>
        <v>57.810814579841363</v>
      </c>
      <c r="K110" s="232">
        <f>(SUM('1.  LRAMVA Summary'!F$52:F$69)+SUM('1.  LRAMVA Summary'!F$70:F$71)*(MONTH($E110)-1)/12)*$H110</f>
        <v>-20.865932241578722</v>
      </c>
      <c r="L110" s="232">
        <f>(SUM('1.  LRAMVA Summary'!G$52:G$69)+SUM('1.  LRAMVA Summary'!G$70:G$71)*(MONTH($E110)-1)/12)*$H110</f>
        <v>-2.7087624666666663</v>
      </c>
      <c r="M110" s="232">
        <f>(SUM('1.  LRAMVA Summary'!H$52:H$69)+SUM('1.  LRAMVA Summary'!H$70:H$71)*(MONTH($E110)-1)/12)*$H110</f>
        <v>-5.0665266666666667E-2</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66"/>
        <v>67.310394481533294</v>
      </c>
    </row>
    <row r="111" spans="2:23" s="9" customFormat="1">
      <c r="B111" s="68"/>
      <c r="E111" s="216">
        <v>42917</v>
      </c>
      <c r="F111" s="216" t="s">
        <v>185</v>
      </c>
      <c r="G111" s="217" t="s">
        <v>68</v>
      </c>
      <c r="H111" s="242">
        <f>$C$41/12</f>
        <v>9.1666666666666665E-4</v>
      </c>
      <c r="I111" s="232">
        <f>(SUM('1.  LRAMVA Summary'!D$52:D$69)+SUM('1.  LRAMVA Summary'!D$70:D$71)*(MONTH($E111)-1)/12)*$H111</f>
        <v>33.124939876603982</v>
      </c>
      <c r="J111" s="232">
        <f>(SUM('1.  LRAMVA Summary'!E$52:E$69)+SUM('1.  LRAMVA Summary'!E$70:E$71)*(MONTH($E111)-1)/12)*$H111</f>
        <v>57.810814579841363</v>
      </c>
      <c r="K111" s="232">
        <f>(SUM('1.  LRAMVA Summary'!F$52:F$69)+SUM('1.  LRAMVA Summary'!F$70:F$71)*(MONTH($E111)-1)/12)*$H111</f>
        <v>-20.865932241578722</v>
      </c>
      <c r="L111" s="232">
        <f>(SUM('1.  LRAMVA Summary'!G$52:G$69)+SUM('1.  LRAMVA Summary'!G$70:G$71)*(MONTH($E111)-1)/12)*$H111</f>
        <v>-2.7087624666666663</v>
      </c>
      <c r="M111" s="232">
        <f>(SUM('1.  LRAMVA Summary'!H$52:H$69)+SUM('1.  LRAMVA Summary'!H$70:H$71)*(MONTH($E111)-1)/12)*$H111</f>
        <v>-5.0665266666666667E-2</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66"/>
        <v>67.310394481533294</v>
      </c>
    </row>
    <row r="112" spans="2:23" s="9" customFormat="1">
      <c r="B112" s="68"/>
      <c r="E112" s="216">
        <v>42948</v>
      </c>
      <c r="F112" s="216" t="s">
        <v>185</v>
      </c>
      <c r="G112" s="217" t="s">
        <v>68</v>
      </c>
      <c r="H112" s="242">
        <f t="shared" ref="H112:H113" si="68">$C$41/12</f>
        <v>9.1666666666666665E-4</v>
      </c>
      <c r="I112" s="232">
        <f>(SUM('1.  LRAMVA Summary'!D$52:D$69)+SUM('1.  LRAMVA Summary'!D$70:D$71)*(MONTH($E112)-1)/12)*$H112</f>
        <v>33.124939876603982</v>
      </c>
      <c r="J112" s="232">
        <f>(SUM('1.  LRAMVA Summary'!E$52:E$69)+SUM('1.  LRAMVA Summary'!E$70:E$71)*(MONTH($E112)-1)/12)*$H112</f>
        <v>57.810814579841363</v>
      </c>
      <c r="K112" s="232">
        <f>(SUM('1.  LRAMVA Summary'!F$52:F$69)+SUM('1.  LRAMVA Summary'!F$70:F$71)*(MONTH($E112)-1)/12)*$H112</f>
        <v>-20.865932241578722</v>
      </c>
      <c r="L112" s="232">
        <f>(SUM('1.  LRAMVA Summary'!G$52:G$69)+SUM('1.  LRAMVA Summary'!G$70:G$71)*(MONTH($E112)-1)/12)*$H112</f>
        <v>-2.7087624666666663</v>
      </c>
      <c r="M112" s="232">
        <f>(SUM('1.  LRAMVA Summary'!H$52:H$69)+SUM('1.  LRAMVA Summary'!H$70:H$71)*(MONTH($E112)-1)/12)*$H112</f>
        <v>-5.0665266666666667E-2</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66"/>
        <v>67.310394481533294</v>
      </c>
    </row>
    <row r="113" spans="2:23" s="9" customFormat="1">
      <c r="B113" s="68"/>
      <c r="E113" s="216">
        <v>42979</v>
      </c>
      <c r="F113" s="216" t="s">
        <v>185</v>
      </c>
      <c r="G113" s="217" t="s">
        <v>68</v>
      </c>
      <c r="H113" s="242">
        <f t="shared" si="68"/>
        <v>9.1666666666666665E-4</v>
      </c>
      <c r="I113" s="232">
        <f>(SUM('1.  LRAMVA Summary'!D$52:D$69)+SUM('1.  LRAMVA Summary'!D$70:D$71)*(MONTH($E113)-1)/12)*$H113</f>
        <v>33.124939876603982</v>
      </c>
      <c r="J113" s="232">
        <f>(SUM('1.  LRAMVA Summary'!E$52:E$69)+SUM('1.  LRAMVA Summary'!E$70:E$71)*(MONTH($E113)-1)/12)*$H113</f>
        <v>57.810814579841363</v>
      </c>
      <c r="K113" s="232">
        <f>(SUM('1.  LRAMVA Summary'!F$52:F$69)+SUM('1.  LRAMVA Summary'!F$70:F$71)*(MONTH($E113)-1)/12)*$H113</f>
        <v>-20.865932241578722</v>
      </c>
      <c r="L113" s="232">
        <f>(SUM('1.  LRAMVA Summary'!G$52:G$69)+SUM('1.  LRAMVA Summary'!G$70:G$71)*(MONTH($E113)-1)/12)*$H113</f>
        <v>-2.7087624666666663</v>
      </c>
      <c r="M113" s="232">
        <f>(SUM('1.  LRAMVA Summary'!H$52:H$69)+SUM('1.  LRAMVA Summary'!H$70:H$71)*(MONTH($E113)-1)/12)*$H113</f>
        <v>-5.0665266666666667E-2</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66"/>
        <v>67.310394481533294</v>
      </c>
    </row>
    <row r="114" spans="2:23" s="9" customFormat="1">
      <c r="B114" s="68"/>
      <c r="E114" s="216">
        <v>43009</v>
      </c>
      <c r="F114" s="216" t="s">
        <v>185</v>
      </c>
      <c r="G114" s="217" t="s">
        <v>69</v>
      </c>
      <c r="H114" s="242">
        <f>$C$42/12</f>
        <v>1.25E-3</v>
      </c>
      <c r="I114" s="232">
        <f>(SUM('1.  LRAMVA Summary'!D$52:D$69)+SUM('1.  LRAMVA Summary'!D$70:D$71)*(MONTH($E114)-1)/12)*$H114</f>
        <v>45.170372559005429</v>
      </c>
      <c r="J114" s="232">
        <f>(SUM('1.  LRAMVA Summary'!E$52:E$69)+SUM('1.  LRAMVA Summary'!E$70:E$71)*(MONTH($E114)-1)/12)*$H114</f>
        <v>78.832928972510956</v>
      </c>
      <c r="K114" s="232">
        <f>(SUM('1.  LRAMVA Summary'!F$52:F$69)+SUM('1.  LRAMVA Summary'!F$70:F$71)*(MONTH($E114)-1)/12)*$H114</f>
        <v>-28.453543965789169</v>
      </c>
      <c r="L114" s="232">
        <f>(SUM('1.  LRAMVA Summary'!G$52:G$69)+SUM('1.  LRAMVA Summary'!G$70:G$71)*(MONTH($E114)-1)/12)*$H114</f>
        <v>-3.6937669999999998</v>
      </c>
      <c r="M114" s="232">
        <f>(SUM('1.  LRAMVA Summary'!H$52:H$69)+SUM('1.  LRAMVA Summary'!H$70:H$71)*(MONTH($E114)-1)/12)*$H114</f>
        <v>-6.9088999999999998E-2</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66"/>
        <v>91.78690156572722</v>
      </c>
    </row>
    <row r="115" spans="2:23" s="9" customFormat="1">
      <c r="B115" s="68"/>
      <c r="E115" s="216">
        <v>43040</v>
      </c>
      <c r="F115" s="216" t="s">
        <v>185</v>
      </c>
      <c r="G115" s="217" t="s">
        <v>69</v>
      </c>
      <c r="H115" s="242">
        <f t="shared" ref="H115:H116" si="69">$C$42/12</f>
        <v>1.25E-3</v>
      </c>
      <c r="I115" s="232">
        <f>(SUM('1.  LRAMVA Summary'!D$52:D$69)+SUM('1.  LRAMVA Summary'!D$70:D$71)*(MONTH($E115)-1)/12)*$H115</f>
        <v>45.170372559005429</v>
      </c>
      <c r="J115" s="232">
        <f>(SUM('1.  LRAMVA Summary'!E$52:E$69)+SUM('1.  LRAMVA Summary'!E$70:E$71)*(MONTH($E115)-1)/12)*$H115</f>
        <v>78.832928972510956</v>
      </c>
      <c r="K115" s="232">
        <f>(SUM('1.  LRAMVA Summary'!F$52:F$69)+SUM('1.  LRAMVA Summary'!F$70:F$71)*(MONTH($E115)-1)/12)*$H115</f>
        <v>-28.453543965789169</v>
      </c>
      <c r="L115" s="232">
        <f>(SUM('1.  LRAMVA Summary'!G$52:G$69)+SUM('1.  LRAMVA Summary'!G$70:G$71)*(MONTH($E115)-1)/12)*$H115</f>
        <v>-3.6937669999999998</v>
      </c>
      <c r="M115" s="232">
        <f>(SUM('1.  LRAMVA Summary'!H$52:H$69)+SUM('1.  LRAMVA Summary'!H$70:H$71)*(MONTH($E115)-1)/12)*$H115</f>
        <v>-6.9088999999999998E-2</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66"/>
        <v>91.78690156572722</v>
      </c>
    </row>
    <row r="116" spans="2:23" s="9" customFormat="1">
      <c r="B116" s="68"/>
      <c r="E116" s="216">
        <v>43070</v>
      </c>
      <c r="F116" s="216" t="s">
        <v>185</v>
      </c>
      <c r="G116" s="217" t="s">
        <v>69</v>
      </c>
      <c r="H116" s="242">
        <f t="shared" si="69"/>
        <v>1.25E-3</v>
      </c>
      <c r="I116" s="232">
        <f>(SUM('1.  LRAMVA Summary'!D$52:D$69)+SUM('1.  LRAMVA Summary'!D$70:D$71)*(MONTH($E116)-1)/12)*$H116</f>
        <v>45.170372559005429</v>
      </c>
      <c r="J116" s="232">
        <f>(SUM('1.  LRAMVA Summary'!E$52:E$69)+SUM('1.  LRAMVA Summary'!E$70:E$71)*(MONTH($E116)-1)/12)*$H116</f>
        <v>78.832928972510956</v>
      </c>
      <c r="K116" s="232">
        <f>(SUM('1.  LRAMVA Summary'!F$52:F$69)+SUM('1.  LRAMVA Summary'!F$70:F$71)*(MONTH($E116)-1)/12)*$H116</f>
        <v>-28.453543965789169</v>
      </c>
      <c r="L116" s="232">
        <f>(SUM('1.  LRAMVA Summary'!G$52:G$69)+SUM('1.  LRAMVA Summary'!G$70:G$71)*(MONTH($E116)-1)/12)*$H116</f>
        <v>-3.6937669999999998</v>
      </c>
      <c r="M116" s="232">
        <f>(SUM('1.  LRAMVA Summary'!H$52:H$69)+SUM('1.  LRAMVA Summary'!H$70:H$71)*(MONTH($E116)-1)/12)*$H116</f>
        <v>-6.9088999999999998E-2</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66"/>
        <v>91.78690156572722</v>
      </c>
    </row>
    <row r="117" spans="2:23" s="9" customFormat="1" ht="15.75" thickBot="1">
      <c r="B117" s="68"/>
      <c r="E117" s="218" t="s">
        <v>469</v>
      </c>
      <c r="F117" s="218"/>
      <c r="G117" s="219"/>
      <c r="H117" s="220"/>
      <c r="I117" s="221">
        <f>SUM(I104:I116)</f>
        <v>615.82274588777398</v>
      </c>
      <c r="J117" s="221">
        <f>SUM(J104:J116)</f>
        <v>1074.7555983252325</v>
      </c>
      <c r="K117" s="221">
        <f t="shared" ref="K117:O117" si="70">SUM(K104:K116)</f>
        <v>-387.9166494002589</v>
      </c>
      <c r="L117" s="221">
        <f t="shared" si="70"/>
        <v>-50.358356766666667</v>
      </c>
      <c r="M117" s="221">
        <f t="shared" si="70"/>
        <v>-0.9419133666666667</v>
      </c>
      <c r="N117" s="221">
        <f t="shared" si="70"/>
        <v>0</v>
      </c>
      <c r="O117" s="221">
        <f t="shared" si="70"/>
        <v>0</v>
      </c>
      <c r="P117" s="221">
        <f t="shared" ref="P117:V117" si="71">SUM(P104:P116)</f>
        <v>0</v>
      </c>
      <c r="Q117" s="221">
        <f t="shared" si="71"/>
        <v>0</v>
      </c>
      <c r="R117" s="221">
        <f t="shared" si="71"/>
        <v>0</v>
      </c>
      <c r="S117" s="221">
        <f t="shared" si="71"/>
        <v>0</v>
      </c>
      <c r="T117" s="221">
        <f t="shared" si="71"/>
        <v>0</v>
      </c>
      <c r="U117" s="221">
        <f t="shared" si="71"/>
        <v>0</v>
      </c>
      <c r="V117" s="221">
        <f t="shared" si="71"/>
        <v>0</v>
      </c>
      <c r="W117" s="221">
        <f>SUM(W104:W116)</f>
        <v>1251.3614246794145</v>
      </c>
    </row>
    <row r="118" spans="2:23" s="9" customFormat="1" ht="15.75"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c r="B119" s="68"/>
      <c r="E119" s="227" t="s">
        <v>433</v>
      </c>
      <c r="F119" s="227"/>
      <c r="G119" s="228"/>
      <c r="H119" s="229"/>
      <c r="I119" s="230">
        <f>I117+I118</f>
        <v>615.82274588777398</v>
      </c>
      <c r="J119" s="230">
        <f t="shared" ref="J119" si="72">J117+J118</f>
        <v>1074.7555983252325</v>
      </c>
      <c r="K119" s="230">
        <f t="shared" ref="K119" si="73">K117+K118</f>
        <v>-387.9166494002589</v>
      </c>
      <c r="L119" s="230">
        <f t="shared" ref="L119" si="74">L117+L118</f>
        <v>-50.358356766666667</v>
      </c>
      <c r="M119" s="230">
        <f t="shared" ref="M119" si="75">M117+M118</f>
        <v>-0.9419133666666667</v>
      </c>
      <c r="N119" s="230">
        <f t="shared" ref="N119" si="76">N117+N118</f>
        <v>0</v>
      </c>
      <c r="O119" s="230">
        <f t="shared" ref="O119:V119" si="77">O117+O118</f>
        <v>0</v>
      </c>
      <c r="P119" s="230">
        <f t="shared" si="77"/>
        <v>0</v>
      </c>
      <c r="Q119" s="230">
        <f t="shared" si="77"/>
        <v>0</v>
      </c>
      <c r="R119" s="230">
        <f t="shared" si="77"/>
        <v>0</v>
      </c>
      <c r="S119" s="230">
        <f t="shared" si="77"/>
        <v>0</v>
      </c>
      <c r="T119" s="230">
        <f t="shared" si="77"/>
        <v>0</v>
      </c>
      <c r="U119" s="230">
        <f t="shared" si="77"/>
        <v>0</v>
      </c>
      <c r="V119" s="230">
        <f t="shared" si="77"/>
        <v>0</v>
      </c>
      <c r="W119" s="230">
        <f t="shared" ref="W119" si="78">W117+W118</f>
        <v>1251.3614246794145</v>
      </c>
    </row>
    <row r="120" spans="2:23" s="9" customFormat="1">
      <c r="B120" s="68"/>
      <c r="E120" s="216">
        <v>43101</v>
      </c>
      <c r="F120" s="216" t="s">
        <v>186</v>
      </c>
      <c r="G120" s="217" t="s">
        <v>65</v>
      </c>
      <c r="H120" s="242">
        <f>$C$43/12</f>
        <v>1.25E-3</v>
      </c>
      <c r="I120" s="232">
        <f>(SUM('1.  LRAMVA Summary'!D$52:D$72)+SUM('1.  LRAMVA Summary'!D$73:D$74)*(MONTH($E120)-1)/12)*$H120</f>
        <v>45.170372559005429</v>
      </c>
      <c r="J120" s="232">
        <f>(SUM('1.  LRAMVA Summary'!E$52:E$72)+SUM('1.  LRAMVA Summary'!E$73:E$74)*(MONTH($E120)-1)/12)*$H120</f>
        <v>78.832928972510956</v>
      </c>
      <c r="K120" s="232">
        <f>(SUM('1.  LRAMVA Summary'!F$52:F$72)+SUM('1.  LRAMVA Summary'!F$73:F$74)*(MONTH($E120)-1)/12)*$H120</f>
        <v>-28.453543965789169</v>
      </c>
      <c r="L120" s="232">
        <f>(SUM('1.  LRAMVA Summary'!G$52:G$72)+SUM('1.  LRAMVA Summary'!G$73:G$74)*(MONTH($E120)-1)/12)*$H120</f>
        <v>-3.6937669999999998</v>
      </c>
      <c r="M120" s="232">
        <f>(SUM('1.  LRAMVA Summary'!H$52:H$72)+SUM('1.  LRAMVA Summary'!H$73:H$74)*(MONTH($E120)-1)/12)*$H120</f>
        <v>-6.9088999999999998E-2</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91.78690156572722</v>
      </c>
    </row>
    <row r="121" spans="2:23" s="9" customFormat="1">
      <c r="B121" s="68"/>
      <c r="E121" s="216">
        <v>43132</v>
      </c>
      <c r="F121" s="216" t="s">
        <v>186</v>
      </c>
      <c r="G121" s="217" t="s">
        <v>65</v>
      </c>
      <c r="H121" s="242">
        <f t="shared" ref="H121:H122" si="79">$C$43/12</f>
        <v>1.25E-3</v>
      </c>
      <c r="I121" s="232">
        <f>(SUM('1.  LRAMVA Summary'!D$52:D$72)+SUM('1.  LRAMVA Summary'!D$73:D$74)*(MONTH($E121)-1)/12)*$H121</f>
        <v>45.170372559005429</v>
      </c>
      <c r="J121" s="232">
        <f>(SUM('1.  LRAMVA Summary'!E$52:E$72)+SUM('1.  LRAMVA Summary'!E$73:E$74)*(MONTH($E121)-1)/12)*$H121</f>
        <v>78.832928972510956</v>
      </c>
      <c r="K121" s="232">
        <f>(SUM('1.  LRAMVA Summary'!F$52:F$72)+SUM('1.  LRAMVA Summary'!F$73:F$74)*(MONTH($E121)-1)/12)*$H121</f>
        <v>-28.453543965789169</v>
      </c>
      <c r="L121" s="232">
        <f>(SUM('1.  LRAMVA Summary'!G$52:G$72)+SUM('1.  LRAMVA Summary'!G$73:G$74)*(MONTH($E121)-1)/12)*$H121</f>
        <v>-3.6937669999999998</v>
      </c>
      <c r="M121" s="232">
        <f>(SUM('1.  LRAMVA Summary'!H$52:H$72)+SUM('1.  LRAMVA Summary'!H$73:H$74)*(MONTH($E121)-1)/12)*$H121</f>
        <v>-6.9088999999999998E-2</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80">SUM(I121:V121)</f>
        <v>91.78690156572722</v>
      </c>
    </row>
    <row r="122" spans="2:23" s="9" customFormat="1">
      <c r="B122" s="68"/>
      <c r="E122" s="216">
        <v>43160</v>
      </c>
      <c r="F122" s="216" t="s">
        <v>186</v>
      </c>
      <c r="G122" s="217" t="s">
        <v>65</v>
      </c>
      <c r="H122" s="242">
        <f t="shared" si="79"/>
        <v>1.25E-3</v>
      </c>
      <c r="I122" s="232">
        <f>(SUM('1.  LRAMVA Summary'!D$52:D$72)+SUM('1.  LRAMVA Summary'!D$73:D$74)*(MONTH($E122)-1)/12)*$H122</f>
        <v>45.170372559005429</v>
      </c>
      <c r="J122" s="232">
        <f>(SUM('1.  LRAMVA Summary'!E$52:E$72)+SUM('1.  LRAMVA Summary'!E$73:E$74)*(MONTH($E122)-1)/12)*$H122</f>
        <v>78.832928972510956</v>
      </c>
      <c r="K122" s="232">
        <f>(SUM('1.  LRAMVA Summary'!F$52:F$72)+SUM('1.  LRAMVA Summary'!F$73:F$74)*(MONTH($E122)-1)/12)*$H122</f>
        <v>-28.453543965789169</v>
      </c>
      <c r="L122" s="232">
        <f>(SUM('1.  LRAMVA Summary'!G$52:G$72)+SUM('1.  LRAMVA Summary'!G$73:G$74)*(MONTH($E122)-1)/12)*$H122</f>
        <v>-3.6937669999999998</v>
      </c>
      <c r="M122" s="232">
        <f>(SUM('1.  LRAMVA Summary'!H$52:H$72)+SUM('1.  LRAMVA Summary'!H$73:H$74)*(MONTH($E122)-1)/12)*$H122</f>
        <v>-6.9088999999999998E-2</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80"/>
        <v>91.78690156572722</v>
      </c>
    </row>
    <row r="123" spans="2:23" s="8" customFormat="1">
      <c r="B123" s="241"/>
      <c r="E123" s="216">
        <v>43191</v>
      </c>
      <c r="F123" s="216" t="s">
        <v>186</v>
      </c>
      <c r="G123" s="217" t="s">
        <v>66</v>
      </c>
      <c r="H123" s="242">
        <f>$C$44/12</f>
        <v>1.575E-3</v>
      </c>
      <c r="I123" s="232">
        <f>(SUM('1.  LRAMVA Summary'!D$52:D$72)+SUM('1.  LRAMVA Summary'!D$73:D$74)*(MONTH($E123)-1)/12)*$H123</f>
        <v>56.91466942434684</v>
      </c>
      <c r="J123" s="232">
        <f>(SUM('1.  LRAMVA Summary'!E$52:E$72)+SUM('1.  LRAMVA Summary'!E$73:E$74)*(MONTH($E123)-1)/12)*$H123</f>
        <v>99.329490505363808</v>
      </c>
      <c r="K123" s="232">
        <f>(SUM('1.  LRAMVA Summary'!F$52:F$72)+SUM('1.  LRAMVA Summary'!F$73:F$74)*(MONTH($E123)-1)/12)*$H123</f>
        <v>-35.851465396894348</v>
      </c>
      <c r="L123" s="232">
        <f>(SUM('1.  LRAMVA Summary'!G$52:G$72)+SUM('1.  LRAMVA Summary'!G$73:G$74)*(MONTH($E123)-1)/12)*$H123</f>
        <v>-4.65414642</v>
      </c>
      <c r="M123" s="232">
        <f>(SUM('1.  LRAMVA Summary'!H$52:H$72)+SUM('1.  LRAMVA Summary'!H$73:H$74)*(MONTH($E123)-1)/12)*$H123</f>
        <v>-8.705214E-2</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80"/>
        <v>115.65149597281628</v>
      </c>
    </row>
    <row r="124" spans="2:23" s="9" customFormat="1">
      <c r="B124" s="68"/>
      <c r="E124" s="216">
        <v>43221</v>
      </c>
      <c r="F124" s="216" t="s">
        <v>186</v>
      </c>
      <c r="G124" s="217" t="s">
        <v>66</v>
      </c>
      <c r="H124" s="242">
        <f t="shared" ref="H124:H125" si="81">$C$44/12</f>
        <v>1.575E-3</v>
      </c>
      <c r="I124" s="232">
        <f>(SUM('1.  LRAMVA Summary'!D$52:D$72)+SUM('1.  LRAMVA Summary'!D$73:D$74)*(MONTH($E124)-1)/12)*$H124</f>
        <v>56.91466942434684</v>
      </c>
      <c r="J124" s="232">
        <f>(SUM('1.  LRAMVA Summary'!E$52:E$72)+SUM('1.  LRAMVA Summary'!E$73:E$74)*(MONTH($E124)-1)/12)*$H124</f>
        <v>99.329490505363808</v>
      </c>
      <c r="K124" s="232">
        <f>(SUM('1.  LRAMVA Summary'!F$52:F$72)+SUM('1.  LRAMVA Summary'!F$73:F$74)*(MONTH($E124)-1)/12)*$H124</f>
        <v>-35.851465396894348</v>
      </c>
      <c r="L124" s="232">
        <f>(SUM('1.  LRAMVA Summary'!G$52:G$72)+SUM('1.  LRAMVA Summary'!G$73:G$74)*(MONTH($E124)-1)/12)*$H124</f>
        <v>-4.65414642</v>
      </c>
      <c r="M124" s="232">
        <f>(SUM('1.  LRAMVA Summary'!H$52:H$72)+SUM('1.  LRAMVA Summary'!H$73:H$74)*(MONTH($E124)-1)/12)*$H124</f>
        <v>-8.705214E-2</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80"/>
        <v>115.65149597281628</v>
      </c>
    </row>
    <row r="125" spans="2:23" s="240" customFormat="1">
      <c r="B125" s="239"/>
      <c r="E125" s="216">
        <v>43252</v>
      </c>
      <c r="F125" s="216" t="s">
        <v>186</v>
      </c>
      <c r="G125" s="217" t="s">
        <v>66</v>
      </c>
      <c r="H125" s="242">
        <f t="shared" si="81"/>
        <v>1.575E-3</v>
      </c>
      <c r="I125" s="232">
        <f>(SUM('1.  LRAMVA Summary'!D$52:D$72)+SUM('1.  LRAMVA Summary'!D$73:D$74)*(MONTH($E125)-1)/12)*$H125</f>
        <v>56.91466942434684</v>
      </c>
      <c r="J125" s="232">
        <f>(SUM('1.  LRAMVA Summary'!E$52:E$72)+SUM('1.  LRAMVA Summary'!E$73:E$74)*(MONTH($E125)-1)/12)*$H125</f>
        <v>99.329490505363808</v>
      </c>
      <c r="K125" s="232">
        <f>(SUM('1.  LRAMVA Summary'!F$52:F$72)+SUM('1.  LRAMVA Summary'!F$73:F$74)*(MONTH($E125)-1)/12)*$H125</f>
        <v>-35.851465396894348</v>
      </c>
      <c r="L125" s="232">
        <f>(SUM('1.  LRAMVA Summary'!G$52:G$72)+SUM('1.  LRAMVA Summary'!G$73:G$74)*(MONTH($E125)-1)/12)*$H125</f>
        <v>-4.65414642</v>
      </c>
      <c r="M125" s="232">
        <f>(SUM('1.  LRAMVA Summary'!H$52:H$72)+SUM('1.  LRAMVA Summary'!H$73:H$74)*(MONTH($E125)-1)/12)*$H125</f>
        <v>-8.705214E-2</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80"/>
        <v>115.65149597281628</v>
      </c>
    </row>
    <row r="126" spans="2:23" s="9" customFormat="1">
      <c r="B126" s="68"/>
      <c r="E126" s="216">
        <v>43282</v>
      </c>
      <c r="F126" s="216" t="s">
        <v>186</v>
      </c>
      <c r="G126" s="217" t="s">
        <v>68</v>
      </c>
      <c r="H126" s="242">
        <f>$C$45/12</f>
        <v>1.575E-3</v>
      </c>
      <c r="I126" s="232">
        <f>(SUM('1.  LRAMVA Summary'!D$52:D$72)+SUM('1.  LRAMVA Summary'!D$73:D$74)*(MONTH($E126)-1)/12)*$H126</f>
        <v>56.91466942434684</v>
      </c>
      <c r="J126" s="232">
        <f>(SUM('1.  LRAMVA Summary'!E$52:E$72)+SUM('1.  LRAMVA Summary'!E$73:E$74)*(MONTH($E126)-1)/12)*$H126</f>
        <v>99.329490505363808</v>
      </c>
      <c r="K126" s="232">
        <f>(SUM('1.  LRAMVA Summary'!F$52:F$72)+SUM('1.  LRAMVA Summary'!F$73:F$74)*(MONTH($E126)-1)/12)*$H126</f>
        <v>-35.851465396894348</v>
      </c>
      <c r="L126" s="232">
        <f>(SUM('1.  LRAMVA Summary'!G$52:G$72)+SUM('1.  LRAMVA Summary'!G$73:G$74)*(MONTH($E126)-1)/12)*$H126</f>
        <v>-4.65414642</v>
      </c>
      <c r="M126" s="232">
        <f>(SUM('1.  LRAMVA Summary'!H$52:H$72)+SUM('1.  LRAMVA Summary'!H$73:H$74)*(MONTH($E126)-1)/12)*$H126</f>
        <v>-8.705214E-2</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80"/>
        <v>115.65149597281628</v>
      </c>
    </row>
    <row r="127" spans="2:23" s="9" customFormat="1">
      <c r="B127" s="68"/>
      <c r="E127" s="216">
        <v>43313</v>
      </c>
      <c r="F127" s="216" t="s">
        <v>186</v>
      </c>
      <c r="G127" s="217" t="s">
        <v>68</v>
      </c>
      <c r="H127" s="242">
        <f t="shared" ref="H127:H128" si="82">$C$45/12</f>
        <v>1.575E-3</v>
      </c>
      <c r="I127" s="232">
        <f>(SUM('1.  LRAMVA Summary'!D$52:D$72)+SUM('1.  LRAMVA Summary'!D$73:D$74)*(MONTH($E127)-1)/12)*$H127</f>
        <v>56.91466942434684</v>
      </c>
      <c r="J127" s="232">
        <f>(SUM('1.  LRAMVA Summary'!E$52:E$72)+SUM('1.  LRAMVA Summary'!E$73:E$74)*(MONTH($E127)-1)/12)*$H127</f>
        <v>99.329490505363808</v>
      </c>
      <c r="K127" s="232">
        <f>(SUM('1.  LRAMVA Summary'!F$52:F$72)+SUM('1.  LRAMVA Summary'!F$73:F$74)*(MONTH($E127)-1)/12)*$H127</f>
        <v>-35.851465396894348</v>
      </c>
      <c r="L127" s="232">
        <f>(SUM('1.  LRAMVA Summary'!G$52:G$72)+SUM('1.  LRAMVA Summary'!G$73:G$74)*(MONTH($E127)-1)/12)*$H127</f>
        <v>-4.65414642</v>
      </c>
      <c r="M127" s="232">
        <f>(SUM('1.  LRAMVA Summary'!H$52:H$72)+SUM('1.  LRAMVA Summary'!H$73:H$74)*(MONTH($E127)-1)/12)*$H127</f>
        <v>-8.705214E-2</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80"/>
        <v>115.65149597281628</v>
      </c>
    </row>
    <row r="128" spans="2:23" s="9" customFormat="1">
      <c r="B128" s="68"/>
      <c r="E128" s="216">
        <v>43344</v>
      </c>
      <c r="F128" s="216" t="s">
        <v>186</v>
      </c>
      <c r="G128" s="217" t="s">
        <v>68</v>
      </c>
      <c r="H128" s="242">
        <f t="shared" si="82"/>
        <v>1.575E-3</v>
      </c>
      <c r="I128" s="232">
        <f>(SUM('1.  LRAMVA Summary'!D$52:D$72)+SUM('1.  LRAMVA Summary'!D$73:D$74)*(MONTH($E128)-1)/12)*$H128</f>
        <v>56.91466942434684</v>
      </c>
      <c r="J128" s="232">
        <f>(SUM('1.  LRAMVA Summary'!E$52:E$72)+SUM('1.  LRAMVA Summary'!E$73:E$74)*(MONTH($E128)-1)/12)*$H128</f>
        <v>99.329490505363808</v>
      </c>
      <c r="K128" s="232">
        <f>(SUM('1.  LRAMVA Summary'!F$52:F$72)+SUM('1.  LRAMVA Summary'!F$73:F$74)*(MONTH($E128)-1)/12)*$H128</f>
        <v>-35.851465396894348</v>
      </c>
      <c r="L128" s="232">
        <f>(SUM('1.  LRAMVA Summary'!G$52:G$72)+SUM('1.  LRAMVA Summary'!G$73:G$74)*(MONTH($E128)-1)/12)*$H128</f>
        <v>-4.65414642</v>
      </c>
      <c r="M128" s="232">
        <f>(SUM('1.  LRAMVA Summary'!H$52:H$72)+SUM('1.  LRAMVA Summary'!H$73:H$74)*(MONTH($E128)-1)/12)*$H128</f>
        <v>-8.705214E-2</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80"/>
        <v>115.65149597281628</v>
      </c>
    </row>
    <row r="129" spans="2:23" s="9" customFormat="1">
      <c r="B129" s="68"/>
      <c r="E129" s="216">
        <v>43374</v>
      </c>
      <c r="F129" s="216" t="s">
        <v>186</v>
      </c>
      <c r="G129" s="217" t="s">
        <v>69</v>
      </c>
      <c r="H129" s="242">
        <f>$C$46/12</f>
        <v>1.8083333333333335E-3</v>
      </c>
      <c r="I129" s="232">
        <f>(SUM('1.  LRAMVA Summary'!D$52:D$72)+SUM('1.  LRAMVA Summary'!D$73:D$74)*(MONTH($E129)-1)/12)*$H129</f>
        <v>65.346472302027863</v>
      </c>
      <c r="J129" s="232">
        <f>(SUM('1.  LRAMVA Summary'!E$52:E$72)+SUM('1.  LRAMVA Summary'!E$73:E$74)*(MONTH($E129)-1)/12)*$H129</f>
        <v>114.04497058023252</v>
      </c>
      <c r="K129" s="232">
        <f>(SUM('1.  LRAMVA Summary'!F$52:F$72)+SUM('1.  LRAMVA Summary'!F$73:F$74)*(MONTH($E129)-1)/12)*$H129</f>
        <v>-41.162793603841664</v>
      </c>
      <c r="L129" s="232">
        <f>(SUM('1.  LRAMVA Summary'!G$52:G$72)+SUM('1.  LRAMVA Summary'!G$73:G$74)*(MONTH($E129)-1)/12)*$H129</f>
        <v>-5.3436495933333337</v>
      </c>
      <c r="M129" s="232">
        <f>(SUM('1.  LRAMVA Summary'!H$52:H$72)+SUM('1.  LRAMVA Summary'!H$73:H$74)*(MONTH($E129)-1)/12)*$H129</f>
        <v>-9.9948753333333334E-2</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80"/>
        <v>132.78505093175204</v>
      </c>
    </row>
    <row r="130" spans="2:23" s="9" customFormat="1">
      <c r="B130" s="68"/>
      <c r="E130" s="216">
        <v>43405</v>
      </c>
      <c r="F130" s="216" t="s">
        <v>186</v>
      </c>
      <c r="G130" s="217" t="s">
        <v>69</v>
      </c>
      <c r="H130" s="242">
        <f t="shared" ref="H130:H131" si="83">$C$46/12</f>
        <v>1.8083333333333335E-3</v>
      </c>
      <c r="I130" s="232">
        <f>(SUM('1.  LRAMVA Summary'!D$52:D$72)+SUM('1.  LRAMVA Summary'!D$73:D$74)*(MONTH($E130)-1)/12)*$H130</f>
        <v>65.346472302027863</v>
      </c>
      <c r="J130" s="232">
        <f>(SUM('1.  LRAMVA Summary'!E$52:E$72)+SUM('1.  LRAMVA Summary'!E$73:E$74)*(MONTH($E130)-1)/12)*$H130</f>
        <v>114.04497058023252</v>
      </c>
      <c r="K130" s="232">
        <f>(SUM('1.  LRAMVA Summary'!F$52:F$72)+SUM('1.  LRAMVA Summary'!F$73:F$74)*(MONTH($E130)-1)/12)*$H130</f>
        <v>-41.162793603841664</v>
      </c>
      <c r="L130" s="232">
        <f>(SUM('1.  LRAMVA Summary'!G$52:G$72)+SUM('1.  LRAMVA Summary'!G$73:G$74)*(MONTH($E130)-1)/12)*$H130</f>
        <v>-5.3436495933333337</v>
      </c>
      <c r="M130" s="232">
        <f>(SUM('1.  LRAMVA Summary'!H$52:H$72)+SUM('1.  LRAMVA Summary'!H$73:H$74)*(MONTH($E130)-1)/12)*$H130</f>
        <v>-9.9948753333333334E-2</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80"/>
        <v>132.78505093175204</v>
      </c>
    </row>
    <row r="131" spans="2:23" s="9" customFormat="1">
      <c r="B131" s="68"/>
      <c r="E131" s="216">
        <v>43435</v>
      </c>
      <c r="F131" s="216" t="s">
        <v>186</v>
      </c>
      <c r="G131" s="217" t="s">
        <v>69</v>
      </c>
      <c r="H131" s="242">
        <f t="shared" si="83"/>
        <v>1.8083333333333335E-3</v>
      </c>
      <c r="I131" s="232">
        <f>(SUM('1.  LRAMVA Summary'!D$52:D$72)+SUM('1.  LRAMVA Summary'!D$73:D$74)*(MONTH($E131)-1)/12)*$H131</f>
        <v>65.346472302027863</v>
      </c>
      <c r="J131" s="232">
        <f>(SUM('1.  LRAMVA Summary'!E$52:E$72)+SUM('1.  LRAMVA Summary'!E$73:E$74)*(MONTH($E131)-1)/12)*$H131</f>
        <v>114.04497058023252</v>
      </c>
      <c r="K131" s="232">
        <f>(SUM('1.  LRAMVA Summary'!F$52:F$72)+SUM('1.  LRAMVA Summary'!F$73:F$74)*(MONTH($E131)-1)/12)*$H131</f>
        <v>-41.162793603841664</v>
      </c>
      <c r="L131" s="232">
        <f>(SUM('1.  LRAMVA Summary'!G$52:G$72)+SUM('1.  LRAMVA Summary'!G$73:G$74)*(MONTH($E131)-1)/12)*$H131</f>
        <v>-5.3436495933333337</v>
      </c>
      <c r="M131" s="232">
        <f>(SUM('1.  LRAMVA Summary'!H$52:H$72)+SUM('1.  LRAMVA Summary'!H$73:H$74)*(MONTH($E131)-1)/12)*$H131</f>
        <v>-9.9948753333333334E-2</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80"/>
        <v>132.78505093175204</v>
      </c>
    </row>
    <row r="132" spans="2:23" s="9" customFormat="1" ht="15.75" thickBot="1">
      <c r="B132" s="68"/>
      <c r="E132" s="218" t="s">
        <v>470</v>
      </c>
      <c r="F132" s="218"/>
      <c r="G132" s="219"/>
      <c r="H132" s="220"/>
      <c r="I132" s="221">
        <f>SUM(I119:I131)</f>
        <v>1288.8612970169547</v>
      </c>
      <c r="J132" s="221">
        <f>SUM(J119:J131)</f>
        <v>2249.3662400156454</v>
      </c>
      <c r="K132" s="221">
        <f t="shared" ref="K132:O132" si="84">SUM(K119:K131)</f>
        <v>-811.87445449051756</v>
      </c>
      <c r="L132" s="221">
        <f t="shared" si="84"/>
        <v>-105.39548506666671</v>
      </c>
      <c r="M132" s="221">
        <f t="shared" si="84"/>
        <v>-1.9713394666666666</v>
      </c>
      <c r="N132" s="221">
        <f t="shared" si="84"/>
        <v>0</v>
      </c>
      <c r="O132" s="221">
        <f t="shared" si="84"/>
        <v>0</v>
      </c>
      <c r="P132" s="221">
        <f t="shared" ref="P132:V132" si="85">SUM(P119:P131)</f>
        <v>0</v>
      </c>
      <c r="Q132" s="221">
        <f t="shared" si="85"/>
        <v>0</v>
      </c>
      <c r="R132" s="221">
        <f t="shared" si="85"/>
        <v>0</v>
      </c>
      <c r="S132" s="221">
        <f t="shared" si="85"/>
        <v>0</v>
      </c>
      <c r="T132" s="221">
        <f t="shared" si="85"/>
        <v>0</v>
      </c>
      <c r="U132" s="221">
        <f t="shared" si="85"/>
        <v>0</v>
      </c>
      <c r="V132" s="221">
        <f t="shared" si="85"/>
        <v>0</v>
      </c>
      <c r="W132" s="221">
        <f>SUM(W119:W131)</f>
        <v>2618.9862580087502</v>
      </c>
    </row>
    <row r="133" spans="2:23" s="9" customFormat="1" ht="15.75"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c r="B134" s="68"/>
      <c r="E134" s="227" t="s">
        <v>434</v>
      </c>
      <c r="F134" s="227"/>
      <c r="G134" s="228"/>
      <c r="H134" s="229"/>
      <c r="I134" s="230">
        <f>I132+I133</f>
        <v>1288.8612970169547</v>
      </c>
      <c r="J134" s="230">
        <f t="shared" ref="J134" si="86">J132+J133</f>
        <v>2249.3662400156454</v>
      </c>
      <c r="K134" s="230">
        <f t="shared" ref="K134" si="87">K132+K133</f>
        <v>-811.87445449051756</v>
      </c>
      <c r="L134" s="230">
        <f t="shared" ref="L134" si="88">L132+L133</f>
        <v>-105.39548506666671</v>
      </c>
      <c r="M134" s="230">
        <f t="shared" ref="M134" si="89">M132+M133</f>
        <v>-1.9713394666666666</v>
      </c>
      <c r="N134" s="230">
        <f t="shared" ref="N134" si="90">N132+N133</f>
        <v>0</v>
      </c>
      <c r="O134" s="230">
        <f t="shared" ref="O134:V134" si="91">O132+O133</f>
        <v>0</v>
      </c>
      <c r="P134" s="230">
        <f t="shared" si="91"/>
        <v>0</v>
      </c>
      <c r="Q134" s="230">
        <f t="shared" si="91"/>
        <v>0</v>
      </c>
      <c r="R134" s="230">
        <f t="shared" si="91"/>
        <v>0</v>
      </c>
      <c r="S134" s="230">
        <f t="shared" si="91"/>
        <v>0</v>
      </c>
      <c r="T134" s="230">
        <f t="shared" si="91"/>
        <v>0</v>
      </c>
      <c r="U134" s="230">
        <f t="shared" si="91"/>
        <v>0</v>
      </c>
      <c r="V134" s="230">
        <f t="shared" si="91"/>
        <v>0</v>
      </c>
      <c r="W134" s="230">
        <f>W132+W133</f>
        <v>2618.9862580087502</v>
      </c>
    </row>
    <row r="135" spans="2:23" s="9" customFormat="1">
      <c r="B135" s="68"/>
      <c r="E135" s="216">
        <v>43466</v>
      </c>
      <c r="F135" s="216" t="s">
        <v>187</v>
      </c>
      <c r="G135" s="217" t="s">
        <v>65</v>
      </c>
      <c r="H135" s="242">
        <f>$C$47/12</f>
        <v>1.8083333333333335E-3</v>
      </c>
      <c r="I135" s="232">
        <f>(SUM('1.  LRAMVA Summary'!D$52:D$75)+SUM('1.  LRAMVA Summary'!D$76:D$77)*(MONTH($E135)-1)/12)*$H135</f>
        <v>65.346472302027863</v>
      </c>
      <c r="J135" s="232">
        <f>(SUM('1.  LRAMVA Summary'!E$52:E$75)+SUM('1.  LRAMVA Summary'!E$76:E$77)*(MONTH($E135)-1)/12)*$H135</f>
        <v>114.04497058023252</v>
      </c>
      <c r="K135" s="232">
        <f>(SUM('1.  LRAMVA Summary'!F$52:F$75)+SUM('1.  LRAMVA Summary'!F$76:F$77)*(MONTH($E135)-1)/12)*$H135</f>
        <v>-41.162793603841664</v>
      </c>
      <c r="L135" s="232">
        <f>(SUM('1.  LRAMVA Summary'!G$52:G$75)+SUM('1.  LRAMVA Summary'!G$76:G$77)*(MONTH($E135)-1)/12)*$H135</f>
        <v>-5.3436495933333337</v>
      </c>
      <c r="M135" s="232">
        <f>(SUM('1.  LRAMVA Summary'!H$52:H$75)+SUM('1.  LRAMVA Summary'!H$76:H$77)*(MONTH($E135)-1)/12)*$H135</f>
        <v>-9.9948753333333334E-2</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132.78505093175204</v>
      </c>
    </row>
    <row r="136" spans="2:23" s="9" customFormat="1">
      <c r="B136" s="68"/>
      <c r="E136" s="216">
        <v>43497</v>
      </c>
      <c r="F136" s="216" t="s">
        <v>187</v>
      </c>
      <c r="G136" s="217" t="s">
        <v>65</v>
      </c>
      <c r="H136" s="242">
        <f t="shared" ref="H136:H137" si="92">$C$47/12</f>
        <v>1.8083333333333335E-3</v>
      </c>
      <c r="I136" s="232">
        <f>(SUM('1.  LRAMVA Summary'!D$52:D$75)+SUM('1.  LRAMVA Summary'!D$76:D$77)*(MONTH($E136)-1)/12)*$H136</f>
        <v>65.346472302027863</v>
      </c>
      <c r="J136" s="232">
        <f>(SUM('1.  LRAMVA Summary'!E$52:E$75)+SUM('1.  LRAMVA Summary'!E$76:E$77)*(MONTH($E136)-1)/12)*$H136</f>
        <v>114.04497058023252</v>
      </c>
      <c r="K136" s="232">
        <f>(SUM('1.  LRAMVA Summary'!F$52:F$75)+SUM('1.  LRAMVA Summary'!F$76:F$77)*(MONTH($E136)-1)/12)*$H136</f>
        <v>-41.162793603841664</v>
      </c>
      <c r="L136" s="232">
        <f>(SUM('1.  LRAMVA Summary'!G$52:G$75)+SUM('1.  LRAMVA Summary'!G$76:G$77)*(MONTH($E136)-1)/12)*$H136</f>
        <v>-5.3436495933333337</v>
      </c>
      <c r="M136" s="232">
        <f>(SUM('1.  LRAMVA Summary'!H$52:H$75)+SUM('1.  LRAMVA Summary'!H$76:H$77)*(MONTH($E136)-1)/12)*$H136</f>
        <v>-9.9948753333333334E-2</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93">SUM(I136:V136)</f>
        <v>132.78505093175204</v>
      </c>
    </row>
    <row r="137" spans="2:23" s="9" customFormat="1">
      <c r="B137" s="68"/>
      <c r="E137" s="216">
        <v>43525</v>
      </c>
      <c r="F137" s="216" t="s">
        <v>187</v>
      </c>
      <c r="G137" s="217" t="s">
        <v>65</v>
      </c>
      <c r="H137" s="242">
        <f t="shared" si="92"/>
        <v>1.8083333333333335E-3</v>
      </c>
      <c r="I137" s="232">
        <f>(SUM('1.  LRAMVA Summary'!D$52:D$75)+SUM('1.  LRAMVA Summary'!D$76:D$77)*(MONTH($E137)-1)/12)*$H137</f>
        <v>65.346472302027863</v>
      </c>
      <c r="J137" s="232">
        <f>(SUM('1.  LRAMVA Summary'!E$52:E$75)+SUM('1.  LRAMVA Summary'!E$76:E$77)*(MONTH($E137)-1)/12)*$H137</f>
        <v>114.04497058023252</v>
      </c>
      <c r="K137" s="232">
        <f>(SUM('1.  LRAMVA Summary'!F$52:F$75)+SUM('1.  LRAMVA Summary'!F$76:F$77)*(MONTH($E137)-1)/12)*$H137</f>
        <v>-41.162793603841664</v>
      </c>
      <c r="L137" s="232">
        <f>(SUM('1.  LRAMVA Summary'!G$52:G$75)+SUM('1.  LRAMVA Summary'!G$76:G$77)*(MONTH($E137)-1)/12)*$H137</f>
        <v>-5.3436495933333337</v>
      </c>
      <c r="M137" s="232">
        <f>(SUM('1.  LRAMVA Summary'!H$52:H$75)+SUM('1.  LRAMVA Summary'!H$76:H$77)*(MONTH($E137)-1)/12)*$H137</f>
        <v>-9.9948753333333334E-2</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93"/>
        <v>132.78505093175204</v>
      </c>
    </row>
    <row r="138" spans="2:23" s="8" customFormat="1">
      <c r="B138" s="241"/>
      <c r="E138" s="216">
        <v>43556</v>
      </c>
      <c r="F138" s="216" t="s">
        <v>187</v>
      </c>
      <c r="G138" s="217" t="s">
        <v>66</v>
      </c>
      <c r="H138" s="242">
        <f>$C$48/12</f>
        <v>1.8083333333333335E-3</v>
      </c>
      <c r="I138" s="232">
        <f>(SUM('1.  LRAMVA Summary'!D$52:D$75)+SUM('1.  LRAMVA Summary'!D$76:D$77)*(MONTH($E138)-1)/12)*$H138</f>
        <v>65.346472302027863</v>
      </c>
      <c r="J138" s="232">
        <f>(SUM('1.  LRAMVA Summary'!E$52:E$75)+SUM('1.  LRAMVA Summary'!E$76:E$77)*(MONTH($E138)-1)/12)*$H138</f>
        <v>114.04497058023252</v>
      </c>
      <c r="K138" s="232">
        <f>(SUM('1.  LRAMVA Summary'!F$52:F$75)+SUM('1.  LRAMVA Summary'!F$76:F$77)*(MONTH($E138)-1)/12)*$H138</f>
        <v>-41.162793603841664</v>
      </c>
      <c r="L138" s="232">
        <f>(SUM('1.  LRAMVA Summary'!G$52:G$75)+SUM('1.  LRAMVA Summary'!G$76:G$77)*(MONTH($E138)-1)/12)*$H138</f>
        <v>-5.3436495933333337</v>
      </c>
      <c r="M138" s="232">
        <f>(SUM('1.  LRAMVA Summary'!H$52:H$75)+SUM('1.  LRAMVA Summary'!H$76:H$77)*(MONTH($E138)-1)/12)*$H138</f>
        <v>-9.9948753333333334E-2</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93"/>
        <v>132.78505093175204</v>
      </c>
    </row>
    <row r="139" spans="2:23" s="9" customFormat="1">
      <c r="B139" s="68"/>
      <c r="E139" s="216">
        <v>43586</v>
      </c>
      <c r="F139" s="216" t="s">
        <v>187</v>
      </c>
      <c r="G139" s="217" t="s">
        <v>66</v>
      </c>
      <c r="H139" s="242">
        <f>$C$48/12</f>
        <v>1.8083333333333335E-3</v>
      </c>
      <c r="I139" s="232">
        <f>(SUM('1.  LRAMVA Summary'!D$52:D$75)+SUM('1.  LRAMVA Summary'!D$76:D$77)*(MONTH($E139)-1)/12)*$H139</f>
        <v>65.346472302027863</v>
      </c>
      <c r="J139" s="232">
        <f>(SUM('1.  LRAMVA Summary'!E$52:E$75)+SUM('1.  LRAMVA Summary'!E$76:E$77)*(MONTH($E139)-1)/12)*$H139</f>
        <v>114.04497058023252</v>
      </c>
      <c r="K139" s="232">
        <f>(SUM('1.  LRAMVA Summary'!F$52:F$75)+SUM('1.  LRAMVA Summary'!F$76:F$77)*(MONTH($E139)-1)/12)*$H139</f>
        <v>-41.162793603841664</v>
      </c>
      <c r="L139" s="232">
        <f>(SUM('1.  LRAMVA Summary'!G$52:G$75)+SUM('1.  LRAMVA Summary'!G$76:G$77)*(MONTH($E139)-1)/12)*$H139</f>
        <v>-5.3436495933333337</v>
      </c>
      <c r="M139" s="232">
        <f>(SUM('1.  LRAMVA Summary'!H$52:H$75)+SUM('1.  LRAMVA Summary'!H$76:H$77)*(MONTH($E139)-1)/12)*$H139</f>
        <v>-9.9948753333333334E-2</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93"/>
        <v>132.78505093175204</v>
      </c>
    </row>
    <row r="140" spans="2:23" s="9" customFormat="1">
      <c r="B140" s="68"/>
      <c r="E140" s="216">
        <v>43617</v>
      </c>
      <c r="F140" s="216" t="s">
        <v>187</v>
      </c>
      <c r="G140" s="217" t="s">
        <v>66</v>
      </c>
      <c r="H140" s="242">
        <f>$C$48/12</f>
        <v>1.8083333333333335E-3</v>
      </c>
      <c r="I140" s="232">
        <f>(SUM('1.  LRAMVA Summary'!D$52:D$75)+SUM('1.  LRAMVA Summary'!D$76:D$77)*(MONTH($E140)-1)/12)*$H140</f>
        <v>65.346472302027863</v>
      </c>
      <c r="J140" s="232">
        <f>(SUM('1.  LRAMVA Summary'!E$52:E$75)+SUM('1.  LRAMVA Summary'!E$76:E$77)*(MONTH($E140)-1)/12)*$H140</f>
        <v>114.04497058023252</v>
      </c>
      <c r="K140" s="232">
        <f>(SUM('1.  LRAMVA Summary'!F$52:F$75)+SUM('1.  LRAMVA Summary'!F$76:F$77)*(MONTH($E140)-1)/12)*$H140</f>
        <v>-41.162793603841664</v>
      </c>
      <c r="L140" s="232">
        <f>(SUM('1.  LRAMVA Summary'!G$52:G$75)+SUM('1.  LRAMVA Summary'!G$76:G$77)*(MONTH($E140)-1)/12)*$H140</f>
        <v>-5.3436495933333337</v>
      </c>
      <c r="M140" s="232">
        <f>(SUM('1.  LRAMVA Summary'!H$52:H$75)+SUM('1.  LRAMVA Summary'!H$76:H$77)*(MONTH($E140)-1)/12)*$H140</f>
        <v>-9.9948753333333334E-2</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93"/>
        <v>132.78505093175204</v>
      </c>
    </row>
    <row r="141" spans="2:23" s="9" customFormat="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93"/>
        <v>0</v>
      </c>
    </row>
    <row r="142" spans="2:23" s="9" customFormat="1">
      <c r="B142" s="68"/>
      <c r="E142" s="216">
        <v>43678</v>
      </c>
      <c r="F142" s="216" t="s">
        <v>187</v>
      </c>
      <c r="G142" s="217" t="s">
        <v>68</v>
      </c>
      <c r="H142" s="242">
        <f t="shared" ref="H142" si="94">$C$49/12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93"/>
        <v>0</v>
      </c>
    </row>
    <row r="143" spans="2:23" s="9" customFormat="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93"/>
        <v>0</v>
      </c>
    </row>
    <row r="144" spans="2:23" s="9" customFormat="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93"/>
        <v>0</v>
      </c>
    </row>
    <row r="145" spans="2:23" s="9" customFormat="1">
      <c r="B145" s="68"/>
      <c r="E145" s="216">
        <v>43770</v>
      </c>
      <c r="F145" s="216" t="s">
        <v>187</v>
      </c>
      <c r="G145" s="217" t="s">
        <v>69</v>
      </c>
      <c r="H145" s="242">
        <f t="shared" ref="H145:H146" si="95">$C$50/12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93"/>
        <v>0</v>
      </c>
    </row>
    <row r="146" spans="2:23" s="9" customFormat="1">
      <c r="B146" s="68"/>
      <c r="E146" s="216">
        <v>43800</v>
      </c>
      <c r="F146" s="216" t="s">
        <v>187</v>
      </c>
      <c r="G146" s="217" t="s">
        <v>69</v>
      </c>
      <c r="H146" s="242">
        <f t="shared" si="95"/>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93"/>
        <v>0</v>
      </c>
    </row>
    <row r="147" spans="2:23" s="9" customFormat="1" ht="15.75" thickBot="1">
      <c r="B147" s="68"/>
      <c r="E147" s="218" t="s">
        <v>471</v>
      </c>
      <c r="F147" s="218"/>
      <c r="G147" s="219"/>
      <c r="H147" s="220"/>
      <c r="I147" s="221">
        <f>SUM(I134:I146)</f>
        <v>1680.9401308291222</v>
      </c>
      <c r="J147" s="221">
        <f>SUM(J134:J146)</f>
        <v>2933.6360634970406</v>
      </c>
      <c r="K147" s="221">
        <f t="shared" ref="K147:O147" si="96">SUM(K134:K146)</f>
        <v>-1058.8512161135677</v>
      </c>
      <c r="L147" s="221">
        <f t="shared" si="96"/>
        <v>-137.45738262666674</v>
      </c>
      <c r="M147" s="221">
        <f t="shared" si="96"/>
        <v>-2.5710319866666671</v>
      </c>
      <c r="N147" s="221">
        <f t="shared" si="96"/>
        <v>0</v>
      </c>
      <c r="O147" s="221">
        <f t="shared" si="96"/>
        <v>0</v>
      </c>
      <c r="P147" s="221">
        <f t="shared" ref="P147:V147" si="97">SUM(P134:P146)</f>
        <v>0</v>
      </c>
      <c r="Q147" s="221">
        <f t="shared" si="97"/>
        <v>0</v>
      </c>
      <c r="R147" s="221">
        <f t="shared" si="97"/>
        <v>0</v>
      </c>
      <c r="S147" s="221">
        <f t="shared" si="97"/>
        <v>0</v>
      </c>
      <c r="T147" s="221">
        <f t="shared" si="97"/>
        <v>0</v>
      </c>
      <c r="U147" s="221">
        <f t="shared" si="97"/>
        <v>0</v>
      </c>
      <c r="V147" s="221">
        <f t="shared" si="97"/>
        <v>0</v>
      </c>
      <c r="W147" s="221">
        <f>SUM(W134:W146)</f>
        <v>3415.6965635992638</v>
      </c>
    </row>
    <row r="148" spans="2:23" s="9" customFormat="1" ht="15.75"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1680.9401308291222</v>
      </c>
      <c r="J149" s="230">
        <f t="shared" ref="J149" si="98">J147+J148</f>
        <v>2933.6360634970406</v>
      </c>
      <c r="K149" s="230">
        <f t="shared" ref="K149" si="99">K147+K148</f>
        <v>-1058.8512161135677</v>
      </c>
      <c r="L149" s="230">
        <f t="shared" ref="L149" si="100">L147+L148</f>
        <v>-137.45738262666674</v>
      </c>
      <c r="M149" s="230">
        <f t="shared" ref="M149" si="101">M147+M148</f>
        <v>-2.5710319866666671</v>
      </c>
      <c r="N149" s="230">
        <f t="shared" ref="N149" si="102">N147+N148</f>
        <v>0</v>
      </c>
      <c r="O149" s="230">
        <f t="shared" ref="O149:V149" si="103">O147+O148</f>
        <v>0</v>
      </c>
      <c r="P149" s="230">
        <f t="shared" si="103"/>
        <v>0</v>
      </c>
      <c r="Q149" s="230">
        <f t="shared" si="103"/>
        <v>0</v>
      </c>
      <c r="R149" s="230">
        <f t="shared" si="103"/>
        <v>0</v>
      </c>
      <c r="S149" s="230">
        <f t="shared" si="103"/>
        <v>0</v>
      </c>
      <c r="T149" s="230">
        <f t="shared" si="103"/>
        <v>0</v>
      </c>
      <c r="U149" s="230">
        <f t="shared" si="103"/>
        <v>0</v>
      </c>
      <c r="V149" s="230">
        <f t="shared" si="103"/>
        <v>0</v>
      </c>
      <c r="W149" s="230">
        <f>W147+W148</f>
        <v>3415.6965635992638</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104">$C$51/12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105">SUM(I151:V151)</f>
        <v>0</v>
      </c>
    </row>
    <row r="152" spans="2:23" s="9" customFormat="1" hidden="1">
      <c r="B152" s="68"/>
      <c r="E152" s="216">
        <v>43891</v>
      </c>
      <c r="F152" s="216" t="s">
        <v>188</v>
      </c>
      <c r="G152" s="217" t="s">
        <v>65</v>
      </c>
      <c r="H152" s="242">
        <f t="shared" si="104"/>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105"/>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105"/>
        <v>0</v>
      </c>
    </row>
    <row r="154" spans="2:23" s="9" customFormat="1" hidden="1">
      <c r="B154" s="68"/>
      <c r="E154" s="216">
        <v>43952</v>
      </c>
      <c r="F154" s="216" t="s">
        <v>188</v>
      </c>
      <c r="G154" s="217" t="s">
        <v>66</v>
      </c>
      <c r="H154" s="242">
        <f t="shared" ref="H154:H155" si="106">$C$52/12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105"/>
        <v>0</v>
      </c>
    </row>
    <row r="155" spans="2:23" s="9" customFormat="1" hidden="1">
      <c r="B155" s="68"/>
      <c r="E155" s="216">
        <v>43983</v>
      </c>
      <c r="F155" s="216" t="s">
        <v>188</v>
      </c>
      <c r="G155" s="217" t="s">
        <v>66</v>
      </c>
      <c r="H155" s="242">
        <f t="shared" si="106"/>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105"/>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105"/>
        <v>0</v>
      </c>
    </row>
    <row r="157" spans="2:23" s="9" customFormat="1" hidden="1">
      <c r="B157" s="68"/>
      <c r="E157" s="216">
        <v>44044</v>
      </c>
      <c r="F157" s="216" t="s">
        <v>188</v>
      </c>
      <c r="G157" s="217" t="s">
        <v>68</v>
      </c>
      <c r="H157" s="242">
        <f t="shared" ref="H157:H158" si="107">$C$53/12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105"/>
        <v>0</v>
      </c>
    </row>
    <row r="158" spans="2:23" s="9" customFormat="1" hidden="1">
      <c r="B158" s="68"/>
      <c r="E158" s="216">
        <v>44075</v>
      </c>
      <c r="F158" s="216" t="s">
        <v>188</v>
      </c>
      <c r="G158" s="217" t="s">
        <v>68</v>
      </c>
      <c r="H158" s="242">
        <f t="shared" si="107"/>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105"/>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105"/>
        <v>0</v>
      </c>
    </row>
    <row r="160" spans="2:23" s="9" customFormat="1" hidden="1">
      <c r="B160" s="68"/>
      <c r="E160" s="216">
        <v>44136</v>
      </c>
      <c r="F160" s="216" t="s">
        <v>188</v>
      </c>
      <c r="G160" s="217" t="s">
        <v>69</v>
      </c>
      <c r="H160" s="242">
        <f t="shared" ref="H160:H161" si="108">$C$54/12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105"/>
        <v>0</v>
      </c>
    </row>
    <row r="161" spans="2:23" s="9" customFormat="1" hidden="1">
      <c r="B161" s="68"/>
      <c r="E161" s="216">
        <v>44166</v>
      </c>
      <c r="F161" s="216" t="s">
        <v>188</v>
      </c>
      <c r="G161" s="217" t="s">
        <v>69</v>
      </c>
      <c r="H161" s="242">
        <f t="shared" si="108"/>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472</v>
      </c>
      <c r="F162" s="218"/>
      <c r="G162" s="219"/>
      <c r="H162" s="220"/>
      <c r="I162" s="221">
        <f>SUM(I149:I161)</f>
        <v>1680.9401308291222</v>
      </c>
      <c r="J162" s="221">
        <f>SUM(J149:J161)</f>
        <v>2933.6360634970406</v>
      </c>
      <c r="K162" s="221">
        <f t="shared" ref="K162:O162" si="109">SUM(K149:K161)</f>
        <v>-1058.8512161135677</v>
      </c>
      <c r="L162" s="221">
        <f t="shared" si="109"/>
        <v>-137.45738262666674</v>
      </c>
      <c r="M162" s="221">
        <f t="shared" si="109"/>
        <v>-2.5710319866666671</v>
      </c>
      <c r="N162" s="221">
        <f t="shared" si="109"/>
        <v>0</v>
      </c>
      <c r="O162" s="221">
        <f t="shared" si="109"/>
        <v>0</v>
      </c>
      <c r="P162" s="221">
        <f t="shared" ref="P162:V162" si="110">SUM(P149:P161)</f>
        <v>0</v>
      </c>
      <c r="Q162" s="221">
        <f t="shared" si="110"/>
        <v>0</v>
      </c>
      <c r="R162" s="221">
        <f t="shared" si="110"/>
        <v>0</v>
      </c>
      <c r="S162" s="221">
        <f t="shared" si="110"/>
        <v>0</v>
      </c>
      <c r="T162" s="221">
        <f t="shared" si="110"/>
        <v>0</v>
      </c>
      <c r="U162" s="221">
        <f t="shared" si="110"/>
        <v>0</v>
      </c>
      <c r="V162" s="221">
        <f t="shared" si="110"/>
        <v>0</v>
      </c>
      <c r="W162" s="221">
        <f>SUM(W149:W161)</f>
        <v>3415.6965635992638</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9"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U122"/>
  <sheetViews>
    <sheetView zoomScale="55" zoomScaleNormal="55" workbookViewId="0"/>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1"/>
      <c r="D13" s="637" t="s">
        <v>408</v>
      </c>
      <c r="E13" s="17"/>
      <c r="F13" s="179"/>
      <c r="G13" s="180"/>
      <c r="H13" s="181"/>
      <c r="K13" s="181"/>
      <c r="L13" s="179"/>
      <c r="M13" s="179"/>
      <c r="N13" s="179"/>
      <c r="O13" s="179"/>
      <c r="P13" s="179"/>
      <c r="Q13" s="182"/>
    </row>
    <row r="14" spans="2:73" ht="30" customHeight="1" outlineLevel="1" thickBot="1">
      <c r="B14" s="92"/>
      <c r="D14" s="610" t="s">
        <v>553</v>
      </c>
      <c r="I14" s="12"/>
      <c r="J14" s="12"/>
      <c r="BU14" s="12"/>
    </row>
    <row r="15" spans="2:73" ht="26.25" customHeight="1" outlineLevel="1">
      <c r="C15" s="92"/>
      <c r="I15" s="12"/>
      <c r="J15" s="12"/>
    </row>
    <row r="16" spans="2:73" ht="23.25" customHeight="1" outlineLevel="1">
      <c r="B16" s="118" t="s">
        <v>507</v>
      </c>
      <c r="C16" s="92"/>
      <c r="D16" s="615" t="s">
        <v>619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613</v>
      </c>
      <c r="C17" s="92"/>
      <c r="D17" s="611" t="s">
        <v>591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2"/>
      <c r="D18" s="611" t="s">
        <v>628</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2"/>
      <c r="D19" s="611" t="s">
        <v>627</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2"/>
      <c r="D20" s="611" t="s">
        <v>629</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2"/>
      <c r="D21" s="718" t="s">
        <v>641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4" t="s">
        <v>596</v>
      </c>
      <c r="H23" s="10"/>
      <c r="I23" s="10"/>
      <c r="J23" s="10"/>
    </row>
    <row r="24" spans="2:73" s="670" customFormat="1" ht="21" customHeight="1">
      <c r="B24" s="701" t="s">
        <v>600</v>
      </c>
      <c r="C24" s="884" t="s">
        <v>601</v>
      </c>
      <c r="D24" s="884"/>
      <c r="E24" s="884"/>
      <c r="F24" s="884"/>
      <c r="G24" s="884"/>
      <c r="H24" s="678" t="s">
        <v>598</v>
      </c>
      <c r="I24" s="678" t="s">
        <v>597</v>
      </c>
      <c r="J24" s="678" t="s">
        <v>599</v>
      </c>
      <c r="K24" s="669"/>
      <c r="L24" s="670" t="s">
        <v>601</v>
      </c>
      <c r="AQ24" s="670" t="s">
        <v>601</v>
      </c>
      <c r="BU24" s="669"/>
    </row>
    <row r="25" spans="2:73" s="252" customFormat="1" ht="49.5" customHeight="1">
      <c r="B25" s="247" t="s">
        <v>475</v>
      </c>
      <c r="C25" s="247" t="s">
        <v>212</v>
      </c>
      <c r="D25" s="628" t="s">
        <v>476</v>
      </c>
      <c r="E25" s="247" t="s">
        <v>209</v>
      </c>
      <c r="F25" s="247" t="s">
        <v>477</v>
      </c>
      <c r="G25" s="247" t="s">
        <v>478</v>
      </c>
      <c r="H25" s="628" t="s">
        <v>479</v>
      </c>
      <c r="I25" s="636" t="s">
        <v>589</v>
      </c>
      <c r="J25" s="643" t="s">
        <v>590</v>
      </c>
      <c r="K25" s="641"/>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34"/>
      <c r="I26" s="634"/>
      <c r="J26" s="634"/>
      <c r="K26" s="642"/>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1"/>
      <c r="C27" s="691" t="s">
        <v>2</v>
      </c>
      <c r="D27" s="691"/>
      <c r="E27" s="691" t="s">
        <v>688</v>
      </c>
      <c r="F27" s="691" t="s">
        <v>29</v>
      </c>
      <c r="G27" s="691"/>
      <c r="H27" s="691">
        <v>2011</v>
      </c>
      <c r="I27" s="644" t="s">
        <v>577</v>
      </c>
      <c r="J27" s="644" t="s">
        <v>595</v>
      </c>
      <c r="K27" s="633"/>
      <c r="L27" s="695">
        <v>1.1879073687414818</v>
      </c>
      <c r="M27" s="696">
        <v>1.1879073687414818</v>
      </c>
      <c r="N27" s="696">
        <v>1.1879073687414818</v>
      </c>
      <c r="O27" s="696">
        <v>0.68541338247813122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3"/>
      <c r="AQ27" s="702">
        <v>1671.4918706195494</v>
      </c>
      <c r="AR27" s="703">
        <v>1671.4918706195494</v>
      </c>
      <c r="AS27" s="704">
        <v>1671.4918706195494</v>
      </c>
      <c r="AT27" s="703">
        <v>1222.1344022192445</v>
      </c>
      <c r="AU27" s="704">
        <v>0</v>
      </c>
      <c r="AV27" s="703">
        <v>0</v>
      </c>
      <c r="AW27" s="704">
        <v>0</v>
      </c>
      <c r="AX27" s="703">
        <v>0</v>
      </c>
      <c r="AY27" s="704">
        <v>0</v>
      </c>
      <c r="AZ27" s="703">
        <v>0</v>
      </c>
      <c r="BA27" s="704">
        <v>0</v>
      </c>
      <c r="BB27" s="703">
        <v>0</v>
      </c>
      <c r="BC27" s="704">
        <v>0</v>
      </c>
      <c r="BD27" s="703">
        <v>0</v>
      </c>
      <c r="BE27" s="704">
        <v>0</v>
      </c>
      <c r="BF27" s="703">
        <v>0</v>
      </c>
      <c r="BG27" s="704">
        <v>0</v>
      </c>
      <c r="BH27" s="703">
        <v>0</v>
      </c>
      <c r="BI27" s="704">
        <v>0</v>
      </c>
      <c r="BJ27" s="703">
        <v>0</v>
      </c>
      <c r="BK27" s="704">
        <v>0</v>
      </c>
      <c r="BL27" s="703">
        <v>0</v>
      </c>
      <c r="BM27" s="704">
        <v>0</v>
      </c>
      <c r="BN27" s="703">
        <v>0</v>
      </c>
      <c r="BO27" s="704">
        <v>0</v>
      </c>
      <c r="BP27" s="703">
        <v>0</v>
      </c>
      <c r="BQ27" s="704">
        <v>0</v>
      </c>
      <c r="BR27" s="703">
        <v>0</v>
      </c>
      <c r="BS27" s="704">
        <v>0</v>
      </c>
      <c r="BT27" s="705">
        <v>0</v>
      </c>
      <c r="BU27" s="16"/>
    </row>
    <row r="28" spans="2:73" s="17" customFormat="1" ht="15.75">
      <c r="B28" s="691"/>
      <c r="C28" s="691" t="s">
        <v>1</v>
      </c>
      <c r="D28" s="691"/>
      <c r="E28" s="691" t="s">
        <v>688</v>
      </c>
      <c r="F28" s="691" t="s">
        <v>29</v>
      </c>
      <c r="G28" s="691"/>
      <c r="H28" s="691">
        <v>2011</v>
      </c>
      <c r="I28" s="644" t="s">
        <v>577</v>
      </c>
      <c r="J28" s="644" t="s">
        <v>595</v>
      </c>
      <c r="K28" s="633"/>
      <c r="L28" s="695">
        <v>7.626611228809197</v>
      </c>
      <c r="M28" s="696">
        <v>7.626611228809197</v>
      </c>
      <c r="N28" s="696">
        <v>7.626611228809197</v>
      </c>
      <c r="O28" s="696">
        <v>7.2875408183543122</v>
      </c>
      <c r="P28" s="696">
        <v>5.193470906745727</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3"/>
      <c r="AQ28" s="706">
        <v>52746.940326103329</v>
      </c>
      <c r="AR28" s="707">
        <v>52746.940326103329</v>
      </c>
      <c r="AS28" s="708">
        <v>52746.940326103329</v>
      </c>
      <c r="AT28" s="707">
        <v>52443.725112754277</v>
      </c>
      <c r="AU28" s="708">
        <v>39500.16606746184</v>
      </c>
      <c r="AV28" s="707">
        <v>0</v>
      </c>
      <c r="AW28" s="708">
        <v>0</v>
      </c>
      <c r="AX28" s="707">
        <v>0</v>
      </c>
      <c r="AY28" s="708">
        <v>0</v>
      </c>
      <c r="AZ28" s="707">
        <v>0</v>
      </c>
      <c r="BA28" s="708">
        <v>0</v>
      </c>
      <c r="BB28" s="707">
        <v>0</v>
      </c>
      <c r="BC28" s="708">
        <v>0</v>
      </c>
      <c r="BD28" s="707">
        <v>0</v>
      </c>
      <c r="BE28" s="708">
        <v>0</v>
      </c>
      <c r="BF28" s="707">
        <v>0</v>
      </c>
      <c r="BG28" s="708">
        <v>0</v>
      </c>
      <c r="BH28" s="707">
        <v>0</v>
      </c>
      <c r="BI28" s="708">
        <v>0</v>
      </c>
      <c r="BJ28" s="707">
        <v>0</v>
      </c>
      <c r="BK28" s="708">
        <v>0</v>
      </c>
      <c r="BL28" s="707">
        <v>0</v>
      </c>
      <c r="BM28" s="708">
        <v>0</v>
      </c>
      <c r="BN28" s="707">
        <v>0</v>
      </c>
      <c r="BO28" s="708">
        <v>0</v>
      </c>
      <c r="BP28" s="707">
        <v>0</v>
      </c>
      <c r="BQ28" s="708">
        <v>0</v>
      </c>
      <c r="BR28" s="707">
        <v>0</v>
      </c>
      <c r="BS28" s="708">
        <v>0</v>
      </c>
      <c r="BT28" s="709">
        <v>0</v>
      </c>
      <c r="BU28" s="16"/>
    </row>
    <row r="29" spans="2:73" s="17" customFormat="1" ht="16.5" customHeight="1">
      <c r="B29" s="691"/>
      <c r="C29" s="691" t="s">
        <v>5</v>
      </c>
      <c r="D29" s="691"/>
      <c r="E29" s="691" t="s">
        <v>688</v>
      </c>
      <c r="F29" s="691" t="s">
        <v>29</v>
      </c>
      <c r="G29" s="691"/>
      <c r="H29" s="691">
        <v>2011</v>
      </c>
      <c r="I29" s="644" t="s">
        <v>577</v>
      </c>
      <c r="J29" s="644" t="s">
        <v>595</v>
      </c>
      <c r="K29" s="633"/>
      <c r="L29" s="695">
        <v>5.113504196502344</v>
      </c>
      <c r="M29" s="696">
        <v>5.113504196502344</v>
      </c>
      <c r="N29" s="696">
        <v>5.113504196502344</v>
      </c>
      <c r="O29" s="696">
        <v>5.113504196502344</v>
      </c>
      <c r="P29" s="696">
        <v>4.7787960737020345</v>
      </c>
      <c r="Q29" s="696">
        <v>4.3867677576883164</v>
      </c>
      <c r="R29" s="696">
        <v>3.4814553771866423</v>
      </c>
      <c r="S29" s="696">
        <v>3.4597656657572338</v>
      </c>
      <c r="T29" s="696">
        <v>4.1601283138244458</v>
      </c>
      <c r="U29" s="696">
        <v>1.9476059839550437</v>
      </c>
      <c r="V29" s="696">
        <v>0.2907845271584053</v>
      </c>
      <c r="W29" s="696">
        <v>0.29066668925496181</v>
      </c>
      <c r="X29" s="696">
        <v>0.29066668925496181</v>
      </c>
      <c r="Y29" s="696">
        <v>0.27033290928126669</v>
      </c>
      <c r="Z29" s="696">
        <v>0.27033290928126669</v>
      </c>
      <c r="AA29" s="696">
        <v>0.23125149867840283</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3"/>
      <c r="AQ29" s="710">
        <v>90221.827974615051</v>
      </c>
      <c r="AR29" s="711">
        <v>90221.827974615051</v>
      </c>
      <c r="AS29" s="712">
        <v>90221.827974615051</v>
      </c>
      <c r="AT29" s="711">
        <v>90221.827974615051</v>
      </c>
      <c r="AU29" s="712">
        <v>82993.171440725331</v>
      </c>
      <c r="AV29" s="711">
        <v>74526.576652665623</v>
      </c>
      <c r="AW29" s="712">
        <v>54974.639281761061</v>
      </c>
      <c r="AX29" s="711">
        <v>54784.637409639443</v>
      </c>
      <c r="AY29" s="712">
        <v>69910.296714489392</v>
      </c>
      <c r="AZ29" s="711">
        <v>22126.681956716464</v>
      </c>
      <c r="BA29" s="712">
        <v>8291.2189190348872</v>
      </c>
      <c r="BB29" s="711">
        <v>7320.0997923125451</v>
      </c>
      <c r="BC29" s="712">
        <v>7320.0997923125451</v>
      </c>
      <c r="BD29" s="711">
        <v>5453.7633173602062</v>
      </c>
      <c r="BE29" s="712">
        <v>5453.7633173602062</v>
      </c>
      <c r="BF29" s="711">
        <v>4994.3145774527284</v>
      </c>
      <c r="BG29" s="712">
        <v>0</v>
      </c>
      <c r="BH29" s="711">
        <v>0</v>
      </c>
      <c r="BI29" s="712">
        <v>0</v>
      </c>
      <c r="BJ29" s="711">
        <v>0</v>
      </c>
      <c r="BK29" s="712">
        <v>0</v>
      </c>
      <c r="BL29" s="711">
        <v>0</v>
      </c>
      <c r="BM29" s="712">
        <v>0</v>
      </c>
      <c r="BN29" s="711">
        <v>0</v>
      </c>
      <c r="BO29" s="712">
        <v>0</v>
      </c>
      <c r="BP29" s="711">
        <v>0</v>
      </c>
      <c r="BQ29" s="712">
        <v>0</v>
      </c>
      <c r="BR29" s="711">
        <v>0</v>
      </c>
      <c r="BS29" s="712">
        <v>0</v>
      </c>
      <c r="BT29" s="713">
        <v>0</v>
      </c>
      <c r="BU29" s="16"/>
    </row>
    <row r="30" spans="2:73" s="17" customFormat="1" ht="15.75">
      <c r="B30" s="691"/>
      <c r="C30" s="691" t="s">
        <v>4</v>
      </c>
      <c r="D30" s="691"/>
      <c r="E30" s="691" t="s">
        <v>688</v>
      </c>
      <c r="F30" s="691" t="s">
        <v>29</v>
      </c>
      <c r="G30" s="691"/>
      <c r="H30" s="691">
        <v>2011</v>
      </c>
      <c r="I30" s="644" t="s">
        <v>577</v>
      </c>
      <c r="J30" s="644" t="s">
        <v>595</v>
      </c>
      <c r="K30" s="633"/>
      <c r="L30" s="695">
        <v>3.3392644783408905</v>
      </c>
      <c r="M30" s="696">
        <v>3.3392644783408905</v>
      </c>
      <c r="N30" s="696">
        <v>3.3392644783408905</v>
      </c>
      <c r="O30" s="696">
        <v>3.3392644783408905</v>
      </c>
      <c r="P30" s="696">
        <v>3.1404539460095009</v>
      </c>
      <c r="Q30" s="696">
        <v>2.9201132864753054</v>
      </c>
      <c r="R30" s="696">
        <v>2.4554944452741139</v>
      </c>
      <c r="S30" s="696">
        <v>2.4298267421884345</v>
      </c>
      <c r="T30" s="696">
        <v>2.8458294066063994</v>
      </c>
      <c r="U30" s="696">
        <v>1.5840509331139143</v>
      </c>
      <c r="V30" s="696">
        <v>0.19692729550807764</v>
      </c>
      <c r="W30" s="696">
        <v>0.19680485294481984</v>
      </c>
      <c r="X30" s="696">
        <v>0.19680485294481984</v>
      </c>
      <c r="Y30" s="696">
        <v>0.19313590071147713</v>
      </c>
      <c r="Z30" s="696">
        <v>0.19313590071147713</v>
      </c>
      <c r="AA30" s="696">
        <v>0.18349789607872</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3"/>
      <c r="AQ30" s="706">
        <v>54256.762724071887</v>
      </c>
      <c r="AR30" s="707">
        <v>54256.762724071887</v>
      </c>
      <c r="AS30" s="708">
        <v>54256.762724071887</v>
      </c>
      <c r="AT30" s="707">
        <v>54256.762724071887</v>
      </c>
      <c r="AU30" s="708">
        <v>49963.072324449298</v>
      </c>
      <c r="AV30" s="707">
        <v>45204.398005769297</v>
      </c>
      <c r="AW30" s="708">
        <v>35170.073191306939</v>
      </c>
      <c r="AX30" s="707">
        <v>34945.224112276381</v>
      </c>
      <c r="AY30" s="708">
        <v>43929.590410594581</v>
      </c>
      <c r="AZ30" s="707">
        <v>16679.091885422826</v>
      </c>
      <c r="BA30" s="708">
        <v>5422.1129204794643</v>
      </c>
      <c r="BB30" s="707">
        <v>4413.0461293217068</v>
      </c>
      <c r="BC30" s="708">
        <v>4413.0461293217068</v>
      </c>
      <c r="BD30" s="707">
        <v>4076.2912619628746</v>
      </c>
      <c r="BE30" s="708">
        <v>4076.2912619628746</v>
      </c>
      <c r="BF30" s="707">
        <v>3962.9849862825849</v>
      </c>
      <c r="BG30" s="708">
        <v>0</v>
      </c>
      <c r="BH30" s="707">
        <v>0</v>
      </c>
      <c r="BI30" s="708">
        <v>0</v>
      </c>
      <c r="BJ30" s="707">
        <v>0</v>
      </c>
      <c r="BK30" s="708">
        <v>0</v>
      </c>
      <c r="BL30" s="707">
        <v>0</v>
      </c>
      <c r="BM30" s="708">
        <v>0</v>
      </c>
      <c r="BN30" s="707">
        <v>0</v>
      </c>
      <c r="BO30" s="708">
        <v>0</v>
      </c>
      <c r="BP30" s="707">
        <v>0</v>
      </c>
      <c r="BQ30" s="708">
        <v>0</v>
      </c>
      <c r="BR30" s="707">
        <v>0</v>
      </c>
      <c r="BS30" s="708">
        <v>0</v>
      </c>
      <c r="BT30" s="709">
        <v>0</v>
      </c>
      <c r="BU30" s="16"/>
    </row>
    <row r="31" spans="2:73" s="17" customFormat="1" ht="15.75">
      <c r="B31" s="691"/>
      <c r="C31" s="691" t="s">
        <v>3</v>
      </c>
      <c r="D31" s="691"/>
      <c r="E31" s="691" t="s">
        <v>688</v>
      </c>
      <c r="F31" s="691" t="s">
        <v>29</v>
      </c>
      <c r="G31" s="691"/>
      <c r="H31" s="691">
        <v>2011</v>
      </c>
      <c r="I31" s="644" t="s">
        <v>577</v>
      </c>
      <c r="J31" s="644" t="s">
        <v>595</v>
      </c>
      <c r="K31" s="633"/>
      <c r="L31" s="695">
        <v>31.598265159682093</v>
      </c>
      <c r="M31" s="696">
        <v>31.598265159682093</v>
      </c>
      <c r="N31" s="696">
        <v>31.598265159682093</v>
      </c>
      <c r="O31" s="696">
        <v>31.598265159682093</v>
      </c>
      <c r="P31" s="696">
        <v>31.598265159682093</v>
      </c>
      <c r="Q31" s="696">
        <v>31.598265159682093</v>
      </c>
      <c r="R31" s="696">
        <v>31.598265159682093</v>
      </c>
      <c r="S31" s="696">
        <v>31.598265159682093</v>
      </c>
      <c r="T31" s="696">
        <v>31.598265159682093</v>
      </c>
      <c r="U31" s="696">
        <v>31.598265159682093</v>
      </c>
      <c r="V31" s="696">
        <v>31.598265159682093</v>
      </c>
      <c r="W31" s="696">
        <v>31.598265159682093</v>
      </c>
      <c r="X31" s="696">
        <v>31.598265159682093</v>
      </c>
      <c r="Y31" s="696">
        <v>31.598265159682093</v>
      </c>
      <c r="Z31" s="696">
        <v>31.598265159682093</v>
      </c>
      <c r="AA31" s="696">
        <v>31.598265159682093</v>
      </c>
      <c r="AB31" s="696">
        <v>31.598265159682093</v>
      </c>
      <c r="AC31" s="696">
        <v>31.598265159682093</v>
      </c>
      <c r="AD31" s="696">
        <v>28.138551446106131</v>
      </c>
      <c r="AE31" s="696">
        <v>0</v>
      </c>
      <c r="AF31" s="696">
        <v>0</v>
      </c>
      <c r="AG31" s="696">
        <v>0</v>
      </c>
      <c r="AH31" s="696">
        <v>0</v>
      </c>
      <c r="AI31" s="696">
        <v>0</v>
      </c>
      <c r="AJ31" s="696">
        <v>0</v>
      </c>
      <c r="AK31" s="696">
        <v>0</v>
      </c>
      <c r="AL31" s="696">
        <v>0</v>
      </c>
      <c r="AM31" s="696">
        <v>0</v>
      </c>
      <c r="AN31" s="696">
        <v>0</v>
      </c>
      <c r="AO31" s="697">
        <v>0</v>
      </c>
      <c r="AP31" s="633"/>
      <c r="AQ31" s="710">
        <v>60902.619333977389</v>
      </c>
      <c r="AR31" s="711">
        <v>60902.619333977389</v>
      </c>
      <c r="AS31" s="712">
        <v>60902.619333977389</v>
      </c>
      <c r="AT31" s="711">
        <v>60902.619333977389</v>
      </c>
      <c r="AU31" s="712">
        <v>60902.619333977389</v>
      </c>
      <c r="AV31" s="711">
        <v>60902.619333977389</v>
      </c>
      <c r="AW31" s="712">
        <v>60902.619333977389</v>
      </c>
      <c r="AX31" s="711">
        <v>60902.619333977389</v>
      </c>
      <c r="AY31" s="712">
        <v>60902.619333977389</v>
      </c>
      <c r="AZ31" s="711">
        <v>60902.619333977389</v>
      </c>
      <c r="BA31" s="712">
        <v>60902.619333977389</v>
      </c>
      <c r="BB31" s="711">
        <v>60902.619333977389</v>
      </c>
      <c r="BC31" s="712">
        <v>60902.619333977389</v>
      </c>
      <c r="BD31" s="711">
        <v>60902.619333977389</v>
      </c>
      <c r="BE31" s="712">
        <v>60902.619333977389</v>
      </c>
      <c r="BF31" s="711">
        <v>60902.619333977389</v>
      </c>
      <c r="BG31" s="712">
        <v>60902.619333977389</v>
      </c>
      <c r="BH31" s="711">
        <v>60902.619333977389</v>
      </c>
      <c r="BI31" s="712">
        <v>57804.635692722048</v>
      </c>
      <c r="BJ31" s="711">
        <v>0</v>
      </c>
      <c r="BK31" s="712">
        <v>0</v>
      </c>
      <c r="BL31" s="711">
        <v>0</v>
      </c>
      <c r="BM31" s="712">
        <v>0</v>
      </c>
      <c r="BN31" s="711">
        <v>0</v>
      </c>
      <c r="BO31" s="712">
        <v>0</v>
      </c>
      <c r="BP31" s="711">
        <v>0</v>
      </c>
      <c r="BQ31" s="712">
        <v>0</v>
      </c>
      <c r="BR31" s="711">
        <v>0</v>
      </c>
      <c r="BS31" s="712">
        <v>0</v>
      </c>
      <c r="BT31" s="713">
        <v>0</v>
      </c>
      <c r="BU31" s="16"/>
    </row>
    <row r="32" spans="2:73" s="17" customFormat="1" ht="15.75">
      <c r="B32" s="691"/>
      <c r="C32" s="691" t="s">
        <v>9</v>
      </c>
      <c r="D32" s="691"/>
      <c r="E32" s="691" t="s">
        <v>688</v>
      </c>
      <c r="F32" s="691" t="s">
        <v>689</v>
      </c>
      <c r="G32" s="691"/>
      <c r="H32" s="691">
        <v>2011</v>
      </c>
      <c r="I32" s="644" t="s">
        <v>577</v>
      </c>
      <c r="J32" s="644" t="s">
        <v>595</v>
      </c>
      <c r="K32" s="633"/>
      <c r="L32" s="695">
        <v>37.164999999999999</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3"/>
      <c r="AQ32" s="714">
        <v>1451.0339999999999</v>
      </c>
      <c r="AR32" s="715">
        <v>0</v>
      </c>
      <c r="AS32" s="716">
        <v>0</v>
      </c>
      <c r="AT32" s="715">
        <v>0</v>
      </c>
      <c r="AU32" s="716">
        <v>0</v>
      </c>
      <c r="AV32" s="715">
        <v>0</v>
      </c>
      <c r="AW32" s="716">
        <v>0</v>
      </c>
      <c r="AX32" s="715">
        <v>0</v>
      </c>
      <c r="AY32" s="716">
        <v>0</v>
      </c>
      <c r="AZ32" s="715">
        <v>0</v>
      </c>
      <c r="BA32" s="716">
        <v>0</v>
      </c>
      <c r="BB32" s="715">
        <v>0</v>
      </c>
      <c r="BC32" s="716">
        <v>0</v>
      </c>
      <c r="BD32" s="715">
        <v>0</v>
      </c>
      <c r="BE32" s="716">
        <v>0</v>
      </c>
      <c r="BF32" s="715">
        <v>0</v>
      </c>
      <c r="BG32" s="716">
        <v>0</v>
      </c>
      <c r="BH32" s="715">
        <v>0</v>
      </c>
      <c r="BI32" s="716">
        <v>0</v>
      </c>
      <c r="BJ32" s="715">
        <v>0</v>
      </c>
      <c r="BK32" s="716">
        <v>0</v>
      </c>
      <c r="BL32" s="715">
        <v>0</v>
      </c>
      <c r="BM32" s="716">
        <v>0</v>
      </c>
      <c r="BN32" s="715">
        <v>0</v>
      </c>
      <c r="BO32" s="716">
        <v>0</v>
      </c>
      <c r="BP32" s="715">
        <v>0</v>
      </c>
      <c r="BQ32" s="716">
        <v>0</v>
      </c>
      <c r="BR32" s="715">
        <v>0</v>
      </c>
      <c r="BS32" s="716">
        <v>0</v>
      </c>
      <c r="BT32" s="717">
        <v>0</v>
      </c>
      <c r="BU32" s="16"/>
    </row>
    <row r="33" spans="2:73" s="17" customFormat="1" ht="15.75">
      <c r="B33" s="691"/>
      <c r="C33" s="691" t="s">
        <v>21</v>
      </c>
      <c r="D33" s="691"/>
      <c r="E33" s="691" t="s">
        <v>688</v>
      </c>
      <c r="F33" s="691" t="s">
        <v>687</v>
      </c>
      <c r="G33" s="691"/>
      <c r="H33" s="691">
        <v>2011</v>
      </c>
      <c r="I33" s="644" t="s">
        <v>577</v>
      </c>
      <c r="J33" s="644" t="s">
        <v>595</v>
      </c>
      <c r="K33" s="633"/>
      <c r="L33" s="695">
        <v>60.788904907489417</v>
      </c>
      <c r="M33" s="696">
        <v>60.788904907489417</v>
      </c>
      <c r="N33" s="696">
        <v>60.788904907489417</v>
      </c>
      <c r="O33" s="696">
        <v>31.725768759739751</v>
      </c>
      <c r="P33" s="696">
        <v>31.725768759739751</v>
      </c>
      <c r="Q33" s="696">
        <v>31.725768759739751</v>
      </c>
      <c r="R33" s="696">
        <v>6.0568843103556</v>
      </c>
      <c r="S33" s="696">
        <v>6.0568843103556</v>
      </c>
      <c r="T33" s="696">
        <v>6.0568843103556</v>
      </c>
      <c r="U33" s="696">
        <v>6.0568843103556</v>
      </c>
      <c r="V33" s="696">
        <v>5.4658282610475499</v>
      </c>
      <c r="W33" s="696">
        <v>5.4658282610475499</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3"/>
      <c r="AQ33" s="702">
        <v>161529.24697593649</v>
      </c>
      <c r="AR33" s="703">
        <v>161529.24697593649</v>
      </c>
      <c r="AS33" s="704">
        <v>161529.24697593649</v>
      </c>
      <c r="AT33" s="703">
        <v>79595.894640730126</v>
      </c>
      <c r="AU33" s="704">
        <v>79595.894640730126</v>
      </c>
      <c r="AV33" s="703">
        <v>79595.894640730126</v>
      </c>
      <c r="AW33" s="704">
        <v>17296.754687108401</v>
      </c>
      <c r="AX33" s="703">
        <v>17296.754687108401</v>
      </c>
      <c r="AY33" s="704">
        <v>17296.754687108401</v>
      </c>
      <c r="AZ33" s="703">
        <v>17296.754687108401</v>
      </c>
      <c r="BA33" s="704">
        <v>13410.22269501558</v>
      </c>
      <c r="BB33" s="703">
        <v>13410.22269501558</v>
      </c>
      <c r="BC33" s="704">
        <v>0</v>
      </c>
      <c r="BD33" s="703">
        <v>0</v>
      </c>
      <c r="BE33" s="704">
        <v>0</v>
      </c>
      <c r="BF33" s="703">
        <v>0</v>
      </c>
      <c r="BG33" s="704">
        <v>0</v>
      </c>
      <c r="BH33" s="703">
        <v>0</v>
      </c>
      <c r="BI33" s="704">
        <v>0</v>
      </c>
      <c r="BJ33" s="703">
        <v>0</v>
      </c>
      <c r="BK33" s="704">
        <v>0</v>
      </c>
      <c r="BL33" s="703">
        <v>0</v>
      </c>
      <c r="BM33" s="704">
        <v>0</v>
      </c>
      <c r="BN33" s="703">
        <v>0</v>
      </c>
      <c r="BO33" s="704">
        <v>0</v>
      </c>
      <c r="BP33" s="703">
        <v>0</v>
      </c>
      <c r="BQ33" s="704">
        <v>0</v>
      </c>
      <c r="BR33" s="703">
        <v>0</v>
      </c>
      <c r="BS33" s="704">
        <v>0</v>
      </c>
      <c r="BT33" s="705">
        <v>0</v>
      </c>
      <c r="BU33" s="16"/>
    </row>
    <row r="34" spans="2:73" s="17" customFormat="1" ht="15.75">
      <c r="B34" s="691"/>
      <c r="C34" s="691" t="s">
        <v>685</v>
      </c>
      <c r="D34" s="691"/>
      <c r="E34" s="691" t="s">
        <v>688</v>
      </c>
      <c r="F34" s="691" t="s">
        <v>686</v>
      </c>
      <c r="G34" s="691"/>
      <c r="H34" s="691">
        <v>2011</v>
      </c>
      <c r="I34" s="644" t="s">
        <v>577</v>
      </c>
      <c r="J34" s="644" t="s">
        <v>595</v>
      </c>
      <c r="K34" s="633"/>
      <c r="L34" s="695">
        <v>3</v>
      </c>
      <c r="M34" s="696">
        <v>3</v>
      </c>
      <c r="N34" s="696">
        <v>3</v>
      </c>
      <c r="O34" s="696">
        <v>3</v>
      </c>
      <c r="P34" s="696">
        <v>3</v>
      </c>
      <c r="Q34" s="696">
        <v>3</v>
      </c>
      <c r="R34" s="696">
        <v>3</v>
      </c>
      <c r="S34" s="696">
        <v>3</v>
      </c>
      <c r="T34" s="696">
        <v>3</v>
      </c>
      <c r="U34" s="696">
        <v>3</v>
      </c>
      <c r="V34" s="696">
        <v>3</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3"/>
      <c r="AQ34" s="706">
        <v>20486.999999999949</v>
      </c>
      <c r="AR34" s="707">
        <v>20486.999999999949</v>
      </c>
      <c r="AS34" s="708">
        <v>20486.999999999949</v>
      </c>
      <c r="AT34" s="707">
        <v>20486.999999999949</v>
      </c>
      <c r="AU34" s="708">
        <v>20486.999999999949</v>
      </c>
      <c r="AV34" s="707">
        <v>20486.999999999949</v>
      </c>
      <c r="AW34" s="708">
        <v>20486.999999999949</v>
      </c>
      <c r="AX34" s="707">
        <v>20486.999999999949</v>
      </c>
      <c r="AY34" s="708">
        <v>20486.999999999949</v>
      </c>
      <c r="AZ34" s="707">
        <v>20486.999999999949</v>
      </c>
      <c r="BA34" s="708">
        <v>20486.999999999949</v>
      </c>
      <c r="BB34" s="707">
        <v>9434.5206817586113</v>
      </c>
      <c r="BC34" s="708">
        <v>9434.5206817586113</v>
      </c>
      <c r="BD34" s="707">
        <v>9434.5206817586113</v>
      </c>
      <c r="BE34" s="708">
        <v>9434.5206817586113</v>
      </c>
      <c r="BF34" s="707">
        <v>9434.5206817586113</v>
      </c>
      <c r="BG34" s="708">
        <v>9434.5206817586113</v>
      </c>
      <c r="BH34" s="707">
        <v>0</v>
      </c>
      <c r="BI34" s="708">
        <v>0</v>
      </c>
      <c r="BJ34" s="707">
        <v>0</v>
      </c>
      <c r="BK34" s="708">
        <v>0</v>
      </c>
      <c r="BL34" s="707">
        <v>0</v>
      </c>
      <c r="BM34" s="708">
        <v>0</v>
      </c>
      <c r="BN34" s="707">
        <v>0</v>
      </c>
      <c r="BO34" s="708">
        <v>0</v>
      </c>
      <c r="BP34" s="707">
        <v>0</v>
      </c>
      <c r="BQ34" s="708">
        <v>0</v>
      </c>
      <c r="BR34" s="707">
        <v>0</v>
      </c>
      <c r="BS34" s="708">
        <v>0</v>
      </c>
      <c r="BT34" s="709">
        <v>0</v>
      </c>
      <c r="BU34" s="16"/>
    </row>
    <row r="35" spans="2:73" s="17" customFormat="1" ht="15.75">
      <c r="B35" s="691"/>
      <c r="C35" s="691" t="s">
        <v>22</v>
      </c>
      <c r="D35" s="691"/>
      <c r="E35" s="691" t="s">
        <v>688</v>
      </c>
      <c r="F35" s="691" t="s">
        <v>687</v>
      </c>
      <c r="G35" s="691"/>
      <c r="H35" s="691">
        <v>2011</v>
      </c>
      <c r="I35" s="644" t="s">
        <v>577</v>
      </c>
      <c r="J35" s="644" t="s">
        <v>595</v>
      </c>
      <c r="K35" s="633"/>
      <c r="L35" s="695">
        <v>15.542213275204141</v>
      </c>
      <c r="M35" s="696">
        <v>15.542213275204141</v>
      </c>
      <c r="N35" s="696">
        <v>15.542213275204141</v>
      </c>
      <c r="O35" s="696">
        <v>15.542213275204141</v>
      </c>
      <c r="P35" s="696">
        <v>15.542213275204141</v>
      </c>
      <c r="Q35" s="696">
        <v>15.542213275204141</v>
      </c>
      <c r="R35" s="696">
        <v>15.542213275204141</v>
      </c>
      <c r="S35" s="696">
        <v>15.542213275204141</v>
      </c>
      <c r="T35" s="696">
        <v>15.542213275204141</v>
      </c>
      <c r="U35" s="696">
        <v>15.542213275204141</v>
      </c>
      <c r="V35" s="696">
        <v>15.542213275204141</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3"/>
      <c r="AQ35" s="710">
        <v>116644.15013152071</v>
      </c>
      <c r="AR35" s="711">
        <v>116644.15013152071</v>
      </c>
      <c r="AS35" s="712">
        <v>116644.15013152071</v>
      </c>
      <c r="AT35" s="711">
        <v>116644.15013152071</v>
      </c>
      <c r="AU35" s="712">
        <v>116644.15013152071</v>
      </c>
      <c r="AV35" s="711">
        <v>116644.15013152071</v>
      </c>
      <c r="AW35" s="712">
        <v>116644.15013152071</v>
      </c>
      <c r="AX35" s="711">
        <v>116644.15013152071</v>
      </c>
      <c r="AY35" s="712">
        <v>116644.15013152071</v>
      </c>
      <c r="AZ35" s="711">
        <v>116644.15013152071</v>
      </c>
      <c r="BA35" s="712">
        <v>116644.15013152071</v>
      </c>
      <c r="BB35" s="711">
        <v>19494.966676362565</v>
      </c>
      <c r="BC35" s="712">
        <v>19494.966676362565</v>
      </c>
      <c r="BD35" s="711">
        <v>19494.966676362565</v>
      </c>
      <c r="BE35" s="712">
        <v>19494.966676362565</v>
      </c>
      <c r="BF35" s="711">
        <v>19494.966676362565</v>
      </c>
      <c r="BG35" s="712">
        <v>19494.966676362565</v>
      </c>
      <c r="BH35" s="711">
        <v>0</v>
      </c>
      <c r="BI35" s="712">
        <v>0</v>
      </c>
      <c r="BJ35" s="711">
        <v>0</v>
      </c>
      <c r="BK35" s="712">
        <v>0</v>
      </c>
      <c r="BL35" s="711">
        <v>0</v>
      </c>
      <c r="BM35" s="712">
        <v>0</v>
      </c>
      <c r="BN35" s="711">
        <v>0</v>
      </c>
      <c r="BO35" s="712">
        <v>0</v>
      </c>
      <c r="BP35" s="711">
        <v>0</v>
      </c>
      <c r="BQ35" s="712">
        <v>0</v>
      </c>
      <c r="BR35" s="711">
        <v>0</v>
      </c>
      <c r="BS35" s="712">
        <v>0</v>
      </c>
      <c r="BT35" s="713">
        <v>0</v>
      </c>
      <c r="BU35" s="16"/>
    </row>
    <row r="36" spans="2:73" s="17" customFormat="1" ht="15.75">
      <c r="B36" s="691"/>
      <c r="C36" s="691" t="s">
        <v>16</v>
      </c>
      <c r="D36" s="691"/>
      <c r="E36" s="691" t="s">
        <v>688</v>
      </c>
      <c r="F36" s="691" t="s">
        <v>687</v>
      </c>
      <c r="G36" s="691"/>
      <c r="H36" s="691">
        <v>2011</v>
      </c>
      <c r="I36" s="644" t="s">
        <v>577</v>
      </c>
      <c r="J36" s="644" t="s">
        <v>595</v>
      </c>
      <c r="K36" s="633"/>
      <c r="L36" s="695">
        <v>2.7203176000000004</v>
      </c>
      <c r="M36" s="696">
        <v>2.7203176000000004</v>
      </c>
      <c r="N36" s="696">
        <v>2.7203176000000004</v>
      </c>
      <c r="O36" s="696">
        <v>2.7203176000000004</v>
      </c>
      <c r="P36" s="696">
        <v>2.7203176000000004</v>
      </c>
      <c r="Q36" s="696">
        <v>2.7203176000000004</v>
      </c>
      <c r="R36" s="696">
        <v>2.7203176000000004</v>
      </c>
      <c r="S36" s="696">
        <v>2.7203176000000004</v>
      </c>
      <c r="T36" s="696">
        <v>2.7203176000000004</v>
      </c>
      <c r="U36" s="696">
        <v>2.7203176000000004</v>
      </c>
      <c r="V36" s="696">
        <v>2.7203176000000004</v>
      </c>
      <c r="W36" s="696">
        <v>2.7203176000000004</v>
      </c>
      <c r="X36" s="696">
        <v>2.7203176000000004</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3"/>
      <c r="AQ36" s="710">
        <v>15806.949478319999</v>
      </c>
      <c r="AR36" s="711">
        <v>15806.949478319999</v>
      </c>
      <c r="AS36" s="712">
        <v>15806.949478319999</v>
      </c>
      <c r="AT36" s="711">
        <v>15806.949478319999</v>
      </c>
      <c r="AU36" s="712">
        <v>15806.949478319999</v>
      </c>
      <c r="AV36" s="711">
        <v>15806.949478319999</v>
      </c>
      <c r="AW36" s="712">
        <v>15806.949478319999</v>
      </c>
      <c r="AX36" s="711">
        <v>15806.949478319999</v>
      </c>
      <c r="AY36" s="712">
        <v>15806.949478319999</v>
      </c>
      <c r="AZ36" s="711">
        <v>15806.949478319999</v>
      </c>
      <c r="BA36" s="712">
        <v>15806.949478319999</v>
      </c>
      <c r="BB36" s="711">
        <v>15806.949478319999</v>
      </c>
      <c r="BC36" s="712">
        <v>15806.949478319999</v>
      </c>
      <c r="BD36" s="711">
        <v>0</v>
      </c>
      <c r="BE36" s="712">
        <v>0</v>
      </c>
      <c r="BF36" s="711">
        <v>0</v>
      </c>
      <c r="BG36" s="712">
        <v>0</v>
      </c>
      <c r="BH36" s="711">
        <v>0</v>
      </c>
      <c r="BI36" s="712">
        <v>0</v>
      </c>
      <c r="BJ36" s="711">
        <v>0</v>
      </c>
      <c r="BK36" s="712">
        <v>0</v>
      </c>
      <c r="BL36" s="711">
        <v>0</v>
      </c>
      <c r="BM36" s="712">
        <v>0</v>
      </c>
      <c r="BN36" s="711">
        <v>0</v>
      </c>
      <c r="BO36" s="712">
        <v>0</v>
      </c>
      <c r="BP36" s="711">
        <v>0</v>
      </c>
      <c r="BQ36" s="712">
        <v>0</v>
      </c>
      <c r="BR36" s="711">
        <v>0</v>
      </c>
      <c r="BS36" s="712">
        <v>0</v>
      </c>
      <c r="BT36" s="713">
        <v>0</v>
      </c>
      <c r="BU36" s="16"/>
    </row>
    <row r="37" spans="2:73" s="17" customFormat="1" ht="15.75">
      <c r="B37" s="691"/>
      <c r="C37" s="691" t="s">
        <v>17</v>
      </c>
      <c r="D37" s="691"/>
      <c r="E37" s="691" t="s">
        <v>688</v>
      </c>
      <c r="F37" s="691" t="s">
        <v>687</v>
      </c>
      <c r="G37" s="691"/>
      <c r="H37" s="691">
        <v>2011</v>
      </c>
      <c r="I37" s="644" t="s">
        <v>577</v>
      </c>
      <c r="J37" s="644" t="s">
        <v>595</v>
      </c>
      <c r="K37" s="633"/>
      <c r="L37" s="695">
        <v>43.656999999999996</v>
      </c>
      <c r="M37" s="696">
        <v>43.656999999999996</v>
      </c>
      <c r="N37" s="696">
        <v>43.656999999999996</v>
      </c>
      <c r="O37" s="696">
        <v>43.656999999999996</v>
      </c>
      <c r="P37" s="696">
        <v>43.657000000000004</v>
      </c>
      <c r="Q37" s="696">
        <v>43.657000000000004</v>
      </c>
      <c r="R37" s="696">
        <v>43.657000000000004</v>
      </c>
      <c r="S37" s="696">
        <v>43.657000000000004</v>
      </c>
      <c r="T37" s="696">
        <v>43.657000000000004</v>
      </c>
      <c r="U37" s="696">
        <v>43.657000000000004</v>
      </c>
      <c r="V37" s="696">
        <v>43.657000000000004</v>
      </c>
      <c r="W37" s="696">
        <v>43.657000000000004</v>
      </c>
      <c r="X37" s="696">
        <v>43.657000000000004</v>
      </c>
      <c r="Y37" s="696">
        <v>43.657000000000004</v>
      </c>
      <c r="Z37" s="696">
        <v>43.657000000000004</v>
      </c>
      <c r="AA37" s="696">
        <v>39.765996405997242</v>
      </c>
      <c r="AB37" s="696">
        <v>39.765996405997242</v>
      </c>
      <c r="AC37" s="696">
        <v>39.765996405997242</v>
      </c>
      <c r="AD37" s="696">
        <v>39.765996405997242</v>
      </c>
      <c r="AE37" s="696">
        <v>39.765996405997242</v>
      </c>
      <c r="AF37" s="696">
        <v>39.765996405997242</v>
      </c>
      <c r="AG37" s="696">
        <v>39.765996405997242</v>
      </c>
      <c r="AH37" s="696">
        <v>39.765996405997242</v>
      </c>
      <c r="AI37" s="696">
        <v>39.765996405997242</v>
      </c>
      <c r="AJ37" s="696">
        <v>39.765996405997242</v>
      </c>
      <c r="AK37" s="696">
        <v>39.765996405997242</v>
      </c>
      <c r="AL37" s="696">
        <v>0</v>
      </c>
      <c r="AM37" s="696">
        <v>0</v>
      </c>
      <c r="AN37" s="696">
        <v>0</v>
      </c>
      <c r="AO37" s="697">
        <v>0</v>
      </c>
      <c r="AP37" s="633"/>
      <c r="AQ37" s="706">
        <v>157827.75200000001</v>
      </c>
      <c r="AR37" s="707">
        <v>157827.75200000001</v>
      </c>
      <c r="AS37" s="708">
        <v>157827.75200000001</v>
      </c>
      <c r="AT37" s="707">
        <v>157827.75200000001</v>
      </c>
      <c r="AU37" s="708">
        <v>157827.75200000001</v>
      </c>
      <c r="AV37" s="707">
        <v>157827.75200000001</v>
      </c>
      <c r="AW37" s="708">
        <v>157827.75200000001</v>
      </c>
      <c r="AX37" s="707">
        <v>157827.75200000001</v>
      </c>
      <c r="AY37" s="708">
        <v>157827.75200000001</v>
      </c>
      <c r="AZ37" s="707">
        <v>157827.75200000001</v>
      </c>
      <c r="BA37" s="708">
        <v>157827.75200000001</v>
      </c>
      <c r="BB37" s="707">
        <v>157827.75200000001</v>
      </c>
      <c r="BC37" s="708">
        <v>157827.75200000001</v>
      </c>
      <c r="BD37" s="707">
        <v>157827.75200000001</v>
      </c>
      <c r="BE37" s="708">
        <v>157827.75200000001</v>
      </c>
      <c r="BF37" s="707">
        <v>204238.15754120183</v>
      </c>
      <c r="BG37" s="708">
        <v>204238.15754120183</v>
      </c>
      <c r="BH37" s="707">
        <v>204238.15754120183</v>
      </c>
      <c r="BI37" s="708">
        <v>204238.15754120183</v>
      </c>
      <c r="BJ37" s="707">
        <v>204238.15754120183</v>
      </c>
      <c r="BK37" s="708">
        <v>204238.15754120183</v>
      </c>
      <c r="BL37" s="707">
        <v>204238.15754120183</v>
      </c>
      <c r="BM37" s="708">
        <v>204238.15754120183</v>
      </c>
      <c r="BN37" s="707">
        <v>204238.15754120183</v>
      </c>
      <c r="BO37" s="708">
        <v>204238.15754120183</v>
      </c>
      <c r="BP37" s="707">
        <v>204238.15754120183</v>
      </c>
      <c r="BQ37" s="708">
        <v>0</v>
      </c>
      <c r="BR37" s="707">
        <v>0</v>
      </c>
      <c r="BS37" s="708">
        <v>0</v>
      </c>
      <c r="BT37" s="709">
        <v>0</v>
      </c>
      <c r="BU37" s="16"/>
    </row>
    <row r="38" spans="2:73" s="17" customFormat="1" ht="15.75">
      <c r="B38" s="691"/>
      <c r="C38" s="691" t="s">
        <v>3</v>
      </c>
      <c r="D38" s="691"/>
      <c r="E38" s="691" t="s">
        <v>688</v>
      </c>
      <c r="F38" s="691" t="s">
        <v>29</v>
      </c>
      <c r="G38" s="691"/>
      <c r="H38" s="691">
        <v>2012</v>
      </c>
      <c r="I38" s="644" t="s">
        <v>578</v>
      </c>
      <c r="J38" s="644" t="s">
        <v>595</v>
      </c>
      <c r="K38" s="633"/>
      <c r="L38" s="695">
        <v>0</v>
      </c>
      <c r="M38" s="696">
        <v>26.946122801105282</v>
      </c>
      <c r="N38" s="696">
        <v>26.946122801105282</v>
      </c>
      <c r="O38" s="696">
        <v>26.946122801105282</v>
      </c>
      <c r="P38" s="696">
        <v>26.946122801105282</v>
      </c>
      <c r="Q38" s="696">
        <v>26.946122801105282</v>
      </c>
      <c r="R38" s="696">
        <v>26.946122801105282</v>
      </c>
      <c r="S38" s="696">
        <v>26.946122801105282</v>
      </c>
      <c r="T38" s="696">
        <v>26.946122801105282</v>
      </c>
      <c r="U38" s="696">
        <v>26.946122801105282</v>
      </c>
      <c r="V38" s="696">
        <v>26.946122801105282</v>
      </c>
      <c r="W38" s="696">
        <v>26.946122801105282</v>
      </c>
      <c r="X38" s="696">
        <v>26.946122801105282</v>
      </c>
      <c r="Y38" s="696">
        <v>26.946122801105282</v>
      </c>
      <c r="Z38" s="696">
        <v>26.946122801105282</v>
      </c>
      <c r="AA38" s="696">
        <v>26.946122801105282</v>
      </c>
      <c r="AB38" s="696">
        <v>26.946122801105282</v>
      </c>
      <c r="AC38" s="696">
        <v>26.946122801105282</v>
      </c>
      <c r="AD38" s="696">
        <v>26.946122801105282</v>
      </c>
      <c r="AE38" s="696">
        <v>23.312402920656346</v>
      </c>
      <c r="AF38" s="696">
        <v>0</v>
      </c>
      <c r="AG38" s="696">
        <v>0</v>
      </c>
      <c r="AH38" s="696">
        <v>0</v>
      </c>
      <c r="AI38" s="696">
        <v>0</v>
      </c>
      <c r="AJ38" s="696">
        <v>0</v>
      </c>
      <c r="AK38" s="696">
        <v>0</v>
      </c>
      <c r="AL38" s="696">
        <v>0</v>
      </c>
      <c r="AM38" s="696">
        <v>0</v>
      </c>
      <c r="AN38" s="696">
        <v>0</v>
      </c>
      <c r="AO38" s="697">
        <v>0</v>
      </c>
      <c r="AP38" s="633"/>
      <c r="AQ38" s="710">
        <v>0</v>
      </c>
      <c r="AR38" s="711">
        <v>48252.680964467334</v>
      </c>
      <c r="AS38" s="712">
        <v>48252.680964467334</v>
      </c>
      <c r="AT38" s="711">
        <v>48252.680964467334</v>
      </c>
      <c r="AU38" s="712">
        <v>48252.680964467334</v>
      </c>
      <c r="AV38" s="711">
        <v>48252.680964467334</v>
      </c>
      <c r="AW38" s="712">
        <v>48252.680964467334</v>
      </c>
      <c r="AX38" s="711">
        <v>48252.680964467334</v>
      </c>
      <c r="AY38" s="712">
        <v>48252.680964467334</v>
      </c>
      <c r="AZ38" s="711">
        <v>48252.680964467334</v>
      </c>
      <c r="BA38" s="712">
        <v>48252.680964467334</v>
      </c>
      <c r="BB38" s="711">
        <v>48252.680964467334</v>
      </c>
      <c r="BC38" s="712">
        <v>48252.680964467334</v>
      </c>
      <c r="BD38" s="711">
        <v>48252.680964467334</v>
      </c>
      <c r="BE38" s="712">
        <v>48252.680964467334</v>
      </c>
      <c r="BF38" s="711">
        <v>48252.680964467334</v>
      </c>
      <c r="BG38" s="712">
        <v>48252.680964467334</v>
      </c>
      <c r="BH38" s="711">
        <v>48252.680964467334</v>
      </c>
      <c r="BI38" s="712">
        <v>48252.680964467334</v>
      </c>
      <c r="BJ38" s="711">
        <v>45003.210899170626</v>
      </c>
      <c r="BK38" s="712">
        <v>0</v>
      </c>
      <c r="BL38" s="711">
        <v>0</v>
      </c>
      <c r="BM38" s="712">
        <v>0</v>
      </c>
      <c r="BN38" s="711">
        <v>0</v>
      </c>
      <c r="BO38" s="712">
        <v>0</v>
      </c>
      <c r="BP38" s="711">
        <v>0</v>
      </c>
      <c r="BQ38" s="712">
        <v>0</v>
      </c>
      <c r="BR38" s="711">
        <v>0</v>
      </c>
      <c r="BS38" s="712">
        <v>0</v>
      </c>
      <c r="BT38" s="713">
        <v>0</v>
      </c>
      <c r="BU38" s="16"/>
    </row>
    <row r="39" spans="2:73" s="17" customFormat="1" ht="15.75">
      <c r="B39" s="691"/>
      <c r="C39" s="691" t="s">
        <v>22</v>
      </c>
      <c r="D39" s="691"/>
      <c r="E39" s="691" t="s">
        <v>688</v>
      </c>
      <c r="F39" s="691" t="s">
        <v>687</v>
      </c>
      <c r="G39" s="691"/>
      <c r="H39" s="691">
        <v>2012</v>
      </c>
      <c r="I39" s="644" t="s">
        <v>578</v>
      </c>
      <c r="J39" s="644" t="s">
        <v>595</v>
      </c>
      <c r="K39" s="633"/>
      <c r="L39" s="695">
        <v>0</v>
      </c>
      <c r="M39" s="696">
        <v>267.51327501047115</v>
      </c>
      <c r="N39" s="696">
        <v>258.2416110905416</v>
      </c>
      <c r="O39" s="696">
        <v>257.59348573683076</v>
      </c>
      <c r="P39" s="696">
        <v>242.40570548131012</v>
      </c>
      <c r="Q39" s="696">
        <v>242.40570548131012</v>
      </c>
      <c r="R39" s="696">
        <v>241.27083157862057</v>
      </c>
      <c r="S39" s="696">
        <v>234.93532770854429</v>
      </c>
      <c r="T39" s="696">
        <v>234.93532770854429</v>
      </c>
      <c r="U39" s="696">
        <v>206.76778675027953</v>
      </c>
      <c r="V39" s="696">
        <v>137.36350477173204</v>
      </c>
      <c r="W39" s="696">
        <v>134.60259449279454</v>
      </c>
      <c r="X39" s="696">
        <v>134.60259449279454</v>
      </c>
      <c r="Y39" s="696">
        <v>59.530823070282587</v>
      </c>
      <c r="Z39" s="696">
        <v>41.738076955732147</v>
      </c>
      <c r="AA39" s="696">
        <v>41.738076955732147</v>
      </c>
      <c r="AB39" s="696">
        <v>26.293623372941639</v>
      </c>
      <c r="AC39" s="696">
        <v>0</v>
      </c>
      <c r="AD39" s="696">
        <v>0</v>
      </c>
      <c r="AE39" s="696">
        <v>0</v>
      </c>
      <c r="AF39" s="696">
        <v>0</v>
      </c>
      <c r="AG39" s="696">
        <v>0</v>
      </c>
      <c r="AH39" s="696">
        <v>0</v>
      </c>
      <c r="AI39" s="696">
        <v>0</v>
      </c>
      <c r="AJ39" s="696">
        <v>0</v>
      </c>
      <c r="AK39" s="696">
        <v>0</v>
      </c>
      <c r="AL39" s="696">
        <v>0</v>
      </c>
      <c r="AM39" s="696">
        <v>0</v>
      </c>
      <c r="AN39" s="696">
        <v>0</v>
      </c>
      <c r="AO39" s="697">
        <v>0</v>
      </c>
      <c r="AP39" s="633"/>
      <c r="AQ39" s="706">
        <v>0</v>
      </c>
      <c r="AR39" s="707">
        <v>1338949.9999999995</v>
      </c>
      <c r="AS39" s="708">
        <v>1316740.9085892967</v>
      </c>
      <c r="AT39" s="707">
        <v>1315188.4067567813</v>
      </c>
      <c r="AU39" s="708">
        <v>1278808.0112923293</v>
      </c>
      <c r="AV39" s="707">
        <v>1278808.0112923293</v>
      </c>
      <c r="AW39" s="708">
        <v>1276061.020276367</v>
      </c>
      <c r="AX39" s="707">
        <v>1262218.2564969042</v>
      </c>
      <c r="AY39" s="708">
        <v>1262218.2564969042</v>
      </c>
      <c r="AZ39" s="707">
        <v>1187772.2102303214</v>
      </c>
      <c r="BA39" s="708">
        <v>682976.82626781112</v>
      </c>
      <c r="BB39" s="707">
        <v>657771.11738316377</v>
      </c>
      <c r="BC39" s="708">
        <v>650737.81909311796</v>
      </c>
      <c r="BD39" s="707">
        <v>320081.06746284041</v>
      </c>
      <c r="BE39" s="708">
        <v>277460.80767796177</v>
      </c>
      <c r="BF39" s="707">
        <v>277460.80767796177</v>
      </c>
      <c r="BG39" s="708">
        <v>190581.15447414212</v>
      </c>
      <c r="BH39" s="707">
        <v>0</v>
      </c>
      <c r="BI39" s="708">
        <v>0</v>
      </c>
      <c r="BJ39" s="707">
        <v>0</v>
      </c>
      <c r="BK39" s="708">
        <v>0</v>
      </c>
      <c r="BL39" s="707">
        <v>0</v>
      </c>
      <c r="BM39" s="708">
        <v>0</v>
      </c>
      <c r="BN39" s="707">
        <v>0</v>
      </c>
      <c r="BO39" s="708">
        <v>0</v>
      </c>
      <c r="BP39" s="707">
        <v>0</v>
      </c>
      <c r="BQ39" s="708">
        <v>0</v>
      </c>
      <c r="BR39" s="707">
        <v>0</v>
      </c>
      <c r="BS39" s="708">
        <v>0</v>
      </c>
      <c r="BT39" s="709">
        <v>0</v>
      </c>
      <c r="BU39" s="16"/>
    </row>
    <row r="40" spans="2:73" s="17" customFormat="1" ht="15.75">
      <c r="B40" s="691"/>
      <c r="C40" s="691" t="s">
        <v>21</v>
      </c>
      <c r="D40" s="691"/>
      <c r="E40" s="691" t="s">
        <v>688</v>
      </c>
      <c r="F40" s="691" t="s">
        <v>687</v>
      </c>
      <c r="G40" s="691"/>
      <c r="H40" s="691">
        <v>2012</v>
      </c>
      <c r="I40" s="644" t="s">
        <v>578</v>
      </c>
      <c r="J40" s="644" t="s">
        <v>595</v>
      </c>
      <c r="K40" s="633"/>
      <c r="L40" s="695">
        <v>0</v>
      </c>
      <c r="M40" s="696">
        <v>46.955552418229622</v>
      </c>
      <c r="N40" s="696">
        <v>46.955552418229622</v>
      </c>
      <c r="O40" s="696">
        <v>46.955552418229622</v>
      </c>
      <c r="P40" s="696">
        <v>31.663990904127669</v>
      </c>
      <c r="Q40" s="696">
        <v>31.434557888425051</v>
      </c>
      <c r="R40" s="696">
        <v>6.4295317587025691</v>
      </c>
      <c r="S40" s="696">
        <v>5.1486035074728917</v>
      </c>
      <c r="T40" s="696">
        <v>5.1486035074728917</v>
      </c>
      <c r="U40" s="696">
        <v>5.1486035074728917</v>
      </c>
      <c r="V40" s="696">
        <v>5.1486035074728917</v>
      </c>
      <c r="W40" s="696">
        <v>4.7262381831112474</v>
      </c>
      <c r="X40" s="696">
        <v>4.7061255486178357</v>
      </c>
      <c r="Y40" s="696">
        <v>0.25284635699011832</v>
      </c>
      <c r="Z40" s="696">
        <v>0</v>
      </c>
      <c r="AA40" s="696">
        <v>0</v>
      </c>
      <c r="AB40" s="696">
        <v>0</v>
      </c>
      <c r="AC40" s="696">
        <v>0</v>
      </c>
      <c r="AD40" s="696">
        <v>0</v>
      </c>
      <c r="AE40" s="696">
        <v>0</v>
      </c>
      <c r="AF40" s="696">
        <v>0</v>
      </c>
      <c r="AG40" s="696">
        <v>0</v>
      </c>
      <c r="AH40" s="696">
        <v>0</v>
      </c>
      <c r="AI40" s="696">
        <v>0</v>
      </c>
      <c r="AJ40" s="696">
        <v>0</v>
      </c>
      <c r="AK40" s="696">
        <v>0</v>
      </c>
      <c r="AL40" s="696">
        <v>0</v>
      </c>
      <c r="AM40" s="696">
        <v>0</v>
      </c>
      <c r="AN40" s="696">
        <v>0</v>
      </c>
      <c r="AO40" s="697">
        <v>0</v>
      </c>
      <c r="AP40" s="633"/>
      <c r="AQ40" s="710">
        <v>0</v>
      </c>
      <c r="AR40" s="711">
        <v>179920.70160477798</v>
      </c>
      <c r="AS40" s="712">
        <v>179920.70160477801</v>
      </c>
      <c r="AT40" s="711">
        <v>179920.70160477801</v>
      </c>
      <c r="AU40" s="712">
        <v>116076.88019301899</v>
      </c>
      <c r="AV40" s="711">
        <v>116076.88019301899</v>
      </c>
      <c r="AW40" s="712">
        <v>21155.651674336819</v>
      </c>
      <c r="AX40" s="711">
        <v>21155.651674336819</v>
      </c>
      <c r="AY40" s="712">
        <v>21155.651674336819</v>
      </c>
      <c r="AZ40" s="711">
        <v>21155.651674336819</v>
      </c>
      <c r="BA40" s="712">
        <v>21155.651674336819</v>
      </c>
      <c r="BB40" s="711">
        <v>16826.101206858173</v>
      </c>
      <c r="BC40" s="712">
        <v>16826.101206858173</v>
      </c>
      <c r="BD40" s="711">
        <v>0</v>
      </c>
      <c r="BE40" s="712">
        <v>0</v>
      </c>
      <c r="BF40" s="711">
        <v>0</v>
      </c>
      <c r="BG40" s="712">
        <v>0</v>
      </c>
      <c r="BH40" s="711">
        <v>0</v>
      </c>
      <c r="BI40" s="712">
        <v>0</v>
      </c>
      <c r="BJ40" s="711">
        <v>0</v>
      </c>
      <c r="BK40" s="712">
        <v>0</v>
      </c>
      <c r="BL40" s="711">
        <v>0</v>
      </c>
      <c r="BM40" s="712">
        <v>0</v>
      </c>
      <c r="BN40" s="711">
        <v>0</v>
      </c>
      <c r="BO40" s="712">
        <v>0</v>
      </c>
      <c r="BP40" s="711">
        <v>0</v>
      </c>
      <c r="BQ40" s="712">
        <v>0</v>
      </c>
      <c r="BR40" s="711">
        <v>0</v>
      </c>
      <c r="BS40" s="712">
        <v>0</v>
      </c>
      <c r="BT40" s="713">
        <v>0</v>
      </c>
      <c r="BU40" s="16"/>
    </row>
    <row r="41" spans="2:73" s="17" customFormat="1" ht="15.75">
      <c r="B41" s="691"/>
      <c r="C41" s="691" t="s">
        <v>2</v>
      </c>
      <c r="D41" s="691"/>
      <c r="E41" s="691" t="s">
        <v>688</v>
      </c>
      <c r="F41" s="691" t="s">
        <v>29</v>
      </c>
      <c r="G41" s="691"/>
      <c r="H41" s="691">
        <v>2012</v>
      </c>
      <c r="I41" s="644" t="s">
        <v>578</v>
      </c>
      <c r="J41" s="644" t="s">
        <v>595</v>
      </c>
      <c r="K41" s="633"/>
      <c r="L41" s="695">
        <v>0</v>
      </c>
      <c r="M41" s="696">
        <v>0.30700225932008651</v>
      </c>
      <c r="N41" s="696">
        <v>0.30700225932008651</v>
      </c>
      <c r="O41" s="696">
        <v>0.30700225932008651</v>
      </c>
      <c r="P41" s="696">
        <v>0.30092695980086182</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3"/>
      <c r="AQ41" s="706">
        <v>0</v>
      </c>
      <c r="AR41" s="707">
        <v>542.0042224714316</v>
      </c>
      <c r="AS41" s="708">
        <v>542.0042224714316</v>
      </c>
      <c r="AT41" s="707">
        <v>542.0042224714316</v>
      </c>
      <c r="AU41" s="708">
        <v>536.57135902159587</v>
      </c>
      <c r="AV41" s="707">
        <v>0</v>
      </c>
      <c r="AW41" s="708">
        <v>0</v>
      </c>
      <c r="AX41" s="707">
        <v>0</v>
      </c>
      <c r="AY41" s="708">
        <v>0</v>
      </c>
      <c r="AZ41" s="707">
        <v>0</v>
      </c>
      <c r="BA41" s="708">
        <v>0</v>
      </c>
      <c r="BB41" s="707">
        <v>0</v>
      </c>
      <c r="BC41" s="708">
        <v>0</v>
      </c>
      <c r="BD41" s="707">
        <v>0</v>
      </c>
      <c r="BE41" s="708">
        <v>0</v>
      </c>
      <c r="BF41" s="707">
        <v>0</v>
      </c>
      <c r="BG41" s="708">
        <v>0</v>
      </c>
      <c r="BH41" s="707">
        <v>0</v>
      </c>
      <c r="BI41" s="708">
        <v>0</v>
      </c>
      <c r="BJ41" s="707">
        <v>0</v>
      </c>
      <c r="BK41" s="708">
        <v>0</v>
      </c>
      <c r="BL41" s="707">
        <v>0</v>
      </c>
      <c r="BM41" s="708">
        <v>0</v>
      </c>
      <c r="BN41" s="707">
        <v>0</v>
      </c>
      <c r="BO41" s="708">
        <v>0</v>
      </c>
      <c r="BP41" s="707">
        <v>0</v>
      </c>
      <c r="BQ41" s="708">
        <v>0</v>
      </c>
      <c r="BR41" s="707">
        <v>0</v>
      </c>
      <c r="BS41" s="708">
        <v>0</v>
      </c>
      <c r="BT41" s="709">
        <v>0</v>
      </c>
      <c r="BU41" s="16"/>
    </row>
    <row r="42" spans="2:73" s="17" customFormat="1" ht="15.75">
      <c r="B42" s="691"/>
      <c r="C42" s="691" t="s">
        <v>1</v>
      </c>
      <c r="D42" s="691"/>
      <c r="E42" s="691" t="s">
        <v>688</v>
      </c>
      <c r="F42" s="691" t="s">
        <v>29</v>
      </c>
      <c r="G42" s="691"/>
      <c r="H42" s="691">
        <v>2012</v>
      </c>
      <c r="I42" s="644" t="s">
        <v>578</v>
      </c>
      <c r="J42" s="644" t="s">
        <v>595</v>
      </c>
      <c r="K42" s="633"/>
      <c r="L42" s="695">
        <v>0</v>
      </c>
      <c r="M42" s="696">
        <v>5.1713546641434291</v>
      </c>
      <c r="N42" s="696">
        <v>5.1713546641434291</v>
      </c>
      <c r="O42" s="696">
        <v>5.1713546641434291</v>
      </c>
      <c r="P42" s="696">
        <v>5.1713546641434291</v>
      </c>
      <c r="Q42" s="696">
        <v>3.5817314430221332</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3"/>
      <c r="AQ42" s="710">
        <v>0</v>
      </c>
      <c r="AR42" s="711">
        <v>38949.134989276099</v>
      </c>
      <c r="AS42" s="712">
        <v>38949.134989276099</v>
      </c>
      <c r="AT42" s="711">
        <v>38949.134989276099</v>
      </c>
      <c r="AU42" s="712">
        <v>38949.134989276099</v>
      </c>
      <c r="AV42" s="711">
        <v>27241.702004079536</v>
      </c>
      <c r="AW42" s="712">
        <v>0</v>
      </c>
      <c r="AX42" s="711">
        <v>0</v>
      </c>
      <c r="AY42" s="712">
        <v>0</v>
      </c>
      <c r="AZ42" s="711">
        <v>0</v>
      </c>
      <c r="BA42" s="712">
        <v>0</v>
      </c>
      <c r="BB42" s="711">
        <v>0</v>
      </c>
      <c r="BC42" s="712">
        <v>0</v>
      </c>
      <c r="BD42" s="711">
        <v>0</v>
      </c>
      <c r="BE42" s="712">
        <v>0</v>
      </c>
      <c r="BF42" s="711">
        <v>0</v>
      </c>
      <c r="BG42" s="712">
        <v>0</v>
      </c>
      <c r="BH42" s="711">
        <v>0</v>
      </c>
      <c r="BI42" s="712">
        <v>0</v>
      </c>
      <c r="BJ42" s="711">
        <v>0</v>
      </c>
      <c r="BK42" s="712">
        <v>0</v>
      </c>
      <c r="BL42" s="711">
        <v>0</v>
      </c>
      <c r="BM42" s="712">
        <v>0</v>
      </c>
      <c r="BN42" s="711">
        <v>0</v>
      </c>
      <c r="BO42" s="712">
        <v>0</v>
      </c>
      <c r="BP42" s="711">
        <v>0</v>
      </c>
      <c r="BQ42" s="712">
        <v>0</v>
      </c>
      <c r="BR42" s="711">
        <v>0</v>
      </c>
      <c r="BS42" s="712">
        <v>0</v>
      </c>
      <c r="BT42" s="713">
        <v>0</v>
      </c>
      <c r="BU42" s="16"/>
    </row>
    <row r="43" spans="2:73" s="17" customFormat="1" ht="15.75">
      <c r="B43" s="691"/>
      <c r="C43" s="691" t="s">
        <v>5</v>
      </c>
      <c r="D43" s="691"/>
      <c r="E43" s="691" t="s">
        <v>688</v>
      </c>
      <c r="F43" s="691" t="s">
        <v>29</v>
      </c>
      <c r="G43" s="691"/>
      <c r="H43" s="691">
        <v>2012</v>
      </c>
      <c r="I43" s="644" t="s">
        <v>578</v>
      </c>
      <c r="J43" s="644" t="s">
        <v>595</v>
      </c>
      <c r="K43" s="633"/>
      <c r="L43" s="695">
        <v>0</v>
      </c>
      <c r="M43" s="696">
        <v>4.2294320984335121</v>
      </c>
      <c r="N43" s="696">
        <v>4.2294320984335121</v>
      </c>
      <c r="O43" s="696">
        <v>4.2294320984335121</v>
      </c>
      <c r="P43" s="696">
        <v>4.2294320984335121</v>
      </c>
      <c r="Q43" s="696">
        <v>3.871280876622532</v>
      </c>
      <c r="R43" s="696">
        <v>3.2760159118619909</v>
      </c>
      <c r="S43" s="696">
        <v>2.4525333066829149</v>
      </c>
      <c r="T43" s="696">
        <v>2.4434782179035053</v>
      </c>
      <c r="U43" s="696">
        <v>2.4434782179035053</v>
      </c>
      <c r="V43" s="696">
        <v>1.5758260534113691</v>
      </c>
      <c r="W43" s="696">
        <v>0.61652493721572144</v>
      </c>
      <c r="X43" s="696">
        <v>0.616470805199551</v>
      </c>
      <c r="Y43" s="696">
        <v>0.616470805199551</v>
      </c>
      <c r="Z43" s="696">
        <v>0.6058917108330516</v>
      </c>
      <c r="AA43" s="696">
        <v>0.6058917108330516</v>
      </c>
      <c r="AB43" s="696">
        <v>0.59083794054024041</v>
      </c>
      <c r="AC43" s="696">
        <v>0.1657777296075516</v>
      </c>
      <c r="AD43" s="696">
        <v>0.1657777296075516</v>
      </c>
      <c r="AE43" s="696">
        <v>0.1657777296075516</v>
      </c>
      <c r="AF43" s="696">
        <v>0.1657777296075516</v>
      </c>
      <c r="AG43" s="696">
        <v>0</v>
      </c>
      <c r="AH43" s="696">
        <v>0</v>
      </c>
      <c r="AI43" s="696">
        <v>0</v>
      </c>
      <c r="AJ43" s="696">
        <v>0</v>
      </c>
      <c r="AK43" s="696">
        <v>0</v>
      </c>
      <c r="AL43" s="696">
        <v>0</v>
      </c>
      <c r="AM43" s="696">
        <v>0</v>
      </c>
      <c r="AN43" s="696">
        <v>0</v>
      </c>
      <c r="AO43" s="697">
        <v>0</v>
      </c>
      <c r="AP43" s="633"/>
      <c r="AQ43" s="714">
        <v>0</v>
      </c>
      <c r="AR43" s="715">
        <v>76535.503542561826</v>
      </c>
      <c r="AS43" s="716">
        <v>76535.503542561826</v>
      </c>
      <c r="AT43" s="715">
        <v>76535.503542561826</v>
      </c>
      <c r="AU43" s="716">
        <v>76535.503542561826</v>
      </c>
      <c r="AV43" s="715">
        <v>68800.548836341186</v>
      </c>
      <c r="AW43" s="716">
        <v>55944.67327254705</v>
      </c>
      <c r="AX43" s="715">
        <v>38160.005052757042</v>
      </c>
      <c r="AY43" s="716">
        <v>38080.68247504942</v>
      </c>
      <c r="AZ43" s="715">
        <v>38080.68247504942</v>
      </c>
      <c r="BA43" s="716">
        <v>19342.088874374971</v>
      </c>
      <c r="BB43" s="715">
        <v>14354.352827056342</v>
      </c>
      <c r="BC43" s="716">
        <v>13908.243088721732</v>
      </c>
      <c r="BD43" s="715">
        <v>13908.243088721732</v>
      </c>
      <c r="BE43" s="716">
        <v>12937.240662527356</v>
      </c>
      <c r="BF43" s="715">
        <v>12937.240662527356</v>
      </c>
      <c r="BG43" s="716">
        <v>12760.265581914942</v>
      </c>
      <c r="BH43" s="715">
        <v>3580.2843930859085</v>
      </c>
      <c r="BI43" s="716">
        <v>3580.2843930859085</v>
      </c>
      <c r="BJ43" s="715">
        <v>3580.2843930859085</v>
      </c>
      <c r="BK43" s="716">
        <v>3580.2843930859085</v>
      </c>
      <c r="BL43" s="715">
        <v>0</v>
      </c>
      <c r="BM43" s="716">
        <v>0</v>
      </c>
      <c r="BN43" s="715">
        <v>0</v>
      </c>
      <c r="BO43" s="716">
        <v>0</v>
      </c>
      <c r="BP43" s="715">
        <v>0</v>
      </c>
      <c r="BQ43" s="716">
        <v>0</v>
      </c>
      <c r="BR43" s="715">
        <v>0</v>
      </c>
      <c r="BS43" s="716">
        <v>0</v>
      </c>
      <c r="BT43" s="717">
        <v>0</v>
      </c>
      <c r="BU43" s="16"/>
    </row>
    <row r="44" spans="2:73" s="17" customFormat="1" ht="15.75">
      <c r="B44" s="691"/>
      <c r="C44" s="691" t="s">
        <v>4</v>
      </c>
      <c r="D44" s="691"/>
      <c r="E44" s="691" t="s">
        <v>688</v>
      </c>
      <c r="F44" s="691" t="s">
        <v>29</v>
      </c>
      <c r="G44" s="691"/>
      <c r="H44" s="691">
        <v>2012</v>
      </c>
      <c r="I44" s="644" t="s">
        <v>578</v>
      </c>
      <c r="J44" s="644" t="s">
        <v>595</v>
      </c>
      <c r="K44" s="633"/>
      <c r="L44" s="695">
        <v>0</v>
      </c>
      <c r="M44" s="696">
        <v>0.65847157903660603</v>
      </c>
      <c r="N44" s="696">
        <v>0.65847157903660603</v>
      </c>
      <c r="O44" s="696">
        <v>0.65847157903660603</v>
      </c>
      <c r="P44" s="696">
        <v>0.65847157903660603</v>
      </c>
      <c r="Q44" s="696">
        <v>0.65569202851862141</v>
      </c>
      <c r="R44" s="696">
        <v>0.65569202851862141</v>
      </c>
      <c r="S44" s="696">
        <v>0.55927135041890519</v>
      </c>
      <c r="T44" s="696">
        <v>0.55810372054998147</v>
      </c>
      <c r="U44" s="696">
        <v>0.55810372054998147</v>
      </c>
      <c r="V44" s="696">
        <v>0.55810372054998147</v>
      </c>
      <c r="W44" s="696">
        <v>1.0266144038402977E-2</v>
      </c>
      <c r="X44" s="696">
        <v>1.025907389546646E-2</v>
      </c>
      <c r="Y44" s="696">
        <v>1.025907389546646E-2</v>
      </c>
      <c r="Z44" s="696">
        <v>9.8896538218546538E-3</v>
      </c>
      <c r="AA44" s="696">
        <v>9.8896538218546538E-3</v>
      </c>
      <c r="AB44" s="696">
        <v>9.2377188879140121E-3</v>
      </c>
      <c r="AC44" s="696">
        <v>0</v>
      </c>
      <c r="AD44" s="696">
        <v>0</v>
      </c>
      <c r="AE44" s="696">
        <v>0</v>
      </c>
      <c r="AF44" s="696">
        <v>0</v>
      </c>
      <c r="AG44" s="696">
        <v>0</v>
      </c>
      <c r="AH44" s="696">
        <v>0</v>
      </c>
      <c r="AI44" s="696">
        <v>0</v>
      </c>
      <c r="AJ44" s="696">
        <v>0</v>
      </c>
      <c r="AK44" s="696">
        <v>0</v>
      </c>
      <c r="AL44" s="696">
        <v>0</v>
      </c>
      <c r="AM44" s="696">
        <v>0</v>
      </c>
      <c r="AN44" s="696">
        <v>0</v>
      </c>
      <c r="AO44" s="697">
        <v>0</v>
      </c>
      <c r="AP44" s="633"/>
      <c r="AQ44" s="695">
        <v>0</v>
      </c>
      <c r="AR44" s="696">
        <v>3995.7204263027816</v>
      </c>
      <c r="AS44" s="696">
        <v>3995.7204263027816</v>
      </c>
      <c r="AT44" s="696">
        <v>3995.7204263027816</v>
      </c>
      <c r="AU44" s="696">
        <v>3995.7204263027816</v>
      </c>
      <c r="AV44" s="696">
        <v>3935.6907627111013</v>
      </c>
      <c r="AW44" s="696">
        <v>3935.6907627111013</v>
      </c>
      <c r="AX44" s="696">
        <v>1853.3034011010466</v>
      </c>
      <c r="AY44" s="696">
        <v>1843.0749634492736</v>
      </c>
      <c r="AZ44" s="696">
        <v>1843.0749634492736</v>
      </c>
      <c r="BA44" s="696">
        <v>1843.0749634492736</v>
      </c>
      <c r="BB44" s="696">
        <v>299.34362563543237</v>
      </c>
      <c r="BC44" s="696">
        <v>241.07755984784004</v>
      </c>
      <c r="BD44" s="696">
        <v>241.07755984784004</v>
      </c>
      <c r="BE44" s="696">
        <v>207.17032966962338</v>
      </c>
      <c r="BF44" s="696">
        <v>207.17032966962338</v>
      </c>
      <c r="BG44" s="696">
        <v>199.50605452499124</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75">
      <c r="B45" s="691"/>
      <c r="C45" s="691" t="s">
        <v>14</v>
      </c>
      <c r="D45" s="691"/>
      <c r="E45" s="691" t="s">
        <v>688</v>
      </c>
      <c r="F45" s="691" t="s">
        <v>29</v>
      </c>
      <c r="G45" s="691"/>
      <c r="H45" s="691">
        <v>2012</v>
      </c>
      <c r="I45" s="644" t="s">
        <v>578</v>
      </c>
      <c r="J45" s="644" t="s">
        <v>595</v>
      </c>
      <c r="K45" s="633"/>
      <c r="L45" s="695">
        <v>0</v>
      </c>
      <c r="M45" s="696">
        <v>1.1396128369960934</v>
      </c>
      <c r="N45" s="696">
        <v>1.0961857405491173</v>
      </c>
      <c r="O45" s="696">
        <v>1.0961857405491173</v>
      </c>
      <c r="P45" s="696">
        <v>1.0961857405491173</v>
      </c>
      <c r="Q45" s="696">
        <v>1.0961857405491173</v>
      </c>
      <c r="R45" s="696">
        <v>1.0961857405491173</v>
      </c>
      <c r="S45" s="696">
        <v>1.0716585735790434</v>
      </c>
      <c r="T45" s="696">
        <v>1.0716585735790434</v>
      </c>
      <c r="U45" s="696">
        <v>0.63219298096373677</v>
      </c>
      <c r="V45" s="696">
        <v>0.63219298096373677</v>
      </c>
      <c r="W45" s="696">
        <v>0.57442610058933496</v>
      </c>
      <c r="X45" s="696">
        <v>0.57442610058933496</v>
      </c>
      <c r="Y45" s="696">
        <v>0.28266652021557098</v>
      </c>
      <c r="Z45" s="696">
        <v>0.28266652021557098</v>
      </c>
      <c r="AA45" s="696">
        <v>0.19645622465759516</v>
      </c>
      <c r="AB45" s="696">
        <v>8.586110919713974E-2</v>
      </c>
      <c r="AC45" s="696">
        <v>8.586110919713974E-2</v>
      </c>
      <c r="AD45" s="696">
        <v>8.586110919713974E-2</v>
      </c>
      <c r="AE45" s="696">
        <v>8.586110919713974E-2</v>
      </c>
      <c r="AF45" s="696">
        <v>8.586110919713974E-2</v>
      </c>
      <c r="AG45" s="696">
        <v>8.586110919713974E-2</v>
      </c>
      <c r="AH45" s="696">
        <v>0</v>
      </c>
      <c r="AI45" s="696">
        <v>0</v>
      </c>
      <c r="AJ45" s="696">
        <v>0</v>
      </c>
      <c r="AK45" s="696">
        <v>0</v>
      </c>
      <c r="AL45" s="696">
        <v>0</v>
      </c>
      <c r="AM45" s="696">
        <v>0</v>
      </c>
      <c r="AN45" s="696">
        <v>0</v>
      </c>
      <c r="AO45" s="697">
        <v>0</v>
      </c>
      <c r="AP45" s="633"/>
      <c r="AQ45" s="695">
        <v>0</v>
      </c>
      <c r="AR45" s="696">
        <v>14523.323989868164</v>
      </c>
      <c r="AS45" s="696">
        <v>14523.324035644531</v>
      </c>
      <c r="AT45" s="696">
        <v>14523.324035644531</v>
      </c>
      <c r="AU45" s="696">
        <v>13687.323989868166</v>
      </c>
      <c r="AV45" s="696">
        <v>13372.323989868162</v>
      </c>
      <c r="AW45" s="696">
        <v>13372.323989868162</v>
      </c>
      <c r="AX45" s="696">
        <v>12900.15998840332</v>
      </c>
      <c r="AY45" s="696">
        <v>12159.940002441406</v>
      </c>
      <c r="AZ45" s="696">
        <v>3699.9400024414063</v>
      </c>
      <c r="BA45" s="696">
        <v>3699.9400024414063</v>
      </c>
      <c r="BB45" s="696">
        <v>3190</v>
      </c>
      <c r="BC45" s="696">
        <v>3190</v>
      </c>
      <c r="BD45" s="696">
        <v>2220</v>
      </c>
      <c r="BE45" s="696">
        <v>2220</v>
      </c>
      <c r="BF45" s="696">
        <v>1545</v>
      </c>
      <c r="BG45" s="696">
        <v>633</v>
      </c>
      <c r="BH45" s="696">
        <v>633</v>
      </c>
      <c r="BI45" s="696">
        <v>633</v>
      </c>
      <c r="BJ45" s="696">
        <v>633</v>
      </c>
      <c r="BK45" s="696">
        <v>633</v>
      </c>
      <c r="BL45" s="696">
        <v>633</v>
      </c>
      <c r="BM45" s="696">
        <v>0</v>
      </c>
      <c r="BN45" s="696">
        <v>0</v>
      </c>
      <c r="BO45" s="696">
        <v>0</v>
      </c>
      <c r="BP45" s="696">
        <v>0</v>
      </c>
      <c r="BQ45" s="696">
        <v>0</v>
      </c>
      <c r="BR45" s="696">
        <v>0</v>
      </c>
      <c r="BS45" s="696">
        <v>0</v>
      </c>
      <c r="BT45" s="697">
        <v>0</v>
      </c>
      <c r="BU45" s="16"/>
    </row>
    <row r="46" spans="2:73" s="17" customFormat="1" ht="15.75">
      <c r="B46" s="691"/>
      <c r="C46" s="691" t="s">
        <v>17</v>
      </c>
      <c r="D46" s="691"/>
      <c r="E46" s="691" t="s">
        <v>688</v>
      </c>
      <c r="F46" s="691" t="s">
        <v>687</v>
      </c>
      <c r="G46" s="691"/>
      <c r="H46" s="691">
        <v>2012</v>
      </c>
      <c r="I46" s="644" t="s">
        <v>578</v>
      </c>
      <c r="J46" s="644" t="s">
        <v>595</v>
      </c>
      <c r="K46" s="633"/>
      <c r="L46" s="695">
        <v>0</v>
      </c>
      <c r="M46" s="696">
        <v>0.32292648347659642</v>
      </c>
      <c r="N46" s="696">
        <v>0.32292648347659642</v>
      </c>
      <c r="O46" s="696">
        <v>0.32292648347659642</v>
      </c>
      <c r="P46" s="696">
        <v>0.32292648347659642</v>
      </c>
      <c r="Q46" s="696">
        <v>0.32292648347659642</v>
      </c>
      <c r="R46" s="696">
        <v>0.32292648347659642</v>
      </c>
      <c r="S46" s="696">
        <v>0.32292648347659642</v>
      </c>
      <c r="T46" s="696">
        <v>0.32292648347659642</v>
      </c>
      <c r="U46" s="696">
        <v>0.32292648347659642</v>
      </c>
      <c r="V46" s="696">
        <v>0.32292648347659642</v>
      </c>
      <c r="W46" s="696">
        <v>0.32292648347659642</v>
      </c>
      <c r="X46" s="696">
        <v>0.32292648347659642</v>
      </c>
      <c r="Y46" s="696">
        <v>0</v>
      </c>
      <c r="Z46" s="696">
        <v>0</v>
      </c>
      <c r="AA46" s="696">
        <v>0</v>
      </c>
      <c r="AB46" s="696">
        <v>0</v>
      </c>
      <c r="AC46" s="696">
        <v>0</v>
      </c>
      <c r="AD46" s="696">
        <v>0</v>
      </c>
      <c r="AE46" s="696">
        <v>0</v>
      </c>
      <c r="AF46" s="696">
        <v>0</v>
      </c>
      <c r="AG46" s="696">
        <v>0</v>
      </c>
      <c r="AH46" s="696">
        <v>0</v>
      </c>
      <c r="AI46" s="696">
        <v>0</v>
      </c>
      <c r="AJ46" s="696">
        <v>0</v>
      </c>
      <c r="AK46" s="696">
        <v>0</v>
      </c>
      <c r="AL46" s="696">
        <v>0</v>
      </c>
      <c r="AM46" s="696">
        <v>0</v>
      </c>
      <c r="AN46" s="696">
        <v>0</v>
      </c>
      <c r="AO46" s="697">
        <v>0</v>
      </c>
      <c r="AP46" s="633"/>
      <c r="AQ46" s="695">
        <v>0</v>
      </c>
      <c r="AR46" s="696">
        <v>312.86289399373942</v>
      </c>
      <c r="AS46" s="696">
        <v>312.86289399373942</v>
      </c>
      <c r="AT46" s="696">
        <v>312.86289399373942</v>
      </c>
      <c r="AU46" s="696">
        <v>312.86289399373942</v>
      </c>
      <c r="AV46" s="696">
        <v>312.86289399373942</v>
      </c>
      <c r="AW46" s="696">
        <v>312.86289399373942</v>
      </c>
      <c r="AX46" s="696">
        <v>312.86289399373942</v>
      </c>
      <c r="AY46" s="696">
        <v>312.86289399373942</v>
      </c>
      <c r="AZ46" s="696">
        <v>312.86289399373942</v>
      </c>
      <c r="BA46" s="696">
        <v>312.86289399373942</v>
      </c>
      <c r="BB46" s="696">
        <v>312.86289399373942</v>
      </c>
      <c r="BC46" s="696">
        <v>312.86289399373942</v>
      </c>
      <c r="BD46" s="696">
        <v>0</v>
      </c>
      <c r="BE46" s="696">
        <v>0</v>
      </c>
      <c r="BF46" s="696">
        <v>0</v>
      </c>
      <c r="BG46" s="696">
        <v>0</v>
      </c>
      <c r="BH46" s="696">
        <v>0</v>
      </c>
      <c r="BI46" s="696">
        <v>0</v>
      </c>
      <c r="BJ46" s="696">
        <v>0</v>
      </c>
      <c r="BK46" s="696">
        <v>0</v>
      </c>
      <c r="BL46" s="696">
        <v>0</v>
      </c>
      <c r="BM46" s="696">
        <v>0</v>
      </c>
      <c r="BN46" s="696">
        <v>0</v>
      </c>
      <c r="BO46" s="696">
        <v>0</v>
      </c>
      <c r="BP46" s="696">
        <v>0</v>
      </c>
      <c r="BQ46" s="696">
        <v>0</v>
      </c>
      <c r="BR46" s="696">
        <v>0</v>
      </c>
      <c r="BS46" s="696">
        <v>0</v>
      </c>
      <c r="BT46" s="697">
        <v>0</v>
      </c>
      <c r="BU46" s="16"/>
    </row>
    <row r="47" spans="2:73" s="17" customFormat="1" ht="15.75">
      <c r="B47" s="691"/>
      <c r="C47" s="691" t="s">
        <v>9</v>
      </c>
      <c r="D47" s="691"/>
      <c r="E47" s="691" t="s">
        <v>688</v>
      </c>
      <c r="F47" s="691" t="s">
        <v>689</v>
      </c>
      <c r="G47" s="691"/>
      <c r="H47" s="691">
        <v>2012</v>
      </c>
      <c r="I47" s="644" t="s">
        <v>578</v>
      </c>
      <c r="J47" s="644" t="s">
        <v>595</v>
      </c>
      <c r="K47" s="633"/>
      <c r="L47" s="695">
        <v>0</v>
      </c>
      <c r="M47" s="696">
        <v>37.274569499999998</v>
      </c>
      <c r="N47" s="696">
        <v>0</v>
      </c>
      <c r="O47" s="696">
        <v>0</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3"/>
      <c r="AQ47" s="695">
        <v>0</v>
      </c>
      <c r="AR47" s="696">
        <v>541.79780000000005</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75">
      <c r="B48" s="691"/>
      <c r="C48" s="691" t="s">
        <v>20</v>
      </c>
      <c r="D48" s="691"/>
      <c r="E48" s="691" t="s">
        <v>688</v>
      </c>
      <c r="F48" s="691" t="s">
        <v>687</v>
      </c>
      <c r="G48" s="691"/>
      <c r="H48" s="691">
        <v>2012</v>
      </c>
      <c r="I48" s="644" t="s">
        <v>578</v>
      </c>
      <c r="J48" s="644" t="s">
        <v>595</v>
      </c>
      <c r="K48" s="633"/>
      <c r="L48" s="695">
        <v>0</v>
      </c>
      <c r="M48" s="696">
        <v>0</v>
      </c>
      <c r="N48" s="696">
        <v>0</v>
      </c>
      <c r="O48" s="696">
        <v>0</v>
      </c>
      <c r="P48" s="696">
        <v>0</v>
      </c>
      <c r="Q48" s="696">
        <v>0</v>
      </c>
      <c r="R48" s="696">
        <v>0</v>
      </c>
      <c r="S48" s="696">
        <v>0</v>
      </c>
      <c r="T48" s="696">
        <v>0</v>
      </c>
      <c r="U48" s="696">
        <v>0</v>
      </c>
      <c r="V48" s="696">
        <v>0</v>
      </c>
      <c r="W48" s="696">
        <v>0</v>
      </c>
      <c r="X48" s="696">
        <v>0</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3"/>
      <c r="AQ48" s="695">
        <v>0</v>
      </c>
      <c r="AR48" s="696">
        <v>17855</v>
      </c>
      <c r="AS48" s="696">
        <v>17855</v>
      </c>
      <c r="AT48" s="696">
        <v>17855</v>
      </c>
      <c r="AU48" s="696">
        <v>17855</v>
      </c>
      <c r="AV48" s="696">
        <v>0</v>
      </c>
      <c r="AW48" s="696">
        <v>0</v>
      </c>
      <c r="AX48" s="696">
        <v>0</v>
      </c>
      <c r="AY48" s="696">
        <v>0</v>
      </c>
      <c r="AZ48" s="696">
        <v>0</v>
      </c>
      <c r="BA48" s="696">
        <v>0</v>
      </c>
      <c r="BB48" s="696">
        <v>0</v>
      </c>
      <c r="BC48" s="696">
        <v>0</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75">
      <c r="B49" s="691"/>
      <c r="C49" s="691" t="s">
        <v>22</v>
      </c>
      <c r="D49" s="691"/>
      <c r="E49" s="691" t="s">
        <v>688</v>
      </c>
      <c r="F49" s="691" t="s">
        <v>687</v>
      </c>
      <c r="G49" s="691"/>
      <c r="H49" s="691">
        <v>2013</v>
      </c>
      <c r="I49" s="644" t="s">
        <v>579</v>
      </c>
      <c r="J49" s="644" t="s">
        <v>595</v>
      </c>
      <c r="K49" s="633"/>
      <c r="L49" s="695">
        <v>0</v>
      </c>
      <c r="M49" s="696">
        <v>0</v>
      </c>
      <c r="N49" s="696">
        <v>178.86134415618662</v>
      </c>
      <c r="O49" s="696">
        <v>178.86134415618662</v>
      </c>
      <c r="P49" s="696">
        <v>177.8275051476511</v>
      </c>
      <c r="Q49" s="696">
        <v>177.8275051476511</v>
      </c>
      <c r="R49" s="696">
        <v>171.51420577817336</v>
      </c>
      <c r="S49" s="696">
        <v>164.37154174240908</v>
      </c>
      <c r="T49" s="696">
        <v>164.37154174240908</v>
      </c>
      <c r="U49" s="696">
        <v>164.37154174240908</v>
      </c>
      <c r="V49" s="696">
        <v>164.17318850368616</v>
      </c>
      <c r="W49" s="696">
        <v>148.55369093701233</v>
      </c>
      <c r="X49" s="696">
        <v>130.35114389348058</v>
      </c>
      <c r="Y49" s="696">
        <v>130.35114389348058</v>
      </c>
      <c r="Z49" s="696">
        <v>87.867501416930153</v>
      </c>
      <c r="AA49" s="696">
        <v>73.812676088149047</v>
      </c>
      <c r="AB49" s="696">
        <v>73.812676088149047</v>
      </c>
      <c r="AC49" s="696">
        <v>60.945369587539524</v>
      </c>
      <c r="AD49" s="696">
        <v>8.0914329224736932</v>
      </c>
      <c r="AE49" s="696">
        <v>8.0914329224736932</v>
      </c>
      <c r="AF49" s="696">
        <v>8.0914329224736932</v>
      </c>
      <c r="AG49" s="696">
        <v>8.0914329224736932</v>
      </c>
      <c r="AH49" s="696">
        <v>0</v>
      </c>
      <c r="AI49" s="696">
        <v>0</v>
      </c>
      <c r="AJ49" s="696">
        <v>0</v>
      </c>
      <c r="AK49" s="696">
        <v>0</v>
      </c>
      <c r="AL49" s="696">
        <v>0</v>
      </c>
      <c r="AM49" s="696">
        <v>0</v>
      </c>
      <c r="AN49" s="696">
        <v>0</v>
      </c>
      <c r="AO49" s="697">
        <v>0</v>
      </c>
      <c r="AP49" s="633"/>
      <c r="AQ49" s="695">
        <v>0</v>
      </c>
      <c r="AR49" s="696">
        <v>0</v>
      </c>
      <c r="AS49" s="696">
        <v>1047116.7699332013</v>
      </c>
      <c r="AT49" s="696">
        <v>1030338.4733909436</v>
      </c>
      <c r="AU49" s="696">
        <v>1027108.7872834338</v>
      </c>
      <c r="AV49" s="696">
        <v>1027108.7872834338</v>
      </c>
      <c r="AW49" s="696">
        <v>1006547.374169114</v>
      </c>
      <c r="AX49" s="696">
        <v>996103.70773962722</v>
      </c>
      <c r="AY49" s="696">
        <v>996103.70773962722</v>
      </c>
      <c r="AZ49" s="696">
        <v>992633.79295179737</v>
      </c>
      <c r="BA49" s="696">
        <v>990094.13585562445</v>
      </c>
      <c r="BB49" s="696">
        <v>913962.35800350958</v>
      </c>
      <c r="BC49" s="696">
        <v>790842.15730844915</v>
      </c>
      <c r="BD49" s="696">
        <v>762071.48700074444</v>
      </c>
      <c r="BE49" s="696">
        <v>519004.40141774382</v>
      </c>
      <c r="BF49" s="696">
        <v>475190.76751172019</v>
      </c>
      <c r="BG49" s="696">
        <v>475190.76751172019</v>
      </c>
      <c r="BH49" s="696">
        <v>386751.0300939146</v>
      </c>
      <c r="BI49" s="696">
        <v>23474.669191629779</v>
      </c>
      <c r="BJ49" s="696">
        <v>23474.669191629779</v>
      </c>
      <c r="BK49" s="696">
        <v>23474.669191629779</v>
      </c>
      <c r="BL49" s="696">
        <v>23474.669191629779</v>
      </c>
      <c r="BM49" s="696">
        <v>0</v>
      </c>
      <c r="BN49" s="696">
        <v>0</v>
      </c>
      <c r="BO49" s="696">
        <v>0</v>
      </c>
      <c r="BP49" s="696">
        <v>0</v>
      </c>
      <c r="BQ49" s="696">
        <v>0</v>
      </c>
      <c r="BR49" s="696">
        <v>0</v>
      </c>
      <c r="BS49" s="696">
        <v>0</v>
      </c>
      <c r="BT49" s="697">
        <v>0</v>
      </c>
      <c r="BU49" s="16"/>
    </row>
    <row r="50" spans="2:73" s="17" customFormat="1" ht="15.75">
      <c r="B50" s="691"/>
      <c r="C50" s="691" t="s">
        <v>3</v>
      </c>
      <c r="D50" s="691"/>
      <c r="E50" s="691" t="s">
        <v>688</v>
      </c>
      <c r="F50" s="691" t="s">
        <v>29</v>
      </c>
      <c r="G50" s="691"/>
      <c r="H50" s="691">
        <v>2013</v>
      </c>
      <c r="I50" s="644" t="s">
        <v>579</v>
      </c>
      <c r="J50" s="644" t="s">
        <v>595</v>
      </c>
      <c r="K50" s="633"/>
      <c r="L50" s="695">
        <v>0</v>
      </c>
      <c r="M50" s="696">
        <v>0</v>
      </c>
      <c r="N50" s="696">
        <v>34.690399470213187</v>
      </c>
      <c r="O50" s="696">
        <v>34.690399470213187</v>
      </c>
      <c r="P50" s="696">
        <v>34.690399470213187</v>
      </c>
      <c r="Q50" s="696">
        <v>34.690399470213187</v>
      </c>
      <c r="R50" s="696">
        <v>34.690399470213187</v>
      </c>
      <c r="S50" s="696">
        <v>34.690399470213187</v>
      </c>
      <c r="T50" s="696">
        <v>34.690399470213187</v>
      </c>
      <c r="U50" s="696">
        <v>34.690399470213187</v>
      </c>
      <c r="V50" s="696">
        <v>34.690399470213187</v>
      </c>
      <c r="W50" s="696">
        <v>34.690399470213187</v>
      </c>
      <c r="X50" s="696">
        <v>34.690399470213187</v>
      </c>
      <c r="Y50" s="696">
        <v>34.690399470213187</v>
      </c>
      <c r="Z50" s="696">
        <v>34.690399470213187</v>
      </c>
      <c r="AA50" s="696">
        <v>34.690399470213187</v>
      </c>
      <c r="AB50" s="696">
        <v>34.690399470213187</v>
      </c>
      <c r="AC50" s="696">
        <v>34.690399470213187</v>
      </c>
      <c r="AD50" s="696">
        <v>34.690399470213187</v>
      </c>
      <c r="AE50" s="696">
        <v>34.690399470213187</v>
      </c>
      <c r="AF50" s="696">
        <v>30.76362644597053</v>
      </c>
      <c r="AG50" s="696">
        <v>0</v>
      </c>
      <c r="AH50" s="696">
        <v>0</v>
      </c>
      <c r="AI50" s="696">
        <v>0</v>
      </c>
      <c r="AJ50" s="696">
        <v>0</v>
      </c>
      <c r="AK50" s="696">
        <v>0</v>
      </c>
      <c r="AL50" s="696">
        <v>0</v>
      </c>
      <c r="AM50" s="696">
        <v>0</v>
      </c>
      <c r="AN50" s="696">
        <v>0</v>
      </c>
      <c r="AO50" s="697">
        <v>0</v>
      </c>
      <c r="AP50" s="633"/>
      <c r="AQ50" s="695">
        <v>0</v>
      </c>
      <c r="AR50" s="696">
        <v>0</v>
      </c>
      <c r="AS50" s="696">
        <v>63246.155788642405</v>
      </c>
      <c r="AT50" s="696">
        <v>63246.155788642405</v>
      </c>
      <c r="AU50" s="696">
        <v>63246.155788642405</v>
      </c>
      <c r="AV50" s="696">
        <v>63246.155788642405</v>
      </c>
      <c r="AW50" s="696">
        <v>63246.155788642405</v>
      </c>
      <c r="AX50" s="696">
        <v>63246.155788642405</v>
      </c>
      <c r="AY50" s="696">
        <v>63246.155788642405</v>
      </c>
      <c r="AZ50" s="696">
        <v>63246.155788642405</v>
      </c>
      <c r="BA50" s="696">
        <v>63246.155788642405</v>
      </c>
      <c r="BB50" s="696">
        <v>63246.155788642405</v>
      </c>
      <c r="BC50" s="696">
        <v>63246.155788642405</v>
      </c>
      <c r="BD50" s="696">
        <v>63246.155788642405</v>
      </c>
      <c r="BE50" s="696">
        <v>63246.155788642405</v>
      </c>
      <c r="BF50" s="696">
        <v>63246.155788642405</v>
      </c>
      <c r="BG50" s="696">
        <v>63246.155788642405</v>
      </c>
      <c r="BH50" s="696">
        <v>63246.155788642405</v>
      </c>
      <c r="BI50" s="696">
        <v>63246.155788642405</v>
      </c>
      <c r="BJ50" s="696">
        <v>63246.155788642405</v>
      </c>
      <c r="BK50" s="696">
        <v>59734.621654119408</v>
      </c>
      <c r="BL50" s="696">
        <v>0</v>
      </c>
      <c r="BM50" s="696">
        <v>0</v>
      </c>
      <c r="BN50" s="696">
        <v>0</v>
      </c>
      <c r="BO50" s="696">
        <v>0</v>
      </c>
      <c r="BP50" s="696">
        <v>0</v>
      </c>
      <c r="BQ50" s="696">
        <v>0</v>
      </c>
      <c r="BR50" s="696">
        <v>0</v>
      </c>
      <c r="BS50" s="696">
        <v>0</v>
      </c>
      <c r="BT50" s="697">
        <v>0</v>
      </c>
      <c r="BU50" s="16"/>
    </row>
    <row r="51" spans="2:73" s="17" customFormat="1" ht="15.75">
      <c r="B51" s="691"/>
      <c r="C51" s="691" t="s">
        <v>1</v>
      </c>
      <c r="D51" s="691"/>
      <c r="E51" s="691" t="s">
        <v>688</v>
      </c>
      <c r="F51" s="691" t="s">
        <v>29</v>
      </c>
      <c r="G51" s="691"/>
      <c r="H51" s="691">
        <v>2013</v>
      </c>
      <c r="I51" s="644" t="s">
        <v>579</v>
      </c>
      <c r="J51" s="644" t="s">
        <v>595</v>
      </c>
      <c r="K51" s="633"/>
      <c r="L51" s="695">
        <v>0</v>
      </c>
      <c r="M51" s="696">
        <v>0</v>
      </c>
      <c r="N51" s="696">
        <v>2.9523212232111886</v>
      </c>
      <c r="O51" s="696">
        <v>2.9523212232111886</v>
      </c>
      <c r="P51" s="696">
        <v>2.9523212232111886</v>
      </c>
      <c r="Q51" s="696">
        <v>2.847537193591164</v>
      </c>
      <c r="R51" s="696">
        <v>1.5778427170262748</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3"/>
      <c r="AQ51" s="695">
        <v>0</v>
      </c>
      <c r="AR51" s="696">
        <v>0</v>
      </c>
      <c r="AS51" s="696">
        <v>19121.61350430387</v>
      </c>
      <c r="AT51" s="696">
        <v>19121.61350430387</v>
      </c>
      <c r="AU51" s="696">
        <v>19121.61350430387</v>
      </c>
      <c r="AV51" s="696">
        <v>19019.068985970534</v>
      </c>
      <c r="AW51" s="696">
        <v>10735.90253343334</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75">
      <c r="B52" s="691"/>
      <c r="C52" s="691" t="s">
        <v>2</v>
      </c>
      <c r="D52" s="691"/>
      <c r="E52" s="691" t="s">
        <v>688</v>
      </c>
      <c r="F52" s="691" t="s">
        <v>29</v>
      </c>
      <c r="G52" s="691"/>
      <c r="H52" s="691">
        <v>2013</v>
      </c>
      <c r="I52" s="644" t="s">
        <v>579</v>
      </c>
      <c r="J52" s="644" t="s">
        <v>595</v>
      </c>
      <c r="K52" s="633"/>
      <c r="L52" s="695">
        <v>0</v>
      </c>
      <c r="M52" s="696">
        <v>0</v>
      </c>
      <c r="N52" s="696">
        <v>4.3510760798331551</v>
      </c>
      <c r="O52" s="696">
        <v>4.3510760798331551</v>
      </c>
      <c r="P52" s="696">
        <v>4.3510760798331551</v>
      </c>
      <c r="Q52" s="696">
        <v>4.3510760798331551</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3"/>
      <c r="AQ52" s="695">
        <v>0</v>
      </c>
      <c r="AR52" s="696">
        <v>0</v>
      </c>
      <c r="AS52" s="696">
        <v>7758.2374371089982</v>
      </c>
      <c r="AT52" s="696">
        <v>7758.2374371089982</v>
      </c>
      <c r="AU52" s="696">
        <v>7758.2374371089982</v>
      </c>
      <c r="AV52" s="696">
        <v>7758.2374371089982</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691"/>
      <c r="C53" s="691" t="s">
        <v>42</v>
      </c>
      <c r="D53" s="691"/>
      <c r="E53" s="691" t="s">
        <v>688</v>
      </c>
      <c r="F53" s="691" t="s">
        <v>29</v>
      </c>
      <c r="G53" s="691"/>
      <c r="H53" s="691">
        <v>2013</v>
      </c>
      <c r="I53" s="644" t="s">
        <v>579</v>
      </c>
      <c r="J53" s="644" t="s">
        <v>595</v>
      </c>
      <c r="K53" s="633"/>
      <c r="L53" s="695">
        <v>0</v>
      </c>
      <c r="M53" s="696">
        <v>0</v>
      </c>
      <c r="N53" s="696">
        <v>142.23673700000001</v>
      </c>
      <c r="O53" s="696">
        <v>0</v>
      </c>
      <c r="P53" s="696">
        <v>0</v>
      </c>
      <c r="Q53" s="696">
        <v>0</v>
      </c>
      <c r="R53" s="696">
        <v>0</v>
      </c>
      <c r="S53" s="696">
        <v>0</v>
      </c>
      <c r="T53" s="696">
        <v>0</v>
      </c>
      <c r="U53" s="696">
        <v>0</v>
      </c>
      <c r="V53" s="696">
        <v>0</v>
      </c>
      <c r="W53" s="696">
        <v>0</v>
      </c>
      <c r="X53" s="696">
        <v>0</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3"/>
      <c r="AQ53" s="695">
        <v>0</v>
      </c>
      <c r="AR53" s="696">
        <v>0</v>
      </c>
      <c r="AS53" s="696">
        <v>0</v>
      </c>
      <c r="AT53" s="696">
        <v>0</v>
      </c>
      <c r="AU53" s="696">
        <v>0</v>
      </c>
      <c r="AV53" s="696">
        <v>0</v>
      </c>
      <c r="AW53" s="696">
        <v>0</v>
      </c>
      <c r="AX53" s="696">
        <v>0</v>
      </c>
      <c r="AY53" s="696">
        <v>0</v>
      </c>
      <c r="AZ53" s="696">
        <v>0</v>
      </c>
      <c r="BA53" s="696">
        <v>0</v>
      </c>
      <c r="BB53" s="696">
        <v>0</v>
      </c>
      <c r="BC53" s="696">
        <v>0</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691"/>
      <c r="C54" s="691" t="s">
        <v>21</v>
      </c>
      <c r="D54" s="691"/>
      <c r="E54" s="691" t="s">
        <v>688</v>
      </c>
      <c r="F54" s="691" t="s">
        <v>687</v>
      </c>
      <c r="G54" s="691"/>
      <c r="H54" s="691">
        <v>2013</v>
      </c>
      <c r="I54" s="644" t="s">
        <v>579</v>
      </c>
      <c r="J54" s="644" t="s">
        <v>595</v>
      </c>
      <c r="K54" s="633"/>
      <c r="L54" s="695">
        <v>0</v>
      </c>
      <c r="M54" s="696">
        <v>0</v>
      </c>
      <c r="N54" s="696">
        <v>107.72378851764815</v>
      </c>
      <c r="O54" s="696">
        <v>107.72378851764815</v>
      </c>
      <c r="P54" s="696">
        <v>107.08467863821969</v>
      </c>
      <c r="Q54" s="696">
        <v>81.466509935737079</v>
      </c>
      <c r="R54" s="696">
        <v>56.799909660251394</v>
      </c>
      <c r="S54" s="696">
        <v>56.799909660251394</v>
      </c>
      <c r="T54" s="696">
        <v>56.799909660251394</v>
      </c>
      <c r="U54" s="696">
        <v>56.799909660251394</v>
      </c>
      <c r="V54" s="696">
        <v>56.799909660251394</v>
      </c>
      <c r="W54" s="696">
        <v>56.799909660251394</v>
      </c>
      <c r="X54" s="696">
        <v>55.63746421652445</v>
      </c>
      <c r="Y54" s="696">
        <v>9.7016528137499467</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3"/>
      <c r="AQ54" s="695">
        <v>0</v>
      </c>
      <c r="AR54" s="696">
        <v>0</v>
      </c>
      <c r="AS54" s="696">
        <v>399272.25947202044</v>
      </c>
      <c r="AT54" s="696">
        <v>399272.25947202044</v>
      </c>
      <c r="AU54" s="696">
        <v>397003.58726406761</v>
      </c>
      <c r="AV54" s="696">
        <v>298359.06338051625</v>
      </c>
      <c r="AW54" s="696">
        <v>219011.73278247629</v>
      </c>
      <c r="AX54" s="696">
        <v>219011.73278247629</v>
      </c>
      <c r="AY54" s="696">
        <v>219011.73278247629</v>
      </c>
      <c r="AZ54" s="696">
        <v>219011.73278247629</v>
      </c>
      <c r="BA54" s="696">
        <v>219011.73278247629</v>
      </c>
      <c r="BB54" s="696">
        <v>219011.73278247629</v>
      </c>
      <c r="BC54" s="696">
        <v>208466.17315011992</v>
      </c>
      <c r="BD54" s="696">
        <v>31639.221114271153</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691"/>
      <c r="C55" s="691" t="s">
        <v>14</v>
      </c>
      <c r="D55" s="691"/>
      <c r="E55" s="691" t="s">
        <v>688</v>
      </c>
      <c r="F55" s="691" t="s">
        <v>29</v>
      </c>
      <c r="G55" s="691"/>
      <c r="H55" s="691">
        <v>2013</v>
      </c>
      <c r="I55" s="644" t="s">
        <v>579</v>
      </c>
      <c r="J55" s="644" t="s">
        <v>595</v>
      </c>
      <c r="K55" s="633"/>
      <c r="L55" s="695">
        <v>0</v>
      </c>
      <c r="M55" s="696">
        <v>0</v>
      </c>
      <c r="N55" s="696">
        <v>2.5121929044835269</v>
      </c>
      <c r="O55" s="696">
        <v>2.5026842509396374</v>
      </c>
      <c r="P55" s="696">
        <v>2.5018198271282017</v>
      </c>
      <c r="Q55" s="696">
        <v>2.2270978040266898</v>
      </c>
      <c r="R55" s="696">
        <v>2.0798311721596714</v>
      </c>
      <c r="S55" s="696">
        <v>1.9459278567859806</v>
      </c>
      <c r="T55" s="696">
        <v>1.883456002285508</v>
      </c>
      <c r="U55" s="696">
        <v>1.883456002285508</v>
      </c>
      <c r="V55" s="696">
        <v>0.82835080288350582</v>
      </c>
      <c r="W55" s="696">
        <v>0.82835080288350582</v>
      </c>
      <c r="X55" s="696">
        <v>0.78799083270132542</v>
      </c>
      <c r="Y55" s="696">
        <v>0.78799083270132542</v>
      </c>
      <c r="Z55" s="696">
        <v>0.46041923202574253</v>
      </c>
      <c r="AA55" s="696">
        <v>0.46041923202574253</v>
      </c>
      <c r="AB55" s="696">
        <v>0.28844084776937962</v>
      </c>
      <c r="AC55" s="696">
        <v>8.5640899837017059E-2</v>
      </c>
      <c r="AD55" s="696">
        <v>8.5640899837017059E-2</v>
      </c>
      <c r="AE55" s="696">
        <v>8.5640899837017059E-2</v>
      </c>
      <c r="AF55" s="696">
        <v>8.5640899837017059E-2</v>
      </c>
      <c r="AG55" s="696">
        <v>8.5640899837017059E-2</v>
      </c>
      <c r="AH55" s="696">
        <v>8.5640899837017059E-2</v>
      </c>
      <c r="AI55" s="696">
        <v>0</v>
      </c>
      <c r="AJ55" s="696">
        <v>0</v>
      </c>
      <c r="AK55" s="696">
        <v>0</v>
      </c>
      <c r="AL55" s="696">
        <v>0</v>
      </c>
      <c r="AM55" s="696">
        <v>0</v>
      </c>
      <c r="AN55" s="696">
        <v>0</v>
      </c>
      <c r="AO55" s="697">
        <v>0</v>
      </c>
      <c r="AP55" s="633"/>
      <c r="AQ55" s="695">
        <v>0</v>
      </c>
      <c r="AR55" s="696">
        <v>0</v>
      </c>
      <c r="AS55" s="696">
        <v>24452.999999999993</v>
      </c>
      <c r="AT55" s="696">
        <v>24269.952178955071</v>
      </c>
      <c r="AU55" s="696">
        <v>24253.311492919915</v>
      </c>
      <c r="AV55" s="696">
        <v>21513.347449457426</v>
      </c>
      <c r="AW55" s="696">
        <v>19774.383681253639</v>
      </c>
      <c r="AX55" s="696">
        <v>18470.96450665985</v>
      </c>
      <c r="AY55" s="696">
        <v>17268.340376410826</v>
      </c>
      <c r="AZ55" s="696">
        <v>16388.49851850067</v>
      </c>
      <c r="BA55" s="696">
        <v>5072.1454849243164</v>
      </c>
      <c r="BB55" s="696">
        <v>5072.1454849243164</v>
      </c>
      <c r="BC55" s="696">
        <v>4739.3252410888672</v>
      </c>
      <c r="BD55" s="696">
        <v>4739.3252410888672</v>
      </c>
      <c r="BE55" s="696">
        <v>3650.2626190185547</v>
      </c>
      <c r="BF55" s="696">
        <v>3650.2626190185547</v>
      </c>
      <c r="BG55" s="696">
        <v>2303.7248992919922</v>
      </c>
      <c r="BH55" s="696">
        <v>631.3765869140625</v>
      </c>
      <c r="BI55" s="696">
        <v>631.3765869140625</v>
      </c>
      <c r="BJ55" s="696">
        <v>631.3765869140625</v>
      </c>
      <c r="BK55" s="696">
        <v>631.3765869140625</v>
      </c>
      <c r="BL55" s="696">
        <v>631.3765869140625</v>
      </c>
      <c r="BM55" s="696">
        <v>631.3765869140625</v>
      </c>
      <c r="BN55" s="696">
        <v>0</v>
      </c>
      <c r="BO55" s="696">
        <v>0</v>
      </c>
      <c r="BP55" s="696">
        <v>0</v>
      </c>
      <c r="BQ55" s="696">
        <v>0</v>
      </c>
      <c r="BR55" s="696">
        <v>0</v>
      </c>
      <c r="BS55" s="696">
        <v>0</v>
      </c>
      <c r="BT55" s="697">
        <v>0</v>
      </c>
    </row>
    <row r="56" spans="2:73">
      <c r="B56" s="691"/>
      <c r="C56" s="691" t="s">
        <v>9</v>
      </c>
      <c r="D56" s="691"/>
      <c r="E56" s="691" t="s">
        <v>688</v>
      </c>
      <c r="F56" s="691" t="s">
        <v>689</v>
      </c>
      <c r="G56" s="691"/>
      <c r="H56" s="691">
        <v>2013</v>
      </c>
      <c r="I56" s="644" t="s">
        <v>579</v>
      </c>
      <c r="J56" s="644" t="s">
        <v>595</v>
      </c>
      <c r="K56" s="633"/>
      <c r="L56" s="695">
        <v>0</v>
      </c>
      <c r="M56" s="696">
        <v>0</v>
      </c>
      <c r="N56" s="696">
        <v>38</v>
      </c>
      <c r="O56" s="696">
        <v>0</v>
      </c>
      <c r="P56" s="696">
        <v>0</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3"/>
      <c r="AQ56" s="695">
        <v>0</v>
      </c>
      <c r="AR56" s="696">
        <v>0</v>
      </c>
      <c r="AS56" s="696">
        <v>505</v>
      </c>
      <c r="AT56" s="696">
        <v>0</v>
      </c>
      <c r="AU56" s="696">
        <v>0</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c r="C57" s="691" t="s">
        <v>4</v>
      </c>
      <c r="D57" s="691"/>
      <c r="E57" s="691" t="s">
        <v>688</v>
      </c>
      <c r="F57" s="691" t="s">
        <v>29</v>
      </c>
      <c r="G57" s="691"/>
      <c r="H57" s="691">
        <v>2013</v>
      </c>
      <c r="I57" s="644" t="s">
        <v>579</v>
      </c>
      <c r="J57" s="644" t="s">
        <v>595</v>
      </c>
      <c r="K57" s="633"/>
      <c r="L57" s="695">
        <v>0</v>
      </c>
      <c r="M57" s="696">
        <v>0</v>
      </c>
      <c r="N57" s="696">
        <v>1</v>
      </c>
      <c r="O57" s="696">
        <v>0.93289548605882433</v>
      </c>
      <c r="P57" s="696">
        <v>0.90046644158979638</v>
      </c>
      <c r="Q57" s="696">
        <v>0.90046644158979638</v>
      </c>
      <c r="R57" s="696">
        <v>0.90046644158979638</v>
      </c>
      <c r="S57" s="696">
        <v>0.90046644158979638</v>
      </c>
      <c r="T57" s="696">
        <v>0.90046644158979638</v>
      </c>
      <c r="U57" s="696">
        <v>0.86181925413837235</v>
      </c>
      <c r="V57" s="696">
        <v>0.86181925413837235</v>
      </c>
      <c r="W57" s="696">
        <v>0.71400096049362416</v>
      </c>
      <c r="X57" s="696">
        <v>0.65993461865077307</v>
      </c>
      <c r="Y57" s="696">
        <v>0.65198072391122686</v>
      </c>
      <c r="Z57" s="696">
        <v>0.65198072391122686</v>
      </c>
      <c r="AA57" s="696">
        <v>0.6482321061304781</v>
      </c>
      <c r="AB57" s="696">
        <v>0.6482321061304781</v>
      </c>
      <c r="AC57" s="696">
        <v>0.64725668346634735</v>
      </c>
      <c r="AD57" s="696">
        <v>0.30583198477418327</v>
      </c>
      <c r="AE57" s="696">
        <v>0.30583198477418327</v>
      </c>
      <c r="AF57" s="696">
        <v>0.30583198477418327</v>
      </c>
      <c r="AG57" s="696">
        <v>0.30557347223836678</v>
      </c>
      <c r="AH57" s="696">
        <v>0</v>
      </c>
      <c r="AI57" s="696">
        <v>0</v>
      </c>
      <c r="AJ57" s="696">
        <v>0</v>
      </c>
      <c r="AK57" s="696">
        <v>0</v>
      </c>
      <c r="AL57" s="696">
        <v>0</v>
      </c>
      <c r="AM57" s="696">
        <v>0</v>
      </c>
      <c r="AN57" s="696">
        <v>0</v>
      </c>
      <c r="AO57" s="697">
        <v>0</v>
      </c>
      <c r="AP57" s="633"/>
      <c r="AQ57" s="695">
        <v>0</v>
      </c>
      <c r="AR57" s="696">
        <v>0</v>
      </c>
      <c r="AS57" s="696">
        <v>22093</v>
      </c>
      <c r="AT57" s="696">
        <v>22093</v>
      </c>
      <c r="AU57" s="696">
        <v>20610.459973497607</v>
      </c>
      <c r="AV57" s="696">
        <v>19894.005094043372</v>
      </c>
      <c r="AW57" s="696">
        <v>19894.005094043372</v>
      </c>
      <c r="AX57" s="696">
        <v>19894.005094043372</v>
      </c>
      <c r="AY57" s="696">
        <v>19894.005094043372</v>
      </c>
      <c r="AZ57" s="696">
        <v>19894.005094043372</v>
      </c>
      <c r="BA57" s="696">
        <v>19040.172781679059</v>
      </c>
      <c r="BB57" s="696">
        <v>19040.172781679059</v>
      </c>
      <c r="BC57" s="696">
        <v>15774.423220185639</v>
      </c>
      <c r="BD57" s="696">
        <v>14579.935529851529</v>
      </c>
      <c r="BE57" s="696">
        <v>14404.210133370734</v>
      </c>
      <c r="BF57" s="696">
        <v>14404.210133370734</v>
      </c>
      <c r="BG57" s="696">
        <v>14321.391920740652</v>
      </c>
      <c r="BH57" s="696">
        <v>14321.391920740652</v>
      </c>
      <c r="BI57" s="696">
        <v>14299.841907822012</v>
      </c>
      <c r="BJ57" s="696">
        <v>6756.7460396160313</v>
      </c>
      <c r="BK57" s="696">
        <v>6756.7460396160313</v>
      </c>
      <c r="BL57" s="696">
        <v>6756.7460396160313</v>
      </c>
      <c r="BM57" s="696">
        <v>6751.0347221622369</v>
      </c>
      <c r="BN57" s="696">
        <v>0</v>
      </c>
      <c r="BO57" s="696">
        <v>0</v>
      </c>
      <c r="BP57" s="696">
        <v>0</v>
      </c>
      <c r="BQ57" s="696">
        <v>0</v>
      </c>
      <c r="BR57" s="696">
        <v>0</v>
      </c>
      <c r="BS57" s="696">
        <v>0</v>
      </c>
      <c r="BT57" s="697">
        <v>0</v>
      </c>
    </row>
    <row r="58" spans="2:73">
      <c r="B58" s="691"/>
      <c r="C58" s="691" t="s">
        <v>5</v>
      </c>
      <c r="D58" s="691"/>
      <c r="E58" s="691" t="s">
        <v>688</v>
      </c>
      <c r="F58" s="691" t="s">
        <v>29</v>
      </c>
      <c r="G58" s="691"/>
      <c r="H58" s="691">
        <v>2013</v>
      </c>
      <c r="I58" s="644" t="s">
        <v>579</v>
      </c>
      <c r="J58" s="644" t="s">
        <v>595</v>
      </c>
      <c r="K58" s="633"/>
      <c r="L58" s="695">
        <v>0</v>
      </c>
      <c r="M58" s="696">
        <v>0</v>
      </c>
      <c r="N58" s="696">
        <v>3</v>
      </c>
      <c r="O58" s="696">
        <v>2.6024683099010941</v>
      </c>
      <c r="P58" s="696">
        <v>2.3952968043414682</v>
      </c>
      <c r="Q58" s="696">
        <v>2.3952968043414682</v>
      </c>
      <c r="R58" s="696">
        <v>2.3952968043414682</v>
      </c>
      <c r="S58" s="696">
        <v>2.3952968043414682</v>
      </c>
      <c r="T58" s="696">
        <v>2.3952968043414682</v>
      </c>
      <c r="U58" s="696">
        <v>2.3942591981269361</v>
      </c>
      <c r="V58" s="696">
        <v>2.3942591981269361</v>
      </c>
      <c r="W58" s="696">
        <v>2.2267940713945822</v>
      </c>
      <c r="X58" s="696">
        <v>2.164867892988859</v>
      </c>
      <c r="Y58" s="696">
        <v>1.8306303904557031</v>
      </c>
      <c r="Z58" s="696">
        <v>1.8306303904557031</v>
      </c>
      <c r="AA58" s="696">
        <v>1.8044159207601336</v>
      </c>
      <c r="AB58" s="696">
        <v>1.8044159207601336</v>
      </c>
      <c r="AC58" s="696">
        <v>1.8018648914462818</v>
      </c>
      <c r="AD58" s="696">
        <v>1.464797777191289</v>
      </c>
      <c r="AE58" s="696">
        <v>1.464797777191289</v>
      </c>
      <c r="AF58" s="696">
        <v>1.464797777191289</v>
      </c>
      <c r="AG58" s="696">
        <v>1.464797777191289</v>
      </c>
      <c r="AH58" s="696">
        <v>0</v>
      </c>
      <c r="AI58" s="696">
        <v>0</v>
      </c>
      <c r="AJ58" s="696">
        <v>0</v>
      </c>
      <c r="AK58" s="696">
        <v>0</v>
      </c>
      <c r="AL58" s="696">
        <v>0</v>
      </c>
      <c r="AM58" s="696">
        <v>0</v>
      </c>
      <c r="AN58" s="696">
        <v>0</v>
      </c>
      <c r="AO58" s="697">
        <v>0</v>
      </c>
      <c r="AP58" s="633"/>
      <c r="AQ58" s="695">
        <v>0</v>
      </c>
      <c r="AR58" s="696">
        <v>0</v>
      </c>
      <c r="AS58" s="696">
        <v>49096</v>
      </c>
      <c r="AT58" s="696">
        <v>49096</v>
      </c>
      <c r="AU58" s="696">
        <v>42590.261380968041</v>
      </c>
      <c r="AV58" s="696">
        <v>39199.830635316241</v>
      </c>
      <c r="AW58" s="696">
        <v>39199.830635316241</v>
      </c>
      <c r="AX58" s="696">
        <v>39199.830635316241</v>
      </c>
      <c r="AY58" s="696">
        <v>39199.830635316241</v>
      </c>
      <c r="AZ58" s="696">
        <v>39199.830635316241</v>
      </c>
      <c r="BA58" s="696">
        <v>39182.849863746684</v>
      </c>
      <c r="BB58" s="696">
        <v>39182.849863746684</v>
      </c>
      <c r="BC58" s="696">
        <v>36442.227243062807</v>
      </c>
      <c r="BD58" s="696">
        <v>35428.784691393674</v>
      </c>
      <c r="BE58" s="696">
        <v>29958.876549937733</v>
      </c>
      <c r="BF58" s="696">
        <v>29958.876549937733</v>
      </c>
      <c r="BG58" s="696">
        <v>29529.868015213175</v>
      </c>
      <c r="BH58" s="696">
        <v>29529.868015213175</v>
      </c>
      <c r="BI58" s="696">
        <v>29488.119570148883</v>
      </c>
      <c r="BJ58" s="696">
        <v>23971.903889661178</v>
      </c>
      <c r="BK58" s="696">
        <v>23971.903889661178</v>
      </c>
      <c r="BL58" s="696">
        <v>23971.903889661178</v>
      </c>
      <c r="BM58" s="696">
        <v>23971.903889661178</v>
      </c>
      <c r="BN58" s="696">
        <v>0</v>
      </c>
      <c r="BO58" s="696">
        <v>0</v>
      </c>
      <c r="BP58" s="696">
        <v>0</v>
      </c>
      <c r="BQ58" s="696">
        <v>0</v>
      </c>
      <c r="BR58" s="696">
        <v>0</v>
      </c>
      <c r="BS58" s="696">
        <v>0</v>
      </c>
      <c r="BT58" s="697">
        <v>0</v>
      </c>
    </row>
    <row r="59" spans="2:73">
      <c r="B59" s="691"/>
      <c r="C59" s="691" t="s">
        <v>21</v>
      </c>
      <c r="D59" s="691"/>
      <c r="E59" s="691" t="s">
        <v>688</v>
      </c>
      <c r="F59" s="691" t="s">
        <v>687</v>
      </c>
      <c r="G59" s="691"/>
      <c r="H59" s="691">
        <v>2014</v>
      </c>
      <c r="I59" s="644" t="s">
        <v>580</v>
      </c>
      <c r="J59" s="644" t="s">
        <v>595</v>
      </c>
      <c r="K59" s="633"/>
      <c r="L59" s="695">
        <v>0</v>
      </c>
      <c r="M59" s="696">
        <v>0</v>
      </c>
      <c r="N59" s="696">
        <v>0</v>
      </c>
      <c r="O59" s="696">
        <v>277.1682909162646</v>
      </c>
      <c r="P59" s="696">
        <v>276.23313329525052</v>
      </c>
      <c r="Q59" s="696">
        <v>183.89620350297886</v>
      </c>
      <c r="R59" s="696">
        <v>166.5157575141879</v>
      </c>
      <c r="S59" s="696">
        <v>166.5157575141879</v>
      </c>
      <c r="T59" s="696">
        <v>166.5157575141879</v>
      </c>
      <c r="U59" s="696">
        <v>166.5157575141879</v>
      </c>
      <c r="V59" s="696">
        <v>166.5157575141879</v>
      </c>
      <c r="W59" s="696">
        <v>166.5157575141879</v>
      </c>
      <c r="X59" s="696">
        <v>166.5157575141879</v>
      </c>
      <c r="Y59" s="696">
        <v>166.03570915651983</v>
      </c>
      <c r="Z59" s="696">
        <v>7.7194159537891762</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3"/>
      <c r="AQ59" s="695">
        <v>0</v>
      </c>
      <c r="AR59" s="696">
        <v>0</v>
      </c>
      <c r="AS59" s="696">
        <v>0</v>
      </c>
      <c r="AT59" s="696">
        <v>992786.09652314859</v>
      </c>
      <c r="AU59" s="696">
        <v>989532.81157215475</v>
      </c>
      <c r="AV59" s="696">
        <v>664982.44568356324</v>
      </c>
      <c r="AW59" s="696">
        <v>605510.42184878653</v>
      </c>
      <c r="AX59" s="696">
        <v>605510.42184878653</v>
      </c>
      <c r="AY59" s="696">
        <v>605510.42184878653</v>
      </c>
      <c r="AZ59" s="696">
        <v>605510.42184878653</v>
      </c>
      <c r="BA59" s="696">
        <v>605510.42184878653</v>
      </c>
      <c r="BB59" s="696">
        <v>605510.42184878653</v>
      </c>
      <c r="BC59" s="696">
        <v>605510.42184878653</v>
      </c>
      <c r="BD59" s="696">
        <v>601083.88042755506</v>
      </c>
      <c r="BE59" s="696">
        <v>24209.167320633864</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75">
      <c r="B60" s="691"/>
      <c r="C60" s="691" t="s">
        <v>22</v>
      </c>
      <c r="D60" s="691"/>
      <c r="E60" s="691" t="s">
        <v>688</v>
      </c>
      <c r="F60" s="691" t="s">
        <v>687</v>
      </c>
      <c r="G60" s="691"/>
      <c r="H60" s="691">
        <v>2014</v>
      </c>
      <c r="I60" s="644" t="s">
        <v>580</v>
      </c>
      <c r="J60" s="644" t="s">
        <v>595</v>
      </c>
      <c r="K60" s="633"/>
      <c r="L60" s="695">
        <v>0</v>
      </c>
      <c r="M60" s="696">
        <v>0</v>
      </c>
      <c r="N60" s="696">
        <v>0</v>
      </c>
      <c r="O60" s="696">
        <v>83.101029357371075</v>
      </c>
      <c r="P60" s="696">
        <v>82.83799597055625</v>
      </c>
      <c r="Q60" s="696">
        <v>82.83799597055625</v>
      </c>
      <c r="R60" s="696">
        <v>79.820037542958829</v>
      </c>
      <c r="S60" s="696">
        <v>79.820037542958829</v>
      </c>
      <c r="T60" s="696">
        <v>79.820037542958829</v>
      </c>
      <c r="U60" s="696">
        <v>78.208603564165131</v>
      </c>
      <c r="V60" s="696">
        <v>78.208603564165131</v>
      </c>
      <c r="W60" s="696">
        <v>77.414195063849178</v>
      </c>
      <c r="X60" s="696">
        <v>70.587378159759226</v>
      </c>
      <c r="Y60" s="696">
        <v>63.521687307388468</v>
      </c>
      <c r="Z60" s="696">
        <v>63.010068085792746</v>
      </c>
      <c r="AA60" s="696">
        <v>11.422788042189056</v>
      </c>
      <c r="AB60" s="696">
        <v>8.1870966732732331</v>
      </c>
      <c r="AC60" s="696">
        <v>8.1870966732732331</v>
      </c>
      <c r="AD60" s="696">
        <v>6.2247014067430939</v>
      </c>
      <c r="AE60" s="696">
        <v>3.19518800867271</v>
      </c>
      <c r="AF60" s="696">
        <v>3.19518800867271</v>
      </c>
      <c r="AG60" s="696">
        <v>3.19518800867271</v>
      </c>
      <c r="AH60" s="696">
        <v>3.19518800867271</v>
      </c>
      <c r="AI60" s="696">
        <v>0</v>
      </c>
      <c r="AJ60" s="696">
        <v>0</v>
      </c>
      <c r="AK60" s="696">
        <v>0</v>
      </c>
      <c r="AL60" s="696">
        <v>0</v>
      </c>
      <c r="AM60" s="696">
        <v>0</v>
      </c>
      <c r="AN60" s="696">
        <v>0</v>
      </c>
      <c r="AO60" s="697">
        <v>0</v>
      </c>
      <c r="AP60" s="633"/>
      <c r="AQ60" s="695">
        <v>0</v>
      </c>
      <c r="AR60" s="696">
        <v>0</v>
      </c>
      <c r="AS60" s="696">
        <v>0</v>
      </c>
      <c r="AT60" s="696">
        <v>552594.79435522202</v>
      </c>
      <c r="AU60" s="696">
        <v>551678.52056968457</v>
      </c>
      <c r="AV60" s="696">
        <v>551678.52056968457</v>
      </c>
      <c r="AW60" s="696">
        <v>541165.49700816954</v>
      </c>
      <c r="AX60" s="696">
        <v>541165.49700816954</v>
      </c>
      <c r="AY60" s="696">
        <v>541165.49700816954</v>
      </c>
      <c r="AZ60" s="696">
        <v>529470.61972881772</v>
      </c>
      <c r="BA60" s="696">
        <v>529470.61972881772</v>
      </c>
      <c r="BB60" s="696">
        <v>526821.64176762477</v>
      </c>
      <c r="BC60" s="696">
        <v>476661.55142668163</v>
      </c>
      <c r="BD60" s="696">
        <v>426550.34979712788</v>
      </c>
      <c r="BE60" s="696">
        <v>424392.01976097783</v>
      </c>
      <c r="BF60" s="696">
        <v>82576.508243462886</v>
      </c>
      <c r="BG60" s="696">
        <v>71305.014478625468</v>
      </c>
      <c r="BH60" s="696">
        <v>71305.014478625468</v>
      </c>
      <c r="BI60" s="696">
        <v>56107.693072473507</v>
      </c>
      <c r="BJ60" s="696">
        <v>11130.380520763027</v>
      </c>
      <c r="BK60" s="696">
        <v>11130.380520763027</v>
      </c>
      <c r="BL60" s="696">
        <v>11130.380520763027</v>
      </c>
      <c r="BM60" s="696">
        <v>11130.380520763027</v>
      </c>
      <c r="BN60" s="696">
        <v>0</v>
      </c>
      <c r="BO60" s="696">
        <v>0</v>
      </c>
      <c r="BP60" s="696">
        <v>0</v>
      </c>
      <c r="BQ60" s="696">
        <v>0</v>
      </c>
      <c r="BR60" s="696">
        <v>0</v>
      </c>
      <c r="BS60" s="696">
        <v>0</v>
      </c>
      <c r="BT60" s="697">
        <v>0</v>
      </c>
      <c r="BU60" s="165"/>
    </row>
    <row r="61" spans="2:73">
      <c r="B61" s="691"/>
      <c r="C61" s="691" t="s">
        <v>20</v>
      </c>
      <c r="D61" s="691"/>
      <c r="E61" s="691" t="s">
        <v>688</v>
      </c>
      <c r="F61" s="691" t="s">
        <v>687</v>
      </c>
      <c r="G61" s="691"/>
      <c r="H61" s="691">
        <v>2014</v>
      </c>
      <c r="I61" s="644" t="s">
        <v>580</v>
      </c>
      <c r="J61" s="644" t="s">
        <v>595</v>
      </c>
      <c r="K61" s="633"/>
      <c r="L61" s="695">
        <v>0</v>
      </c>
      <c r="M61" s="696">
        <v>0</v>
      </c>
      <c r="N61" s="696">
        <v>0</v>
      </c>
      <c r="O61" s="696">
        <v>40.100791547459252</v>
      </c>
      <c r="P61" s="696">
        <v>40.100791547459252</v>
      </c>
      <c r="Q61" s="696">
        <v>40.100791547459252</v>
      </c>
      <c r="R61" s="696">
        <v>40.100791547459252</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3"/>
      <c r="AQ61" s="695">
        <v>0</v>
      </c>
      <c r="AR61" s="696">
        <v>0</v>
      </c>
      <c r="AS61" s="696">
        <v>0</v>
      </c>
      <c r="AT61" s="696">
        <v>195820.71016667038</v>
      </c>
      <c r="AU61" s="696">
        <v>195820.71016667038</v>
      </c>
      <c r="AV61" s="696">
        <v>195820.71016667038</v>
      </c>
      <c r="AW61" s="696">
        <v>195820.71016667038</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c r="C62" s="691" t="s">
        <v>1</v>
      </c>
      <c r="D62" s="691"/>
      <c r="E62" s="691" t="s">
        <v>688</v>
      </c>
      <c r="F62" s="691" t="s">
        <v>29</v>
      </c>
      <c r="G62" s="691"/>
      <c r="H62" s="691">
        <v>2014</v>
      </c>
      <c r="I62" s="644" t="s">
        <v>580</v>
      </c>
      <c r="J62" s="644" t="s">
        <v>595</v>
      </c>
      <c r="K62" s="633"/>
      <c r="L62" s="695">
        <v>0</v>
      </c>
      <c r="M62" s="696">
        <v>0</v>
      </c>
      <c r="N62" s="696">
        <v>0</v>
      </c>
      <c r="O62" s="696">
        <v>4.1298378761077768</v>
      </c>
      <c r="P62" s="696">
        <v>4.1298378761077768</v>
      </c>
      <c r="Q62" s="696">
        <v>4.1298378761077768</v>
      </c>
      <c r="R62" s="696">
        <v>4.0130835786335872</v>
      </c>
      <c r="S62" s="696">
        <v>2.7596109521709673</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3"/>
      <c r="AQ62" s="695">
        <v>0</v>
      </c>
      <c r="AR62" s="696">
        <v>0</v>
      </c>
      <c r="AS62" s="696">
        <v>0</v>
      </c>
      <c r="AT62" s="696">
        <v>27957.705229729738</v>
      </c>
      <c r="AU62" s="696">
        <v>27957.705229729738</v>
      </c>
      <c r="AV62" s="696">
        <v>27957.705229729738</v>
      </c>
      <c r="AW62" s="696">
        <v>27853.297183122068</v>
      </c>
      <c r="AX62" s="696">
        <v>18777.442687282917</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c r="C63" s="691" t="s">
        <v>2</v>
      </c>
      <c r="D63" s="691"/>
      <c r="E63" s="691" t="s">
        <v>688</v>
      </c>
      <c r="F63" s="691" t="s">
        <v>29</v>
      </c>
      <c r="G63" s="691"/>
      <c r="H63" s="691">
        <v>2014</v>
      </c>
      <c r="I63" s="644" t="s">
        <v>580</v>
      </c>
      <c r="J63" s="644" t="s">
        <v>595</v>
      </c>
      <c r="K63" s="633"/>
      <c r="L63" s="695">
        <v>0</v>
      </c>
      <c r="M63" s="696">
        <v>0</v>
      </c>
      <c r="N63" s="696">
        <v>0</v>
      </c>
      <c r="O63" s="696">
        <v>3.7294937827141337</v>
      </c>
      <c r="P63" s="696">
        <v>3.7294937827141337</v>
      </c>
      <c r="Q63" s="696">
        <v>3.7294937827141337</v>
      </c>
      <c r="R63" s="696">
        <v>3.7294937827141337</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3"/>
      <c r="AQ63" s="695">
        <v>0</v>
      </c>
      <c r="AR63" s="696">
        <v>0</v>
      </c>
      <c r="AS63" s="696">
        <v>0</v>
      </c>
      <c r="AT63" s="696">
        <v>6649.9178032362843</v>
      </c>
      <c r="AU63" s="696">
        <v>6649.9178032362843</v>
      </c>
      <c r="AV63" s="696">
        <v>6649.9178032362843</v>
      </c>
      <c r="AW63" s="696">
        <v>6649.9178032362843</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c r="C64" s="691" t="s">
        <v>3</v>
      </c>
      <c r="D64" s="691"/>
      <c r="E64" s="691" t="s">
        <v>688</v>
      </c>
      <c r="F64" s="691" t="s">
        <v>29</v>
      </c>
      <c r="G64" s="691"/>
      <c r="H64" s="691">
        <v>2014</v>
      </c>
      <c r="I64" s="644" t="s">
        <v>580</v>
      </c>
      <c r="J64" s="644" t="s">
        <v>595</v>
      </c>
      <c r="K64" s="633"/>
      <c r="L64" s="695">
        <v>0</v>
      </c>
      <c r="M64" s="696">
        <v>0</v>
      </c>
      <c r="N64" s="696">
        <v>0</v>
      </c>
      <c r="O64" s="696">
        <v>44.894053371686638</v>
      </c>
      <c r="P64" s="696">
        <v>44.894053371686638</v>
      </c>
      <c r="Q64" s="696">
        <v>44.894053371686638</v>
      </c>
      <c r="R64" s="696">
        <v>44.894053371686638</v>
      </c>
      <c r="S64" s="696">
        <v>44.894053371686638</v>
      </c>
      <c r="T64" s="696">
        <v>44.894053371686638</v>
      </c>
      <c r="U64" s="696">
        <v>44.894053371686638</v>
      </c>
      <c r="V64" s="696">
        <v>44.894053371686638</v>
      </c>
      <c r="W64" s="696">
        <v>44.894053371686638</v>
      </c>
      <c r="X64" s="696">
        <v>44.894053371686638</v>
      </c>
      <c r="Y64" s="696">
        <v>44.894053371686638</v>
      </c>
      <c r="Z64" s="696">
        <v>44.894053371686638</v>
      </c>
      <c r="AA64" s="696">
        <v>44.894053371686638</v>
      </c>
      <c r="AB64" s="696">
        <v>44.894053371686638</v>
      </c>
      <c r="AC64" s="696">
        <v>44.894053371686638</v>
      </c>
      <c r="AD64" s="696">
        <v>44.894053371686638</v>
      </c>
      <c r="AE64" s="696">
        <v>44.894053371686638</v>
      </c>
      <c r="AF64" s="696">
        <v>44.894053371686638</v>
      </c>
      <c r="AG64" s="696">
        <v>41.045677733959515</v>
      </c>
      <c r="AH64" s="696">
        <v>0</v>
      </c>
      <c r="AI64" s="696">
        <v>0</v>
      </c>
      <c r="AJ64" s="696">
        <v>0</v>
      </c>
      <c r="AK64" s="696">
        <v>0</v>
      </c>
      <c r="AL64" s="696">
        <v>0</v>
      </c>
      <c r="AM64" s="696">
        <v>0</v>
      </c>
      <c r="AN64" s="696">
        <v>0</v>
      </c>
      <c r="AO64" s="697">
        <v>0</v>
      </c>
      <c r="AP64" s="633"/>
      <c r="AQ64" s="695">
        <v>0</v>
      </c>
      <c r="AR64" s="696">
        <v>0</v>
      </c>
      <c r="AS64" s="696">
        <v>0</v>
      </c>
      <c r="AT64" s="696">
        <v>83687.272644498473</v>
      </c>
      <c r="AU64" s="696">
        <v>83687.272644498473</v>
      </c>
      <c r="AV64" s="696">
        <v>83687.272644498473</v>
      </c>
      <c r="AW64" s="696">
        <v>83687.272644498473</v>
      </c>
      <c r="AX64" s="696">
        <v>83687.272644498473</v>
      </c>
      <c r="AY64" s="696">
        <v>83687.272644498473</v>
      </c>
      <c r="AZ64" s="696">
        <v>83687.272644498473</v>
      </c>
      <c r="BA64" s="696">
        <v>83687.272644498473</v>
      </c>
      <c r="BB64" s="696">
        <v>83687.272644498473</v>
      </c>
      <c r="BC64" s="696">
        <v>83687.272644498473</v>
      </c>
      <c r="BD64" s="696">
        <v>83687.272644498473</v>
      </c>
      <c r="BE64" s="696">
        <v>83687.272644498473</v>
      </c>
      <c r="BF64" s="696">
        <v>83687.272644498473</v>
      </c>
      <c r="BG64" s="696">
        <v>83687.272644498473</v>
      </c>
      <c r="BH64" s="696">
        <v>83687.272644498473</v>
      </c>
      <c r="BI64" s="696">
        <v>83687.272644498473</v>
      </c>
      <c r="BJ64" s="696">
        <v>83687.272644498473</v>
      </c>
      <c r="BK64" s="696">
        <v>83687.272644498473</v>
      </c>
      <c r="BL64" s="696">
        <v>80245.845719408666</v>
      </c>
      <c r="BM64" s="696">
        <v>0</v>
      </c>
      <c r="BN64" s="696">
        <v>0</v>
      </c>
      <c r="BO64" s="696">
        <v>0</v>
      </c>
      <c r="BP64" s="696">
        <v>0</v>
      </c>
      <c r="BQ64" s="696">
        <v>0</v>
      </c>
      <c r="BR64" s="696">
        <v>0</v>
      </c>
      <c r="BS64" s="696">
        <v>0</v>
      </c>
      <c r="BT64" s="697">
        <v>0</v>
      </c>
    </row>
    <row r="65" spans="2:73">
      <c r="B65" s="691"/>
      <c r="C65" s="691" t="s">
        <v>4</v>
      </c>
      <c r="D65" s="691"/>
      <c r="E65" s="691" t="s">
        <v>688</v>
      </c>
      <c r="F65" s="691" t="s">
        <v>29</v>
      </c>
      <c r="G65" s="691"/>
      <c r="H65" s="691">
        <v>2014</v>
      </c>
      <c r="I65" s="644" t="s">
        <v>580</v>
      </c>
      <c r="J65" s="644" t="s">
        <v>595</v>
      </c>
      <c r="K65" s="633"/>
      <c r="L65" s="695">
        <v>0</v>
      </c>
      <c r="M65" s="696">
        <v>0</v>
      </c>
      <c r="N65" s="696">
        <v>4.7629501015884644E-3</v>
      </c>
      <c r="O65" s="696">
        <v>6.6167255093147945</v>
      </c>
      <c r="P65" s="696">
        <v>6.2377499350464882</v>
      </c>
      <c r="Q65" s="696">
        <v>6.0546055379140444</v>
      </c>
      <c r="R65" s="696">
        <v>6.0546055379140444</v>
      </c>
      <c r="S65" s="696">
        <v>6.0546055379140444</v>
      </c>
      <c r="T65" s="696">
        <v>6.0546055379140444</v>
      </c>
      <c r="U65" s="696">
        <v>6.0546055379140444</v>
      </c>
      <c r="V65" s="696">
        <v>5.8291274139485685</v>
      </c>
      <c r="W65" s="696">
        <v>5.8291274139485685</v>
      </c>
      <c r="X65" s="696">
        <v>4.9937842348215291</v>
      </c>
      <c r="Y65" s="696">
        <v>3.6698391031837043</v>
      </c>
      <c r="Z65" s="696">
        <v>3.669752277303111</v>
      </c>
      <c r="AA65" s="696">
        <v>3.669752277303111</v>
      </c>
      <c r="AB65" s="696">
        <v>3.6627885265473004</v>
      </c>
      <c r="AC65" s="696">
        <v>3.6627885265473004</v>
      </c>
      <c r="AD65" s="696">
        <v>3.6554094338673599</v>
      </c>
      <c r="AE65" s="696">
        <v>1.7271990400081405</v>
      </c>
      <c r="AF65" s="696">
        <v>1.7271990400081405</v>
      </c>
      <c r="AG65" s="696">
        <v>1.7271990400081405</v>
      </c>
      <c r="AH65" s="696">
        <v>1.7257390795529841</v>
      </c>
      <c r="AI65" s="696">
        <v>0</v>
      </c>
      <c r="AJ65" s="696">
        <v>0</v>
      </c>
      <c r="AK65" s="696">
        <v>0</v>
      </c>
      <c r="AL65" s="696">
        <v>0</v>
      </c>
      <c r="AM65" s="696">
        <v>0</v>
      </c>
      <c r="AN65" s="696">
        <v>0</v>
      </c>
      <c r="AO65" s="697">
        <v>0</v>
      </c>
      <c r="AP65" s="633"/>
      <c r="AQ65" s="695">
        <v>0</v>
      </c>
      <c r="AR65" s="696">
        <v>0</v>
      </c>
      <c r="AS65" s="696">
        <v>0</v>
      </c>
      <c r="AT65" s="696">
        <v>89961.535225374697</v>
      </c>
      <c r="AU65" s="696">
        <v>83924.710130673979</v>
      </c>
      <c r="AV65" s="696">
        <v>81007.343504348275</v>
      </c>
      <c r="AW65" s="696">
        <v>81007.343504348275</v>
      </c>
      <c r="AX65" s="696">
        <v>81007.343504348275</v>
      </c>
      <c r="AY65" s="696">
        <v>81007.343504348275</v>
      </c>
      <c r="AZ65" s="696">
        <v>81007.343504348275</v>
      </c>
      <c r="BA65" s="696">
        <v>77530.583189075332</v>
      </c>
      <c r="BB65" s="696">
        <v>77530.583189075332</v>
      </c>
      <c r="BC65" s="696">
        <v>64232.622558398536</v>
      </c>
      <c r="BD65" s="696">
        <v>59368.731442195742</v>
      </c>
      <c r="BE65" s="696">
        <v>58653.186860405127</v>
      </c>
      <c r="BF65" s="696">
        <v>58653.186860405127</v>
      </c>
      <c r="BG65" s="696">
        <v>58315.955449875837</v>
      </c>
      <c r="BH65" s="696">
        <v>58315.955449875837</v>
      </c>
      <c r="BI65" s="696">
        <v>58228.204929517007</v>
      </c>
      <c r="BJ65" s="696">
        <v>27513.114871308946</v>
      </c>
      <c r="BK65" s="696">
        <v>27513.114871308946</v>
      </c>
      <c r="BL65" s="696">
        <v>27513.114871308946</v>
      </c>
      <c r="BM65" s="696">
        <v>27489.85868671189</v>
      </c>
      <c r="BN65" s="696">
        <v>0</v>
      </c>
      <c r="BO65" s="696">
        <v>0</v>
      </c>
      <c r="BP65" s="696">
        <v>0</v>
      </c>
      <c r="BQ65" s="696">
        <v>0</v>
      </c>
      <c r="BR65" s="696">
        <v>0</v>
      </c>
      <c r="BS65" s="696">
        <v>0</v>
      </c>
      <c r="BT65" s="697">
        <v>0</v>
      </c>
    </row>
    <row r="66" spans="2:73">
      <c r="B66" s="691"/>
      <c r="C66" s="691" t="s">
        <v>5</v>
      </c>
      <c r="D66" s="691"/>
      <c r="E66" s="691" t="s">
        <v>688</v>
      </c>
      <c r="F66" s="691" t="s">
        <v>29</v>
      </c>
      <c r="G66" s="691"/>
      <c r="H66" s="691">
        <v>2014</v>
      </c>
      <c r="I66" s="644" t="s">
        <v>580</v>
      </c>
      <c r="J66" s="644" t="s">
        <v>595</v>
      </c>
      <c r="K66" s="633"/>
      <c r="L66" s="695">
        <v>0</v>
      </c>
      <c r="M66" s="696">
        <v>0</v>
      </c>
      <c r="N66" s="696">
        <v>0</v>
      </c>
      <c r="O66" s="696">
        <v>22.986101298954747</v>
      </c>
      <c r="P66" s="696">
        <v>20.064371737185652</v>
      </c>
      <c r="Q66" s="696">
        <v>18.541728065685724</v>
      </c>
      <c r="R66" s="696">
        <v>18.541728065685724</v>
      </c>
      <c r="S66" s="696">
        <v>18.541728065685724</v>
      </c>
      <c r="T66" s="696">
        <v>18.541728065685724</v>
      </c>
      <c r="U66" s="696">
        <v>18.541728065685724</v>
      </c>
      <c r="V66" s="696">
        <v>18.527860696073152</v>
      </c>
      <c r="W66" s="696">
        <v>18.527860696073152</v>
      </c>
      <c r="X66" s="696">
        <v>17.297046088016131</v>
      </c>
      <c r="Y66" s="696">
        <v>15.741374177932412</v>
      </c>
      <c r="Z66" s="696">
        <v>13.334395337030289</v>
      </c>
      <c r="AA66" s="696">
        <v>13.334395337030289</v>
      </c>
      <c r="AB66" s="696">
        <v>13.270230506662998</v>
      </c>
      <c r="AC66" s="696">
        <v>13.270230506662998</v>
      </c>
      <c r="AD66" s="696">
        <v>13.243125141401032</v>
      </c>
      <c r="AE66" s="696">
        <v>10.765790688457193</v>
      </c>
      <c r="AF66" s="696">
        <v>10.765790688457193</v>
      </c>
      <c r="AG66" s="696">
        <v>10.765790688457193</v>
      </c>
      <c r="AH66" s="696">
        <v>10.765790688457193</v>
      </c>
      <c r="AI66" s="696">
        <v>0</v>
      </c>
      <c r="AJ66" s="696">
        <v>0</v>
      </c>
      <c r="AK66" s="696">
        <v>0</v>
      </c>
      <c r="AL66" s="696">
        <v>0</v>
      </c>
      <c r="AM66" s="696">
        <v>0</v>
      </c>
      <c r="AN66" s="696">
        <v>0</v>
      </c>
      <c r="AO66" s="697">
        <v>0</v>
      </c>
      <c r="AP66" s="633"/>
      <c r="AQ66" s="695">
        <v>0</v>
      </c>
      <c r="AR66" s="696">
        <v>0</v>
      </c>
      <c r="AS66" s="696">
        <v>0</v>
      </c>
      <c r="AT66" s="696">
        <v>351226.18611423316</v>
      </c>
      <c r="AU66" s="696">
        <v>304685.00632323849</v>
      </c>
      <c r="AV66" s="696">
        <v>280430.3204001548</v>
      </c>
      <c r="AW66" s="696">
        <v>280430.3204001548</v>
      </c>
      <c r="AX66" s="696">
        <v>280430.3204001548</v>
      </c>
      <c r="AY66" s="696">
        <v>280430.3204001548</v>
      </c>
      <c r="AZ66" s="696">
        <v>280430.3204001548</v>
      </c>
      <c r="BA66" s="696">
        <v>280308.84224234865</v>
      </c>
      <c r="BB66" s="696">
        <v>280308.84224234865</v>
      </c>
      <c r="BC66" s="696">
        <v>260702.79631923485</v>
      </c>
      <c r="BD66" s="696">
        <v>253452.76449854425</v>
      </c>
      <c r="BE66" s="696">
        <v>214321.77674152204</v>
      </c>
      <c r="BF66" s="696">
        <v>214321.77674152204</v>
      </c>
      <c r="BG66" s="696">
        <v>211252.70733746135</v>
      </c>
      <c r="BH66" s="696">
        <v>211252.70733746135</v>
      </c>
      <c r="BI66" s="696">
        <v>210954.04457193811</v>
      </c>
      <c r="BJ66" s="696">
        <v>171491.77890383426</v>
      </c>
      <c r="BK66" s="696">
        <v>171491.77890383426</v>
      </c>
      <c r="BL66" s="696">
        <v>171491.77890383426</v>
      </c>
      <c r="BM66" s="696">
        <v>171491.77890383426</v>
      </c>
      <c r="BN66" s="696">
        <v>0</v>
      </c>
      <c r="BO66" s="696">
        <v>0</v>
      </c>
      <c r="BP66" s="696">
        <v>0</v>
      </c>
      <c r="BQ66" s="696">
        <v>0</v>
      </c>
      <c r="BR66" s="696">
        <v>0</v>
      </c>
      <c r="BS66" s="696">
        <v>0</v>
      </c>
      <c r="BT66" s="697">
        <v>0</v>
      </c>
    </row>
    <row r="67" spans="2:73">
      <c r="B67" s="691"/>
      <c r="C67" s="691" t="s">
        <v>14</v>
      </c>
      <c r="D67" s="691"/>
      <c r="E67" s="691" t="s">
        <v>688</v>
      </c>
      <c r="F67" s="691" t="s">
        <v>29</v>
      </c>
      <c r="G67" s="691"/>
      <c r="H67" s="691">
        <v>2014</v>
      </c>
      <c r="I67" s="644" t="s">
        <v>580</v>
      </c>
      <c r="J67" s="644" t="s">
        <v>595</v>
      </c>
      <c r="K67" s="633"/>
      <c r="L67" s="695">
        <v>0</v>
      </c>
      <c r="M67" s="696">
        <v>0</v>
      </c>
      <c r="N67" s="696">
        <v>0</v>
      </c>
      <c r="O67" s="696">
        <v>14.833026640349999</v>
      </c>
      <c r="P67" s="696">
        <v>14.828472601715475</v>
      </c>
      <c r="Q67" s="696">
        <v>14.598775725578889</v>
      </c>
      <c r="R67" s="696">
        <v>14.502143433317542</v>
      </c>
      <c r="S67" s="696">
        <v>14.405511146178469</v>
      </c>
      <c r="T67" s="696">
        <v>14.405511146178469</v>
      </c>
      <c r="U67" s="696">
        <v>14.305396658135578</v>
      </c>
      <c r="V67" s="696">
        <v>14.305396658135578</v>
      </c>
      <c r="W67" s="696">
        <v>13.39425254939124</v>
      </c>
      <c r="X67" s="696">
        <v>13.054852541070431</v>
      </c>
      <c r="Y67" s="696">
        <v>12.654932227451354</v>
      </c>
      <c r="Z67" s="696">
        <v>12.654932227451354</v>
      </c>
      <c r="AA67" s="696">
        <v>11.676243108231574</v>
      </c>
      <c r="AB67" s="696">
        <v>11.676243108231574</v>
      </c>
      <c r="AC67" s="696">
        <v>11.027543116826564</v>
      </c>
      <c r="AD67" s="696">
        <v>10.740330621600151</v>
      </c>
      <c r="AE67" s="696">
        <v>10.740330621600151</v>
      </c>
      <c r="AF67" s="696">
        <v>10.740330621600151</v>
      </c>
      <c r="AG67" s="696">
        <v>10.740330621600151</v>
      </c>
      <c r="AH67" s="696">
        <v>10.740330621600151</v>
      </c>
      <c r="AI67" s="696">
        <v>0.17180000245571136</v>
      </c>
      <c r="AJ67" s="696">
        <v>0</v>
      </c>
      <c r="AK67" s="696">
        <v>0</v>
      </c>
      <c r="AL67" s="696">
        <v>0</v>
      </c>
      <c r="AM67" s="696">
        <v>0</v>
      </c>
      <c r="AN67" s="696">
        <v>0</v>
      </c>
      <c r="AO67" s="697">
        <v>0</v>
      </c>
      <c r="AP67" s="633"/>
      <c r="AQ67" s="695">
        <v>0</v>
      </c>
      <c r="AR67" s="696">
        <v>0</v>
      </c>
      <c r="AS67" s="696">
        <v>0</v>
      </c>
      <c r="AT67" s="696">
        <v>71821.526363372803</v>
      </c>
      <c r="AU67" s="696">
        <v>71732.842437744141</v>
      </c>
      <c r="AV67" s="696">
        <v>67319.133218765259</v>
      </c>
      <c r="AW67" s="696">
        <v>65467.014835357666</v>
      </c>
      <c r="AX67" s="696">
        <v>63318.990867614746</v>
      </c>
      <c r="AY67" s="696">
        <v>63318.990867614746</v>
      </c>
      <c r="AZ67" s="696">
        <v>61398.427192687988</v>
      </c>
      <c r="BA67" s="696">
        <v>60095.036655426025</v>
      </c>
      <c r="BB67" s="696">
        <v>42588.378021240234</v>
      </c>
      <c r="BC67" s="696">
        <v>42271.378021240234</v>
      </c>
      <c r="BD67" s="696">
        <v>38972.724487304688</v>
      </c>
      <c r="BE67" s="696">
        <v>38972.724487304688</v>
      </c>
      <c r="BF67" s="696">
        <v>35716.965209960938</v>
      </c>
      <c r="BG67" s="696">
        <v>35716.965209960938</v>
      </c>
      <c r="BH67" s="696">
        <v>30382.965209960938</v>
      </c>
      <c r="BI67" s="696">
        <v>28010.340209960938</v>
      </c>
      <c r="BJ67" s="696">
        <v>28010.340209960938</v>
      </c>
      <c r="BK67" s="696">
        <v>28010.340209960938</v>
      </c>
      <c r="BL67" s="696">
        <v>28010.340209960938</v>
      </c>
      <c r="BM67" s="696">
        <v>28010.340209960938</v>
      </c>
      <c r="BN67" s="696">
        <v>1266</v>
      </c>
      <c r="BO67" s="696">
        <v>0</v>
      </c>
      <c r="BP67" s="696">
        <v>0</v>
      </c>
      <c r="BQ67" s="696">
        <v>0</v>
      </c>
      <c r="BR67" s="696">
        <v>0</v>
      </c>
      <c r="BS67" s="696">
        <v>0</v>
      </c>
      <c r="BT67" s="697">
        <v>0</v>
      </c>
    </row>
    <row r="68" spans="2:73">
      <c r="B68" s="691"/>
      <c r="C68" s="691" t="s">
        <v>42</v>
      </c>
      <c r="D68" s="691"/>
      <c r="E68" s="691" t="s">
        <v>688</v>
      </c>
      <c r="F68" s="691" t="s">
        <v>29</v>
      </c>
      <c r="G68" s="691"/>
      <c r="H68" s="691">
        <v>2014</v>
      </c>
      <c r="I68" s="644" t="s">
        <v>580</v>
      </c>
      <c r="J68" s="644" t="s">
        <v>595</v>
      </c>
      <c r="K68" s="633"/>
      <c r="L68" s="695">
        <v>0</v>
      </c>
      <c r="M68" s="696">
        <v>0</v>
      </c>
      <c r="N68" s="696">
        <v>0</v>
      </c>
      <c r="O68" s="696">
        <v>279</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7">
        <v>0</v>
      </c>
      <c r="AP68" s="633"/>
      <c r="AQ68" s="695">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7">
        <v>0</v>
      </c>
    </row>
    <row r="69" spans="2:73">
      <c r="B69" s="691"/>
      <c r="C69" s="691" t="s">
        <v>9</v>
      </c>
      <c r="D69" s="691"/>
      <c r="E69" s="691" t="s">
        <v>688</v>
      </c>
      <c r="F69" s="691" t="s">
        <v>689</v>
      </c>
      <c r="G69" s="691"/>
      <c r="H69" s="691">
        <v>2014</v>
      </c>
      <c r="I69" s="644" t="s">
        <v>580</v>
      </c>
      <c r="J69" s="644" t="s">
        <v>595</v>
      </c>
      <c r="K69" s="633"/>
      <c r="L69" s="695">
        <v>0</v>
      </c>
      <c r="M69" s="696">
        <v>0</v>
      </c>
      <c r="N69" s="696">
        <v>0</v>
      </c>
      <c r="O69" s="696">
        <v>35</v>
      </c>
      <c r="P69" s="696">
        <v>0</v>
      </c>
      <c r="Q69" s="696">
        <v>0</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3"/>
      <c r="AQ69" s="695">
        <v>0</v>
      </c>
      <c r="AR69" s="696">
        <v>0</v>
      </c>
      <c r="AS69" s="696">
        <v>0</v>
      </c>
      <c r="AT69" s="696">
        <v>0</v>
      </c>
      <c r="AU69" s="696">
        <v>0</v>
      </c>
      <c r="AV69" s="696">
        <v>0</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c r="C70" s="691" t="s">
        <v>97</v>
      </c>
      <c r="D70" s="691"/>
      <c r="E70" s="691" t="s">
        <v>690</v>
      </c>
      <c r="F70" s="691" t="s">
        <v>29</v>
      </c>
      <c r="G70" s="691"/>
      <c r="H70" s="691">
        <v>2015</v>
      </c>
      <c r="I70" s="644" t="s">
        <v>581</v>
      </c>
      <c r="J70" s="644" t="s">
        <v>595</v>
      </c>
      <c r="K70" s="633"/>
      <c r="L70" s="695">
        <v>0</v>
      </c>
      <c r="M70" s="696">
        <v>0</v>
      </c>
      <c r="N70" s="696">
        <v>0</v>
      </c>
      <c r="O70" s="696">
        <v>0</v>
      </c>
      <c r="P70" s="696">
        <v>1.8940619853286125</v>
      </c>
      <c r="Q70" s="696">
        <v>1.8940619853286125</v>
      </c>
      <c r="R70" s="696">
        <v>1.8940619853286125</v>
      </c>
      <c r="S70" s="696">
        <v>1.7773076878544234</v>
      </c>
      <c r="T70" s="696">
        <v>0.89716125641366173</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3"/>
      <c r="AQ70" s="695">
        <v>0</v>
      </c>
      <c r="AR70" s="696">
        <v>0</v>
      </c>
      <c r="AS70" s="696">
        <v>0</v>
      </c>
      <c r="AT70" s="696">
        <v>0</v>
      </c>
      <c r="AU70" s="696">
        <v>11615.871880481795</v>
      </c>
      <c r="AV70" s="696">
        <v>11615.871880481795</v>
      </c>
      <c r="AW70" s="696">
        <v>11615.871880481795</v>
      </c>
      <c r="AX70" s="696">
        <v>11511.463833874126</v>
      </c>
      <c r="AY70" s="696">
        <v>6104.6264729110871</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c r="C71" s="691" t="s">
        <v>96</v>
      </c>
      <c r="D71" s="691"/>
      <c r="E71" s="691" t="s">
        <v>690</v>
      </c>
      <c r="F71" s="691" t="s">
        <v>29</v>
      </c>
      <c r="G71" s="691"/>
      <c r="H71" s="691">
        <v>2015</v>
      </c>
      <c r="I71" s="644" t="s">
        <v>581</v>
      </c>
      <c r="J71" s="644" t="s">
        <v>595</v>
      </c>
      <c r="K71" s="633"/>
      <c r="L71" s="695">
        <v>0</v>
      </c>
      <c r="M71" s="696">
        <v>0</v>
      </c>
      <c r="N71" s="696">
        <v>0</v>
      </c>
      <c r="O71" s="696">
        <v>0</v>
      </c>
      <c r="P71" s="696">
        <v>7.1498504523071205</v>
      </c>
      <c r="Q71" s="696">
        <v>6.9420324388704344</v>
      </c>
      <c r="R71" s="696">
        <v>6.9420324388704344</v>
      </c>
      <c r="S71" s="696">
        <v>6.9420324388704344</v>
      </c>
      <c r="T71" s="696">
        <v>6.9420324388704344</v>
      </c>
      <c r="U71" s="696">
        <v>6.9420324388704344</v>
      </c>
      <c r="V71" s="696">
        <v>6.9420324388704344</v>
      </c>
      <c r="W71" s="696">
        <v>6.9420324388704344</v>
      </c>
      <c r="X71" s="696">
        <v>6.9420324388704344</v>
      </c>
      <c r="Y71" s="696">
        <v>6.9420324388704344</v>
      </c>
      <c r="Z71" s="696">
        <v>5.1701115507474809</v>
      </c>
      <c r="AA71" s="696">
        <v>4.4694759760717293</v>
      </c>
      <c r="AB71" s="696">
        <v>4.4694759760717293</v>
      </c>
      <c r="AC71" s="696">
        <v>4.4694759760717293</v>
      </c>
      <c r="AD71" s="696">
        <v>4.4694759760717293</v>
      </c>
      <c r="AE71" s="696">
        <v>4.4694759760717293</v>
      </c>
      <c r="AF71" s="696">
        <v>3.0107111400448829</v>
      </c>
      <c r="AG71" s="696">
        <v>3.0107111400448829</v>
      </c>
      <c r="AH71" s="696">
        <v>3.0107111400448829</v>
      </c>
      <c r="AI71" s="696">
        <v>3.0107111400448829</v>
      </c>
      <c r="AJ71" s="696">
        <v>0</v>
      </c>
      <c r="AK71" s="696">
        <v>0</v>
      </c>
      <c r="AL71" s="696">
        <v>0</v>
      </c>
      <c r="AM71" s="696">
        <v>0</v>
      </c>
      <c r="AN71" s="696">
        <v>0</v>
      </c>
      <c r="AO71" s="697">
        <v>0</v>
      </c>
      <c r="AP71" s="633"/>
      <c r="AQ71" s="698">
        <v>0</v>
      </c>
      <c r="AR71" s="699">
        <v>0</v>
      </c>
      <c r="AS71" s="699">
        <v>0</v>
      </c>
      <c r="AT71" s="699">
        <v>0</v>
      </c>
      <c r="AU71" s="699">
        <v>96163.765526452582</v>
      </c>
      <c r="AV71" s="699">
        <v>92853.364846757977</v>
      </c>
      <c r="AW71" s="699">
        <v>92853.364846757977</v>
      </c>
      <c r="AX71" s="699">
        <v>92853.364846757977</v>
      </c>
      <c r="AY71" s="699">
        <v>92853.364846757977</v>
      </c>
      <c r="AZ71" s="699">
        <v>92853.364846757977</v>
      </c>
      <c r="BA71" s="699">
        <v>92853.364846757977</v>
      </c>
      <c r="BB71" s="699">
        <v>92853.364846757977</v>
      </c>
      <c r="BC71" s="699">
        <v>92853.364846757977</v>
      </c>
      <c r="BD71" s="699">
        <v>92853.364846757977</v>
      </c>
      <c r="BE71" s="699">
        <v>82356.387247949242</v>
      </c>
      <c r="BF71" s="699">
        <v>71195.735462913144</v>
      </c>
      <c r="BG71" s="699">
        <v>71195.735462913144</v>
      </c>
      <c r="BH71" s="699">
        <v>71195.735462913144</v>
      </c>
      <c r="BI71" s="699">
        <v>71195.735462913144</v>
      </c>
      <c r="BJ71" s="699">
        <v>71195.735462913144</v>
      </c>
      <c r="BK71" s="699">
        <v>47958.59627156458</v>
      </c>
      <c r="BL71" s="699">
        <v>47958.59627156458</v>
      </c>
      <c r="BM71" s="699">
        <v>47958.59627156458</v>
      </c>
      <c r="BN71" s="699">
        <v>47958.59627156458</v>
      </c>
      <c r="BO71" s="699">
        <v>0</v>
      </c>
      <c r="BP71" s="699">
        <v>0</v>
      </c>
      <c r="BQ71" s="699">
        <v>0</v>
      </c>
      <c r="BR71" s="699">
        <v>0</v>
      </c>
      <c r="BS71" s="699">
        <v>0</v>
      </c>
      <c r="BT71" s="700">
        <v>0</v>
      </c>
    </row>
    <row r="72" spans="2:73">
      <c r="B72" s="691"/>
      <c r="C72" s="691" t="s">
        <v>95</v>
      </c>
      <c r="D72" s="691"/>
      <c r="E72" s="691" t="s">
        <v>690</v>
      </c>
      <c r="F72" s="691" t="s">
        <v>29</v>
      </c>
      <c r="G72" s="691"/>
      <c r="H72" s="691">
        <v>2015</v>
      </c>
      <c r="I72" s="644" t="s">
        <v>581</v>
      </c>
      <c r="J72" s="644" t="s">
        <v>595</v>
      </c>
      <c r="K72" s="633"/>
      <c r="L72" s="695">
        <v>0</v>
      </c>
      <c r="M72" s="696">
        <v>0</v>
      </c>
      <c r="N72" s="696">
        <v>0</v>
      </c>
      <c r="O72" s="696">
        <v>0</v>
      </c>
      <c r="P72" s="696">
        <v>2.5767764105022186</v>
      </c>
      <c r="Q72" s="696">
        <v>2.5541009156139545</v>
      </c>
      <c r="R72" s="696">
        <v>2.5541009156139545</v>
      </c>
      <c r="S72" s="696">
        <v>2.5541009156139545</v>
      </c>
      <c r="T72" s="696">
        <v>2.5541009156139545</v>
      </c>
      <c r="U72" s="696">
        <v>2.5541009156139545</v>
      </c>
      <c r="V72" s="696">
        <v>2.5541009156139545</v>
      </c>
      <c r="W72" s="696">
        <v>2.5528481424796112</v>
      </c>
      <c r="X72" s="696">
        <v>2.5528481424796112</v>
      </c>
      <c r="Y72" s="696">
        <v>2.5528481424796112</v>
      </c>
      <c r="Z72" s="696">
        <v>2.2181491550843311</v>
      </c>
      <c r="AA72" s="696">
        <v>2.2180895854273364</v>
      </c>
      <c r="AB72" s="696">
        <v>2.2180895854273364</v>
      </c>
      <c r="AC72" s="696">
        <v>2.2171443546298448</v>
      </c>
      <c r="AD72" s="696">
        <v>2.2171443546298448</v>
      </c>
      <c r="AE72" s="696">
        <v>2.2147993868656881</v>
      </c>
      <c r="AF72" s="696">
        <v>0.89293086398566734</v>
      </c>
      <c r="AG72" s="696">
        <v>0.89293086398566734</v>
      </c>
      <c r="AH72" s="696">
        <v>0.89293086398566734</v>
      </c>
      <c r="AI72" s="696">
        <v>0.89293086398566734</v>
      </c>
      <c r="AJ72" s="696">
        <v>0</v>
      </c>
      <c r="AK72" s="696">
        <v>0</v>
      </c>
      <c r="AL72" s="696">
        <v>0</v>
      </c>
      <c r="AM72" s="696">
        <v>0</v>
      </c>
      <c r="AN72" s="696">
        <v>0</v>
      </c>
      <c r="AO72" s="697">
        <v>0</v>
      </c>
      <c r="AP72" s="633"/>
      <c r="AQ72" s="692">
        <v>0</v>
      </c>
      <c r="AR72" s="693">
        <v>0</v>
      </c>
      <c r="AS72" s="693">
        <v>0</v>
      </c>
      <c r="AT72" s="693">
        <v>0</v>
      </c>
      <c r="AU72" s="693">
        <v>40377.861220612787</v>
      </c>
      <c r="AV72" s="693">
        <v>40016.655892695475</v>
      </c>
      <c r="AW72" s="693">
        <v>40016.655892695475</v>
      </c>
      <c r="AX72" s="693">
        <v>40016.655892695475</v>
      </c>
      <c r="AY72" s="693">
        <v>40016.655892695475</v>
      </c>
      <c r="AZ72" s="693">
        <v>40016.655892695475</v>
      </c>
      <c r="BA72" s="693">
        <v>40016.655892695475</v>
      </c>
      <c r="BB72" s="693">
        <v>40005.681600038632</v>
      </c>
      <c r="BC72" s="693">
        <v>40005.681600038632</v>
      </c>
      <c r="BD72" s="693">
        <v>40005.681600038632</v>
      </c>
      <c r="BE72" s="693">
        <v>35857.446322336975</v>
      </c>
      <c r="BF72" s="693">
        <v>35366.524203143832</v>
      </c>
      <c r="BG72" s="693">
        <v>35366.524203143832</v>
      </c>
      <c r="BH72" s="693">
        <v>35306.0974992517</v>
      </c>
      <c r="BI72" s="693">
        <v>35306.0974992517</v>
      </c>
      <c r="BJ72" s="693">
        <v>35280.259273102107</v>
      </c>
      <c r="BK72" s="693">
        <v>14223.785947020335</v>
      </c>
      <c r="BL72" s="693">
        <v>14223.785947020335</v>
      </c>
      <c r="BM72" s="693">
        <v>14223.785947020335</v>
      </c>
      <c r="BN72" s="693">
        <v>14223.785947020335</v>
      </c>
      <c r="BO72" s="693">
        <v>0</v>
      </c>
      <c r="BP72" s="693">
        <v>0</v>
      </c>
      <c r="BQ72" s="693">
        <v>0</v>
      </c>
      <c r="BR72" s="693">
        <v>0</v>
      </c>
      <c r="BS72" s="693">
        <v>0</v>
      </c>
      <c r="BT72" s="694">
        <v>0</v>
      </c>
    </row>
    <row r="73" spans="2:73">
      <c r="B73" s="691"/>
      <c r="C73" s="691" t="s">
        <v>102</v>
      </c>
      <c r="D73" s="691"/>
      <c r="E73" s="691" t="s">
        <v>690</v>
      </c>
      <c r="F73" s="691" t="s">
        <v>687</v>
      </c>
      <c r="G73" s="691"/>
      <c r="H73" s="691">
        <v>2015</v>
      </c>
      <c r="I73" s="644" t="s">
        <v>581</v>
      </c>
      <c r="J73" s="644" t="s">
        <v>595</v>
      </c>
      <c r="K73" s="633"/>
      <c r="L73" s="695">
        <v>0</v>
      </c>
      <c r="M73" s="696">
        <v>0</v>
      </c>
      <c r="N73" s="696">
        <v>0</v>
      </c>
      <c r="O73" s="696">
        <v>0</v>
      </c>
      <c r="P73" s="696">
        <v>45.679438952716225</v>
      </c>
      <c r="Q73" s="696">
        <v>39.856493080140012</v>
      </c>
      <c r="R73" s="696">
        <v>32.922001418597183</v>
      </c>
      <c r="S73" s="696">
        <v>32.922001418597183</v>
      </c>
      <c r="T73" s="696">
        <v>32.922001418597183</v>
      </c>
      <c r="U73" s="696">
        <v>32.922001418597183</v>
      </c>
      <c r="V73" s="696">
        <v>32.922001418597183</v>
      </c>
      <c r="W73" s="696">
        <v>32.922001418597183</v>
      </c>
      <c r="X73" s="696">
        <v>32.922001418597183</v>
      </c>
      <c r="Y73" s="696">
        <v>32.922001418597183</v>
      </c>
      <c r="Z73" s="696">
        <v>32.847579256715612</v>
      </c>
      <c r="AA73" s="696">
        <v>7.9725430009724514</v>
      </c>
      <c r="AB73" s="696">
        <v>0</v>
      </c>
      <c r="AC73" s="696">
        <v>0</v>
      </c>
      <c r="AD73" s="696">
        <v>0</v>
      </c>
      <c r="AE73" s="696">
        <v>0</v>
      </c>
      <c r="AF73" s="696">
        <v>0</v>
      </c>
      <c r="AG73" s="696">
        <v>0</v>
      </c>
      <c r="AH73" s="696">
        <v>0</v>
      </c>
      <c r="AI73" s="696">
        <v>0</v>
      </c>
      <c r="AJ73" s="696">
        <v>0</v>
      </c>
      <c r="AK73" s="696">
        <v>0</v>
      </c>
      <c r="AL73" s="696">
        <v>0</v>
      </c>
      <c r="AM73" s="696">
        <v>0</v>
      </c>
      <c r="AN73" s="696">
        <v>0</v>
      </c>
      <c r="AO73" s="697">
        <v>0</v>
      </c>
      <c r="AP73" s="633"/>
      <c r="AQ73" s="695">
        <v>0</v>
      </c>
      <c r="AR73" s="696">
        <v>0</v>
      </c>
      <c r="AS73" s="696">
        <v>0</v>
      </c>
      <c r="AT73" s="696">
        <v>0</v>
      </c>
      <c r="AU73" s="696">
        <v>200344.6889512011</v>
      </c>
      <c r="AV73" s="696">
        <v>173753.35174323231</v>
      </c>
      <c r="AW73" s="696">
        <v>145101.00694457217</v>
      </c>
      <c r="AX73" s="696">
        <v>145101.00694457217</v>
      </c>
      <c r="AY73" s="696">
        <v>145101.00694457217</v>
      </c>
      <c r="AZ73" s="696">
        <v>145101.00694457217</v>
      </c>
      <c r="BA73" s="696">
        <v>145101.00694457217</v>
      </c>
      <c r="BB73" s="696">
        <v>145101.00694457217</v>
      </c>
      <c r="BC73" s="696">
        <v>145101.00694457217</v>
      </c>
      <c r="BD73" s="696">
        <v>145101.00694457217</v>
      </c>
      <c r="BE73" s="696">
        <v>144301.60419036049</v>
      </c>
      <c r="BF73" s="696">
        <v>31189.216248997596</v>
      </c>
      <c r="BG73" s="696">
        <v>0</v>
      </c>
      <c r="BH73" s="696">
        <v>0</v>
      </c>
      <c r="BI73" s="696">
        <v>0</v>
      </c>
      <c r="BJ73" s="696">
        <v>0</v>
      </c>
      <c r="BK73" s="696">
        <v>0</v>
      </c>
      <c r="BL73" s="696">
        <v>0</v>
      </c>
      <c r="BM73" s="696">
        <v>0</v>
      </c>
      <c r="BN73" s="696">
        <v>0</v>
      </c>
      <c r="BO73" s="696">
        <v>0</v>
      </c>
      <c r="BP73" s="696">
        <v>0</v>
      </c>
      <c r="BQ73" s="696">
        <v>0</v>
      </c>
      <c r="BR73" s="696">
        <v>0</v>
      </c>
      <c r="BS73" s="696">
        <v>0</v>
      </c>
      <c r="BT73" s="697">
        <v>0</v>
      </c>
    </row>
    <row r="74" spans="2:73">
      <c r="B74" s="691"/>
      <c r="C74" s="691" t="s">
        <v>101</v>
      </c>
      <c r="D74" s="691"/>
      <c r="E74" s="691" t="s">
        <v>690</v>
      </c>
      <c r="F74" s="691" t="s">
        <v>689</v>
      </c>
      <c r="G74" s="691"/>
      <c r="H74" s="691">
        <v>2015</v>
      </c>
      <c r="I74" s="644" t="s">
        <v>581</v>
      </c>
      <c r="J74" s="644" t="s">
        <v>595</v>
      </c>
      <c r="K74" s="633"/>
      <c r="L74" s="695">
        <v>0</v>
      </c>
      <c r="M74" s="696">
        <v>0</v>
      </c>
      <c r="N74" s="696">
        <v>0</v>
      </c>
      <c r="O74" s="696">
        <v>0</v>
      </c>
      <c r="P74" s="696">
        <v>111.86379080205066</v>
      </c>
      <c r="Q74" s="696">
        <v>111.86379080205066</v>
      </c>
      <c r="R74" s="696">
        <v>111.17750980884584</v>
      </c>
      <c r="S74" s="696">
        <v>111.17750980884584</v>
      </c>
      <c r="T74" s="696">
        <v>111.17750980884584</v>
      </c>
      <c r="U74" s="696">
        <v>111.17750980884584</v>
      </c>
      <c r="V74" s="696">
        <v>109.37003518037534</v>
      </c>
      <c r="W74" s="696">
        <v>109.37003518037534</v>
      </c>
      <c r="X74" s="696">
        <v>108.71947250588629</v>
      </c>
      <c r="Y74" s="696">
        <v>102.82800003192216</v>
      </c>
      <c r="Z74" s="696">
        <v>88.497710279844199</v>
      </c>
      <c r="AA74" s="696">
        <v>88.497710279844199</v>
      </c>
      <c r="AB74" s="696">
        <v>77.228905239711651</v>
      </c>
      <c r="AC74" s="696">
        <v>77.228905239711651</v>
      </c>
      <c r="AD74" s="696">
        <v>77.228905239711651</v>
      </c>
      <c r="AE74" s="696">
        <v>77.228905239711651</v>
      </c>
      <c r="AF74" s="696">
        <v>77.228905239711651</v>
      </c>
      <c r="AG74" s="696">
        <v>77.228905239711651</v>
      </c>
      <c r="AH74" s="696">
        <v>77.228905239711651</v>
      </c>
      <c r="AI74" s="696">
        <v>77.228905239711651</v>
      </c>
      <c r="AJ74" s="696">
        <v>0</v>
      </c>
      <c r="AK74" s="696">
        <v>0</v>
      </c>
      <c r="AL74" s="696">
        <v>0</v>
      </c>
      <c r="AM74" s="696">
        <v>0</v>
      </c>
      <c r="AN74" s="696">
        <v>0</v>
      </c>
      <c r="AO74" s="697">
        <v>0</v>
      </c>
      <c r="AP74" s="633"/>
      <c r="AQ74" s="695">
        <v>0</v>
      </c>
      <c r="AR74" s="696">
        <v>0</v>
      </c>
      <c r="AS74" s="696">
        <v>0</v>
      </c>
      <c r="AT74" s="696">
        <v>0</v>
      </c>
      <c r="AU74" s="696">
        <v>789677.03165802034</v>
      </c>
      <c r="AV74" s="696">
        <v>789677.03165802034</v>
      </c>
      <c r="AW74" s="696">
        <v>787499.72169082006</v>
      </c>
      <c r="AX74" s="696">
        <v>787499.72169082006</v>
      </c>
      <c r="AY74" s="696">
        <v>787499.72169082006</v>
      </c>
      <c r="AZ74" s="696">
        <v>787499.72169082006</v>
      </c>
      <c r="BA74" s="696">
        <v>771496.72888958873</v>
      </c>
      <c r="BB74" s="696">
        <v>771496.72888958873</v>
      </c>
      <c r="BC74" s="696">
        <v>769440.93611847539</v>
      </c>
      <c r="BD74" s="696">
        <v>717279.10208527395</v>
      </c>
      <c r="BE74" s="696">
        <v>589923.5261265696</v>
      </c>
      <c r="BF74" s="696">
        <v>589923.5261265696</v>
      </c>
      <c r="BG74" s="696">
        <v>284332.05728253897</v>
      </c>
      <c r="BH74" s="696">
        <v>284332.05728253897</v>
      </c>
      <c r="BI74" s="696">
        <v>284332.05728253897</v>
      </c>
      <c r="BJ74" s="696">
        <v>283138.03481285955</v>
      </c>
      <c r="BK74" s="696">
        <v>280498.65606607537</v>
      </c>
      <c r="BL74" s="696">
        <v>280498.65606607537</v>
      </c>
      <c r="BM74" s="696">
        <v>280498.65606607537</v>
      </c>
      <c r="BN74" s="696">
        <v>280498.65606607537</v>
      </c>
      <c r="BO74" s="696">
        <v>0</v>
      </c>
      <c r="BP74" s="696">
        <v>0</v>
      </c>
      <c r="BQ74" s="696">
        <v>0</v>
      </c>
      <c r="BR74" s="696">
        <v>0</v>
      </c>
      <c r="BS74" s="696">
        <v>0</v>
      </c>
      <c r="BT74" s="697">
        <v>0</v>
      </c>
    </row>
    <row r="75" spans="2:73">
      <c r="B75" s="691"/>
      <c r="C75" s="691" t="s">
        <v>98</v>
      </c>
      <c r="D75" s="691"/>
      <c r="E75" s="691" t="s">
        <v>690</v>
      </c>
      <c r="F75" s="691" t="s">
        <v>29</v>
      </c>
      <c r="G75" s="691"/>
      <c r="H75" s="691">
        <v>2015</v>
      </c>
      <c r="I75" s="644" t="s">
        <v>581</v>
      </c>
      <c r="J75" s="644" t="s">
        <v>595</v>
      </c>
      <c r="K75" s="633"/>
      <c r="L75" s="695">
        <v>0</v>
      </c>
      <c r="M75" s="696">
        <v>0</v>
      </c>
      <c r="N75" s="696">
        <v>0</v>
      </c>
      <c r="O75" s="696">
        <v>0</v>
      </c>
      <c r="P75" s="696">
        <v>26.265753677039768</v>
      </c>
      <c r="Q75" s="696">
        <v>26.265753677039768</v>
      </c>
      <c r="R75" s="696">
        <v>26.265753677039768</v>
      </c>
      <c r="S75" s="696">
        <v>26.265753677039768</v>
      </c>
      <c r="T75" s="696">
        <v>26.265753677039768</v>
      </c>
      <c r="U75" s="696">
        <v>26.265753677039768</v>
      </c>
      <c r="V75" s="696">
        <v>26.265753677039768</v>
      </c>
      <c r="W75" s="696">
        <v>26.265753677039768</v>
      </c>
      <c r="X75" s="696">
        <v>26.265753677039768</v>
      </c>
      <c r="Y75" s="696">
        <v>26.265753677039768</v>
      </c>
      <c r="Z75" s="696">
        <v>26.265753677039768</v>
      </c>
      <c r="AA75" s="696">
        <v>26.265753677039768</v>
      </c>
      <c r="AB75" s="696">
        <v>26.265753677039768</v>
      </c>
      <c r="AC75" s="696">
        <v>26.265753677039768</v>
      </c>
      <c r="AD75" s="696">
        <v>26.265753677039768</v>
      </c>
      <c r="AE75" s="696">
        <v>26.265753677039768</v>
      </c>
      <c r="AF75" s="696">
        <v>26.265753677039768</v>
      </c>
      <c r="AG75" s="696">
        <v>26.265753677039768</v>
      </c>
      <c r="AH75" s="696">
        <v>24.692236698033874</v>
      </c>
      <c r="AI75" s="696">
        <v>0</v>
      </c>
      <c r="AJ75" s="696">
        <v>0</v>
      </c>
      <c r="AK75" s="696">
        <v>0</v>
      </c>
      <c r="AL75" s="696">
        <v>0</v>
      </c>
      <c r="AM75" s="696">
        <v>0</v>
      </c>
      <c r="AN75" s="696">
        <v>0</v>
      </c>
      <c r="AO75" s="697">
        <v>0</v>
      </c>
      <c r="AP75" s="633"/>
      <c r="AQ75" s="695">
        <v>0</v>
      </c>
      <c r="AR75" s="696">
        <v>0</v>
      </c>
      <c r="AS75" s="696">
        <v>0</v>
      </c>
      <c r="AT75" s="696">
        <v>0</v>
      </c>
      <c r="AU75" s="696">
        <v>51047.782683221878</v>
      </c>
      <c r="AV75" s="696">
        <v>51047.782683221878</v>
      </c>
      <c r="AW75" s="696">
        <v>51047.782683221878</v>
      </c>
      <c r="AX75" s="696">
        <v>51047.782683221878</v>
      </c>
      <c r="AY75" s="696">
        <v>51047.782683221878</v>
      </c>
      <c r="AZ75" s="696">
        <v>51047.782683221878</v>
      </c>
      <c r="BA75" s="696">
        <v>51047.782683221878</v>
      </c>
      <c r="BB75" s="696">
        <v>51047.782683221878</v>
      </c>
      <c r="BC75" s="696">
        <v>51047.782683221878</v>
      </c>
      <c r="BD75" s="696">
        <v>51047.782683221878</v>
      </c>
      <c r="BE75" s="696">
        <v>51047.782683221878</v>
      </c>
      <c r="BF75" s="696">
        <v>51047.782683221878</v>
      </c>
      <c r="BG75" s="696">
        <v>51047.782683221878</v>
      </c>
      <c r="BH75" s="696">
        <v>51047.782683221878</v>
      </c>
      <c r="BI75" s="696">
        <v>51047.782683221878</v>
      </c>
      <c r="BJ75" s="696">
        <v>51047.782683221878</v>
      </c>
      <c r="BK75" s="696">
        <v>51047.782683221878</v>
      </c>
      <c r="BL75" s="696">
        <v>51047.782683221878</v>
      </c>
      <c r="BM75" s="696">
        <v>49640.658169297007</v>
      </c>
      <c r="BN75" s="696">
        <v>0</v>
      </c>
      <c r="BO75" s="696">
        <v>0</v>
      </c>
      <c r="BP75" s="696">
        <v>0</v>
      </c>
      <c r="BQ75" s="696">
        <v>0</v>
      </c>
      <c r="BR75" s="696">
        <v>0</v>
      </c>
      <c r="BS75" s="696">
        <v>0</v>
      </c>
      <c r="BT75" s="697">
        <v>0</v>
      </c>
    </row>
    <row r="76" spans="2:73">
      <c r="B76" s="691"/>
      <c r="C76" s="691" t="s">
        <v>109</v>
      </c>
      <c r="D76" s="691"/>
      <c r="E76" s="691" t="s">
        <v>690</v>
      </c>
      <c r="F76" s="691" t="s">
        <v>29</v>
      </c>
      <c r="G76" s="691"/>
      <c r="H76" s="691">
        <v>2015</v>
      </c>
      <c r="I76" s="644" t="s">
        <v>581</v>
      </c>
      <c r="J76" s="644" t="s">
        <v>595</v>
      </c>
      <c r="K76" s="633"/>
      <c r="L76" s="695">
        <v>0</v>
      </c>
      <c r="M76" s="696">
        <v>0</v>
      </c>
      <c r="N76" s="696">
        <v>0</v>
      </c>
      <c r="O76" s="696">
        <v>0</v>
      </c>
      <c r="P76" s="696">
        <v>0.67962809698656201</v>
      </c>
      <c r="Q76" s="696">
        <v>0.51077296514995396</v>
      </c>
      <c r="R76" s="696">
        <v>0.47896587220020592</v>
      </c>
      <c r="S76" s="696">
        <v>0.44715875689871609</v>
      </c>
      <c r="T76" s="696">
        <v>0.44715875689871609</v>
      </c>
      <c r="U76" s="696">
        <v>0.44715875689871609</v>
      </c>
      <c r="V76" s="696">
        <v>0.41412671213038266</v>
      </c>
      <c r="W76" s="696">
        <v>0.41412671213038266</v>
      </c>
      <c r="X76" s="696">
        <v>0.17553582321852446</v>
      </c>
      <c r="Y76" s="696">
        <v>0.17553582321852446</v>
      </c>
      <c r="Z76" s="696">
        <v>0.16297455132007599</v>
      </c>
      <c r="AA76" s="696">
        <v>0.16297455132007599</v>
      </c>
      <c r="AB76" s="696">
        <v>0.16297455132007599</v>
      </c>
      <c r="AC76" s="696">
        <v>0.16297455132007599</v>
      </c>
      <c r="AD76" s="696">
        <v>0.16297455132007599</v>
      </c>
      <c r="AE76" s="696">
        <v>0.14467664062976837</v>
      </c>
      <c r="AF76" s="696">
        <v>0.14467664062976837</v>
      </c>
      <c r="AG76" s="696">
        <v>0.14467664062976837</v>
      </c>
      <c r="AH76" s="696">
        <v>0.14467664062976837</v>
      </c>
      <c r="AI76" s="696">
        <v>0.14467664062976837</v>
      </c>
      <c r="AJ76" s="696">
        <v>0</v>
      </c>
      <c r="AK76" s="696">
        <v>0</v>
      </c>
      <c r="AL76" s="696">
        <v>0</v>
      </c>
      <c r="AM76" s="696">
        <v>0</v>
      </c>
      <c r="AN76" s="696">
        <v>0</v>
      </c>
      <c r="AO76" s="697">
        <v>0</v>
      </c>
      <c r="AP76" s="633"/>
      <c r="AQ76" s="695">
        <v>0</v>
      </c>
      <c r="AR76" s="696">
        <v>0</v>
      </c>
      <c r="AS76" s="696">
        <v>0</v>
      </c>
      <c r="AT76" s="696">
        <v>0</v>
      </c>
      <c r="AU76" s="696">
        <v>10324.690811157227</v>
      </c>
      <c r="AV76" s="696">
        <v>7074.1198806762695</v>
      </c>
      <c r="AW76" s="696">
        <v>6461.8127899169922</v>
      </c>
      <c r="AX76" s="696">
        <v>5849.505199432373</v>
      </c>
      <c r="AY76" s="696">
        <v>5849.505199432373</v>
      </c>
      <c r="AZ76" s="696">
        <v>5849.505199432373</v>
      </c>
      <c r="BA76" s="696">
        <v>5213.6168785095215</v>
      </c>
      <c r="BB76" s="696">
        <v>5213.6168785095215</v>
      </c>
      <c r="BC76" s="696">
        <v>620.58732604980469</v>
      </c>
      <c r="BD76" s="696">
        <v>620.58732604980469</v>
      </c>
      <c r="BE76" s="696">
        <v>517.00338745117188</v>
      </c>
      <c r="BF76" s="696">
        <v>517.00338745117188</v>
      </c>
      <c r="BG76" s="696">
        <v>517.00338745117188</v>
      </c>
      <c r="BH76" s="696">
        <v>517.00338745117188</v>
      </c>
      <c r="BI76" s="696">
        <v>517.00338745117188</v>
      </c>
      <c r="BJ76" s="696">
        <v>366.11343383789063</v>
      </c>
      <c r="BK76" s="696">
        <v>366.11343383789063</v>
      </c>
      <c r="BL76" s="696">
        <v>366.11343383789063</v>
      </c>
      <c r="BM76" s="696">
        <v>366.11343383789063</v>
      </c>
      <c r="BN76" s="696">
        <v>366.11343383789063</v>
      </c>
      <c r="BO76" s="696">
        <v>0</v>
      </c>
      <c r="BP76" s="696">
        <v>0</v>
      </c>
      <c r="BQ76" s="696">
        <v>0</v>
      </c>
      <c r="BR76" s="696">
        <v>0</v>
      </c>
      <c r="BS76" s="696">
        <v>0</v>
      </c>
      <c r="BT76" s="697">
        <v>0</v>
      </c>
    </row>
    <row r="77" spans="2:73">
      <c r="B77" s="691"/>
      <c r="C77" s="691" t="s">
        <v>107</v>
      </c>
      <c r="D77" s="691"/>
      <c r="E77" s="691" t="s">
        <v>690</v>
      </c>
      <c r="F77" s="691" t="s">
        <v>686</v>
      </c>
      <c r="G77" s="691"/>
      <c r="H77" s="691">
        <v>2015</v>
      </c>
      <c r="I77" s="644" t="s">
        <v>581</v>
      </c>
      <c r="J77" s="644" t="s">
        <v>595</v>
      </c>
      <c r="K77" s="633"/>
      <c r="L77" s="695">
        <v>0</v>
      </c>
      <c r="M77" s="696">
        <v>0</v>
      </c>
      <c r="N77" s="696">
        <v>0</v>
      </c>
      <c r="O77" s="696">
        <v>0</v>
      </c>
      <c r="P77" s="696">
        <v>5.1296895000000005</v>
      </c>
      <c r="Q77" s="696">
        <v>5.1296895000000005</v>
      </c>
      <c r="R77" s="696">
        <v>5.1296895000000005</v>
      </c>
      <c r="S77" s="696">
        <v>5.1296895000000005</v>
      </c>
      <c r="T77" s="696">
        <v>5.1296895000000005</v>
      </c>
      <c r="U77" s="696">
        <v>5.1296895000000005</v>
      </c>
      <c r="V77" s="696">
        <v>5.1296895000000005</v>
      </c>
      <c r="W77" s="696">
        <v>5.1296895000000005</v>
      </c>
      <c r="X77" s="696">
        <v>5.1296895000000005</v>
      </c>
      <c r="Y77" s="696">
        <v>5.1296895000000005</v>
      </c>
      <c r="Z77" s="696">
        <v>0</v>
      </c>
      <c r="AA77" s="696">
        <v>0</v>
      </c>
      <c r="AB77" s="696">
        <v>0</v>
      </c>
      <c r="AC77" s="696">
        <v>0</v>
      </c>
      <c r="AD77" s="696">
        <v>0</v>
      </c>
      <c r="AE77" s="696">
        <v>0</v>
      </c>
      <c r="AF77" s="696">
        <v>0</v>
      </c>
      <c r="AG77" s="696">
        <v>0</v>
      </c>
      <c r="AH77" s="696">
        <v>0</v>
      </c>
      <c r="AI77" s="696">
        <v>0</v>
      </c>
      <c r="AJ77" s="696">
        <v>0</v>
      </c>
      <c r="AK77" s="696">
        <v>0</v>
      </c>
      <c r="AL77" s="696">
        <v>0</v>
      </c>
      <c r="AM77" s="696">
        <v>0</v>
      </c>
      <c r="AN77" s="696">
        <v>0</v>
      </c>
      <c r="AO77" s="697">
        <v>0</v>
      </c>
      <c r="AP77" s="633"/>
      <c r="AQ77" s="695">
        <v>0</v>
      </c>
      <c r="AR77" s="696">
        <v>0</v>
      </c>
      <c r="AS77" s="696">
        <v>0</v>
      </c>
      <c r="AT77" s="696">
        <v>0</v>
      </c>
      <c r="AU77" s="696">
        <v>16371.3635256915</v>
      </c>
      <c r="AV77" s="696">
        <v>16371.3635256915</v>
      </c>
      <c r="AW77" s="696">
        <v>16371.3635256915</v>
      </c>
      <c r="AX77" s="696">
        <v>16371.3635256915</v>
      </c>
      <c r="AY77" s="696">
        <v>16371.3635256915</v>
      </c>
      <c r="AZ77" s="696">
        <v>16371.3635256915</v>
      </c>
      <c r="BA77" s="696">
        <v>16371.3635256915</v>
      </c>
      <c r="BB77" s="696">
        <v>16371.3635256915</v>
      </c>
      <c r="BC77" s="696">
        <v>16371.3635256915</v>
      </c>
      <c r="BD77" s="696">
        <v>16371.3635256915</v>
      </c>
      <c r="BE77" s="696">
        <v>0</v>
      </c>
      <c r="BF77" s="696">
        <v>0</v>
      </c>
      <c r="BG77" s="696">
        <v>0</v>
      </c>
      <c r="BH77" s="696">
        <v>0</v>
      </c>
      <c r="BI77" s="696">
        <v>0</v>
      </c>
      <c r="BJ77" s="696">
        <v>0</v>
      </c>
      <c r="BK77" s="696">
        <v>0</v>
      </c>
      <c r="BL77" s="696">
        <v>0</v>
      </c>
      <c r="BM77" s="696">
        <v>0</v>
      </c>
      <c r="BN77" s="696">
        <v>0</v>
      </c>
      <c r="BO77" s="696">
        <v>0</v>
      </c>
      <c r="BP77" s="696">
        <v>0</v>
      </c>
      <c r="BQ77" s="696">
        <v>0</v>
      </c>
      <c r="BR77" s="696">
        <v>0</v>
      </c>
      <c r="BS77" s="696">
        <v>0</v>
      </c>
      <c r="BT77" s="697">
        <v>0</v>
      </c>
    </row>
    <row r="78" spans="2:73">
      <c r="B78" s="691"/>
      <c r="C78" s="691" t="s">
        <v>115</v>
      </c>
      <c r="D78" s="691"/>
      <c r="E78" s="691" t="s">
        <v>690</v>
      </c>
      <c r="F78" s="691" t="s">
        <v>29</v>
      </c>
      <c r="G78" s="691"/>
      <c r="H78" s="691">
        <v>2015</v>
      </c>
      <c r="I78" s="644" t="s">
        <v>581</v>
      </c>
      <c r="J78" s="644" t="s">
        <v>595</v>
      </c>
      <c r="K78" s="633"/>
      <c r="L78" s="695">
        <v>0</v>
      </c>
      <c r="M78" s="696">
        <v>0</v>
      </c>
      <c r="N78" s="696">
        <v>0</v>
      </c>
      <c r="O78" s="696">
        <v>0</v>
      </c>
      <c r="P78" s="696">
        <v>36.793749923419099</v>
      </c>
      <c r="Q78" s="696">
        <v>36.793749923419099</v>
      </c>
      <c r="R78" s="696">
        <v>36.793749923419099</v>
      </c>
      <c r="S78" s="696">
        <v>36.793749923419099</v>
      </c>
      <c r="T78" s="696">
        <v>36.793749923419099</v>
      </c>
      <c r="U78" s="696">
        <v>36.793749923419099</v>
      </c>
      <c r="V78" s="696">
        <v>36.793749923419099</v>
      </c>
      <c r="W78" s="696">
        <v>36.793749923419099</v>
      </c>
      <c r="X78" s="696">
        <v>36.793749923419099</v>
      </c>
      <c r="Y78" s="696">
        <v>36.793749923419099</v>
      </c>
      <c r="Z78" s="696">
        <v>36.793749923419099</v>
      </c>
      <c r="AA78" s="696">
        <v>36.793749923419099</v>
      </c>
      <c r="AB78" s="696">
        <v>36.793749923419099</v>
      </c>
      <c r="AC78" s="696">
        <v>36.793749923419099</v>
      </c>
      <c r="AD78" s="696">
        <v>36.793749923419099</v>
      </c>
      <c r="AE78" s="696">
        <v>36.793749923419099</v>
      </c>
      <c r="AF78" s="696">
        <v>36.793749923419099</v>
      </c>
      <c r="AG78" s="696">
        <v>36.793749923419099</v>
      </c>
      <c r="AH78" s="696">
        <v>34.953945455658342</v>
      </c>
      <c r="AI78" s="696">
        <v>0</v>
      </c>
      <c r="AJ78" s="696">
        <v>0</v>
      </c>
      <c r="AK78" s="696">
        <v>0</v>
      </c>
      <c r="AL78" s="696">
        <v>0</v>
      </c>
      <c r="AM78" s="696">
        <v>0</v>
      </c>
      <c r="AN78" s="696">
        <v>0</v>
      </c>
      <c r="AO78" s="697">
        <v>0</v>
      </c>
      <c r="AP78" s="633"/>
      <c r="AQ78" s="695">
        <v>0</v>
      </c>
      <c r="AR78" s="696">
        <v>0</v>
      </c>
      <c r="AS78" s="696">
        <v>0</v>
      </c>
      <c r="AT78" s="696">
        <v>0</v>
      </c>
      <c r="AU78" s="696">
        <v>71915.795361629906</v>
      </c>
      <c r="AV78" s="696">
        <v>71915.795361629906</v>
      </c>
      <c r="AW78" s="696">
        <v>71915.795361629906</v>
      </c>
      <c r="AX78" s="696">
        <v>71915.795361629906</v>
      </c>
      <c r="AY78" s="696">
        <v>71915.795361629906</v>
      </c>
      <c r="AZ78" s="696">
        <v>71915.795361629906</v>
      </c>
      <c r="BA78" s="696">
        <v>71915.795361629906</v>
      </c>
      <c r="BB78" s="696">
        <v>71915.795361629906</v>
      </c>
      <c r="BC78" s="696">
        <v>71915.795361629906</v>
      </c>
      <c r="BD78" s="696">
        <v>71915.795361629906</v>
      </c>
      <c r="BE78" s="696">
        <v>71915.795361629906</v>
      </c>
      <c r="BF78" s="696">
        <v>71915.795361629906</v>
      </c>
      <c r="BG78" s="696">
        <v>71915.795361629906</v>
      </c>
      <c r="BH78" s="696">
        <v>71915.795361629906</v>
      </c>
      <c r="BI78" s="696">
        <v>71915.795361629906</v>
      </c>
      <c r="BJ78" s="696">
        <v>71915.795361629906</v>
      </c>
      <c r="BK78" s="696">
        <v>71915.795361629906</v>
      </c>
      <c r="BL78" s="696">
        <v>71915.795361629906</v>
      </c>
      <c r="BM78" s="696">
        <v>70270.542083810054</v>
      </c>
      <c r="BN78" s="696">
        <v>0</v>
      </c>
      <c r="BO78" s="696">
        <v>0</v>
      </c>
      <c r="BP78" s="696">
        <v>0</v>
      </c>
      <c r="BQ78" s="696">
        <v>0</v>
      </c>
      <c r="BR78" s="696">
        <v>0</v>
      </c>
      <c r="BS78" s="696">
        <v>0</v>
      </c>
      <c r="BT78" s="697">
        <v>0</v>
      </c>
    </row>
    <row r="79" spans="2:73" ht="15.75">
      <c r="B79" s="691"/>
      <c r="C79" s="691" t="s">
        <v>119</v>
      </c>
      <c r="D79" s="691"/>
      <c r="E79" s="691" t="s">
        <v>690</v>
      </c>
      <c r="F79" s="691" t="s">
        <v>689</v>
      </c>
      <c r="G79" s="691"/>
      <c r="H79" s="691">
        <v>2015</v>
      </c>
      <c r="I79" s="644" t="s">
        <v>581</v>
      </c>
      <c r="J79" s="644" t="s">
        <v>595</v>
      </c>
      <c r="K79" s="633"/>
      <c r="L79" s="695">
        <v>0</v>
      </c>
      <c r="M79" s="696">
        <v>0</v>
      </c>
      <c r="N79" s="696">
        <v>0</v>
      </c>
      <c r="O79" s="696">
        <v>0</v>
      </c>
      <c r="P79" s="696">
        <v>11.253497362931158</v>
      </c>
      <c r="Q79" s="696">
        <v>11.253497362931158</v>
      </c>
      <c r="R79" s="696">
        <v>11.253497362931158</v>
      </c>
      <c r="S79" s="696">
        <v>11.253497362931158</v>
      </c>
      <c r="T79" s="696">
        <v>11.253497362931158</v>
      </c>
      <c r="U79" s="696">
        <v>11.253497362931158</v>
      </c>
      <c r="V79" s="696">
        <v>11.091711208972992</v>
      </c>
      <c r="W79" s="696">
        <v>11.091711208972992</v>
      </c>
      <c r="X79" s="696">
        <v>11.091711208972992</v>
      </c>
      <c r="Y79" s="696">
        <v>10.564368441500994</v>
      </c>
      <c r="Z79" s="696">
        <v>9.3052227648606856</v>
      </c>
      <c r="AA79" s="696">
        <v>9.3052227648606856</v>
      </c>
      <c r="AB79" s="696">
        <v>9.3052227648606856</v>
      </c>
      <c r="AC79" s="696">
        <v>9.3052227648606856</v>
      </c>
      <c r="AD79" s="696">
        <v>9.3052227648606856</v>
      </c>
      <c r="AE79" s="696">
        <v>6.4068449433849182</v>
      </c>
      <c r="AF79" s="696">
        <v>0</v>
      </c>
      <c r="AG79" s="696">
        <v>0</v>
      </c>
      <c r="AH79" s="696">
        <v>0</v>
      </c>
      <c r="AI79" s="696">
        <v>0</v>
      </c>
      <c r="AJ79" s="696">
        <v>0</v>
      </c>
      <c r="AK79" s="696">
        <v>0</v>
      </c>
      <c r="AL79" s="696">
        <v>0</v>
      </c>
      <c r="AM79" s="696">
        <v>0</v>
      </c>
      <c r="AN79" s="696">
        <v>0</v>
      </c>
      <c r="AO79" s="697">
        <v>0</v>
      </c>
      <c r="AP79" s="633"/>
      <c r="AQ79" s="695">
        <v>0</v>
      </c>
      <c r="AR79" s="696">
        <v>0</v>
      </c>
      <c r="AS79" s="696">
        <v>0</v>
      </c>
      <c r="AT79" s="696">
        <v>0</v>
      </c>
      <c r="AU79" s="696">
        <v>157549.14323282012</v>
      </c>
      <c r="AV79" s="696">
        <v>157549.14323282012</v>
      </c>
      <c r="AW79" s="696">
        <v>157549.14323282012</v>
      </c>
      <c r="AX79" s="696">
        <v>157549.14323282012</v>
      </c>
      <c r="AY79" s="696">
        <v>157549.14323282012</v>
      </c>
      <c r="AZ79" s="696">
        <v>157549.14323282012</v>
      </c>
      <c r="BA79" s="696">
        <v>155886.90356597977</v>
      </c>
      <c r="BB79" s="696">
        <v>155886.90356597977</v>
      </c>
      <c r="BC79" s="696">
        <v>155886.90356597977</v>
      </c>
      <c r="BD79" s="696">
        <v>150468.82516639068</v>
      </c>
      <c r="BE79" s="696">
        <v>137531.98329929705</v>
      </c>
      <c r="BF79" s="696">
        <v>137531.98329929705</v>
      </c>
      <c r="BG79" s="696">
        <v>137531.98329929705</v>
      </c>
      <c r="BH79" s="696">
        <v>137531.98329929705</v>
      </c>
      <c r="BI79" s="696">
        <v>137531.98329929705</v>
      </c>
      <c r="BJ79" s="696">
        <v>94693.712769808451</v>
      </c>
      <c r="BK79" s="696">
        <v>0</v>
      </c>
      <c r="BL79" s="696">
        <v>0</v>
      </c>
      <c r="BM79" s="696">
        <v>0</v>
      </c>
      <c r="BN79" s="696">
        <v>0</v>
      </c>
      <c r="BO79" s="696">
        <v>0</v>
      </c>
      <c r="BP79" s="696">
        <v>0</v>
      </c>
      <c r="BQ79" s="696">
        <v>0</v>
      </c>
      <c r="BR79" s="696">
        <v>0</v>
      </c>
      <c r="BS79" s="696">
        <v>0</v>
      </c>
      <c r="BT79" s="697">
        <v>0</v>
      </c>
      <c r="BU79" s="165"/>
    </row>
    <row r="80" spans="2:73" ht="15.75">
      <c r="B80" s="691"/>
      <c r="C80" s="691" t="s">
        <v>114</v>
      </c>
      <c r="D80" s="691"/>
      <c r="E80" s="691" t="s">
        <v>690</v>
      </c>
      <c r="F80" s="691" t="s">
        <v>29</v>
      </c>
      <c r="G80" s="691"/>
      <c r="H80" s="691">
        <v>2015</v>
      </c>
      <c r="I80" s="644" t="s">
        <v>581</v>
      </c>
      <c r="J80" s="644" t="s">
        <v>595</v>
      </c>
      <c r="K80" s="633"/>
      <c r="L80" s="695">
        <v>0</v>
      </c>
      <c r="M80" s="696">
        <v>0</v>
      </c>
      <c r="N80" s="696">
        <v>0</v>
      </c>
      <c r="O80" s="696">
        <v>0</v>
      </c>
      <c r="P80" s="696">
        <v>17.469951173617591</v>
      </c>
      <c r="Q80" s="696">
        <v>17.322219079968804</v>
      </c>
      <c r="R80" s="696">
        <v>17.322219079968804</v>
      </c>
      <c r="S80" s="696">
        <v>17.322219079968804</v>
      </c>
      <c r="T80" s="696">
        <v>17.322219079968804</v>
      </c>
      <c r="U80" s="696">
        <v>17.322219079968804</v>
      </c>
      <c r="V80" s="696">
        <v>17.322219079968804</v>
      </c>
      <c r="W80" s="696">
        <v>17.304478195905041</v>
      </c>
      <c r="X80" s="696">
        <v>17.304478195905041</v>
      </c>
      <c r="Y80" s="696">
        <v>17.304478195905041</v>
      </c>
      <c r="Z80" s="696">
        <v>15.533638013416839</v>
      </c>
      <c r="AA80" s="696">
        <v>15.497105555230569</v>
      </c>
      <c r="AB80" s="696">
        <v>15.497105555230569</v>
      </c>
      <c r="AC80" s="696">
        <v>15.415122105886972</v>
      </c>
      <c r="AD80" s="696">
        <v>15.415122105886972</v>
      </c>
      <c r="AE80" s="696">
        <v>15.361342471561166</v>
      </c>
      <c r="AF80" s="696">
        <v>4.2861992956875783</v>
      </c>
      <c r="AG80" s="696">
        <v>4.2861992956875783</v>
      </c>
      <c r="AH80" s="696">
        <v>4.2861992956875783</v>
      </c>
      <c r="AI80" s="696">
        <v>4.2861992956875783</v>
      </c>
      <c r="AJ80" s="696">
        <v>0</v>
      </c>
      <c r="AK80" s="696">
        <v>0</v>
      </c>
      <c r="AL80" s="696">
        <v>0</v>
      </c>
      <c r="AM80" s="696">
        <v>0</v>
      </c>
      <c r="AN80" s="696">
        <v>0</v>
      </c>
      <c r="AO80" s="697">
        <v>0</v>
      </c>
      <c r="AP80" s="633"/>
      <c r="AQ80" s="695">
        <v>0</v>
      </c>
      <c r="AR80" s="696">
        <v>0</v>
      </c>
      <c r="AS80" s="696">
        <v>0</v>
      </c>
      <c r="AT80" s="696">
        <v>0</v>
      </c>
      <c r="AU80" s="696">
        <v>272095.77218870498</v>
      </c>
      <c r="AV80" s="696">
        <v>269742.49965404742</v>
      </c>
      <c r="AW80" s="696">
        <v>269742.49965404742</v>
      </c>
      <c r="AX80" s="696">
        <v>269742.49965404742</v>
      </c>
      <c r="AY80" s="696">
        <v>269742.49965404742</v>
      </c>
      <c r="AZ80" s="696">
        <v>269742.49965404742</v>
      </c>
      <c r="BA80" s="696">
        <v>269742.49965404742</v>
      </c>
      <c r="BB80" s="696">
        <v>269587.08950964885</v>
      </c>
      <c r="BC80" s="696">
        <v>269587.08950964885</v>
      </c>
      <c r="BD80" s="696">
        <v>269587.08950964885</v>
      </c>
      <c r="BE80" s="696">
        <v>252903.51699601809</v>
      </c>
      <c r="BF80" s="696">
        <v>250548.56413580902</v>
      </c>
      <c r="BG80" s="696">
        <v>250548.56413580902</v>
      </c>
      <c r="BH80" s="696">
        <v>245288.39233433732</v>
      </c>
      <c r="BI80" s="696">
        <v>245288.39233433732</v>
      </c>
      <c r="BJ80" s="696">
        <v>244695.81687330443</v>
      </c>
      <c r="BK80" s="696">
        <v>68276.261653677153</v>
      </c>
      <c r="BL80" s="696">
        <v>68276.261653677153</v>
      </c>
      <c r="BM80" s="696">
        <v>68276.261653677153</v>
      </c>
      <c r="BN80" s="696">
        <v>68276.261653677153</v>
      </c>
      <c r="BO80" s="696">
        <v>0</v>
      </c>
      <c r="BP80" s="696">
        <v>0</v>
      </c>
      <c r="BQ80" s="696">
        <v>0</v>
      </c>
      <c r="BR80" s="696">
        <v>0</v>
      </c>
      <c r="BS80" s="696">
        <v>0</v>
      </c>
      <c r="BT80" s="697">
        <v>0</v>
      </c>
      <c r="BU80" s="165"/>
    </row>
    <row r="81" spans="2:73">
      <c r="B81" s="691"/>
      <c r="C81" s="691" t="s">
        <v>95</v>
      </c>
      <c r="D81" s="691"/>
      <c r="E81" s="691" t="s">
        <v>690</v>
      </c>
      <c r="F81" s="691" t="s">
        <v>29</v>
      </c>
      <c r="G81" s="691"/>
      <c r="H81" s="691">
        <v>2015</v>
      </c>
      <c r="I81" s="644" t="s">
        <v>581</v>
      </c>
      <c r="J81" s="644" t="s">
        <v>595</v>
      </c>
      <c r="K81" s="633"/>
      <c r="L81" s="695">
        <v>0</v>
      </c>
      <c r="M81" s="696">
        <v>0</v>
      </c>
      <c r="N81" s="696">
        <v>0</v>
      </c>
      <c r="O81" s="696">
        <v>0</v>
      </c>
      <c r="P81" s="696">
        <v>1.8768873875361185E-2</v>
      </c>
      <c r="Q81" s="696">
        <v>1.8660147271383758E-2</v>
      </c>
      <c r="R81" s="696">
        <v>1.8660147271383758E-2</v>
      </c>
      <c r="S81" s="696">
        <v>1.8660147271383758E-2</v>
      </c>
      <c r="T81" s="696">
        <v>1.8660147271383758E-2</v>
      </c>
      <c r="U81" s="696">
        <v>1.8660147271383758E-2</v>
      </c>
      <c r="V81" s="696">
        <v>1.8660147271383758E-2</v>
      </c>
      <c r="W81" s="696">
        <v>1.8660147271383758E-2</v>
      </c>
      <c r="X81" s="696">
        <v>1.8660147271383758E-2</v>
      </c>
      <c r="Y81" s="696">
        <v>1.8660147271383758E-2</v>
      </c>
      <c r="Z81" s="696">
        <v>1.7529028110515467E-2</v>
      </c>
      <c r="AA81" s="696">
        <v>1.7522566804104429E-2</v>
      </c>
      <c r="AB81" s="696">
        <v>1.7522566804104429E-2</v>
      </c>
      <c r="AC81" s="696">
        <v>1.7522566804104429E-2</v>
      </c>
      <c r="AD81" s="696">
        <v>1.7522566804104429E-2</v>
      </c>
      <c r="AE81" s="696">
        <v>1.7610667637974375E-2</v>
      </c>
      <c r="AF81" s="696">
        <v>5.8529494422287593E-3</v>
      </c>
      <c r="AG81" s="696">
        <v>5.8529494422287593E-3</v>
      </c>
      <c r="AH81" s="696">
        <v>5.8529494422287593E-3</v>
      </c>
      <c r="AI81" s="696">
        <v>5.8529494422287593E-3</v>
      </c>
      <c r="AJ81" s="696">
        <v>0</v>
      </c>
      <c r="AK81" s="696">
        <v>0</v>
      </c>
      <c r="AL81" s="696">
        <v>0</v>
      </c>
      <c r="AM81" s="696">
        <v>0</v>
      </c>
      <c r="AN81" s="696">
        <v>0</v>
      </c>
      <c r="AO81" s="697">
        <v>0</v>
      </c>
      <c r="AP81" s="633"/>
      <c r="AQ81" s="695">
        <v>0</v>
      </c>
      <c r="AR81" s="696">
        <v>0</v>
      </c>
      <c r="AS81" s="696">
        <v>0</v>
      </c>
      <c r="AT81" s="696">
        <v>0</v>
      </c>
      <c r="AU81" s="696">
        <v>369.47664326475609</v>
      </c>
      <c r="AV81" s="696">
        <v>367.74470185238471</v>
      </c>
      <c r="AW81" s="696">
        <v>367.74470185238471</v>
      </c>
      <c r="AX81" s="696">
        <v>367.74470185238471</v>
      </c>
      <c r="AY81" s="696">
        <v>367.74470185238471</v>
      </c>
      <c r="AZ81" s="696">
        <v>367.74470185238471</v>
      </c>
      <c r="BA81" s="696">
        <v>367.74470185238471</v>
      </c>
      <c r="BB81" s="696">
        <v>367.74470185238471</v>
      </c>
      <c r="BC81" s="696">
        <v>367.74470185238471</v>
      </c>
      <c r="BD81" s="696">
        <v>367.74470185238471</v>
      </c>
      <c r="BE81" s="696">
        <v>332.80385833214012</v>
      </c>
      <c r="BF81" s="696">
        <v>279.55530200170682</v>
      </c>
      <c r="BG81" s="696">
        <v>279.55530200170682</v>
      </c>
      <c r="BH81" s="696">
        <v>279.55530200170682</v>
      </c>
      <c r="BI81" s="696">
        <v>279.55530200170682</v>
      </c>
      <c r="BJ81" s="696">
        <v>280.52604851016372</v>
      </c>
      <c r="BK81" s="696">
        <v>93.23353395289314</v>
      </c>
      <c r="BL81" s="696">
        <v>93.23353395289314</v>
      </c>
      <c r="BM81" s="696">
        <v>93.23353395289314</v>
      </c>
      <c r="BN81" s="696">
        <v>93.23353395289314</v>
      </c>
      <c r="BO81" s="696">
        <v>0</v>
      </c>
      <c r="BP81" s="696">
        <v>0</v>
      </c>
      <c r="BQ81" s="696">
        <v>0</v>
      </c>
      <c r="BR81" s="696">
        <v>0</v>
      </c>
      <c r="BS81" s="696">
        <v>0</v>
      </c>
      <c r="BT81" s="697">
        <v>0</v>
      </c>
    </row>
    <row r="82" spans="2:73" ht="15.75">
      <c r="B82" s="691"/>
      <c r="C82" s="691" t="s">
        <v>101</v>
      </c>
      <c r="D82" s="691"/>
      <c r="E82" s="691" t="s">
        <v>690</v>
      </c>
      <c r="F82" s="691" t="s">
        <v>689</v>
      </c>
      <c r="G82" s="691"/>
      <c r="H82" s="691">
        <v>2015</v>
      </c>
      <c r="I82" s="644" t="s">
        <v>581</v>
      </c>
      <c r="J82" s="644" t="s">
        <v>595</v>
      </c>
      <c r="K82" s="633"/>
      <c r="L82" s="695">
        <v>0</v>
      </c>
      <c r="M82" s="696">
        <v>0</v>
      </c>
      <c r="N82" s="696">
        <v>0</v>
      </c>
      <c r="O82" s="696">
        <v>0</v>
      </c>
      <c r="P82" s="696">
        <v>1.9061455530272358</v>
      </c>
      <c r="Q82" s="696">
        <v>1.9061455530272358</v>
      </c>
      <c r="R82" s="696">
        <v>1.9061455530272358</v>
      </c>
      <c r="S82" s="696">
        <v>1.9061455530272358</v>
      </c>
      <c r="T82" s="696">
        <v>1.9061455530272358</v>
      </c>
      <c r="U82" s="696">
        <v>1.9061455530272358</v>
      </c>
      <c r="V82" s="696">
        <v>1.8909091921548693</v>
      </c>
      <c r="W82" s="696">
        <v>1.8909091921548693</v>
      </c>
      <c r="X82" s="696">
        <v>1.8909091921548693</v>
      </c>
      <c r="Y82" s="696">
        <v>1.8263605681782593</v>
      </c>
      <c r="Z82" s="696">
        <v>1.7631862725752818</v>
      </c>
      <c r="AA82" s="696">
        <v>1.7631862725752818</v>
      </c>
      <c r="AB82" s="696">
        <v>1.7631862725752818</v>
      </c>
      <c r="AC82" s="696">
        <v>1.7631862725752818</v>
      </c>
      <c r="AD82" s="696">
        <v>1.7631862725752818</v>
      </c>
      <c r="AE82" s="696">
        <v>1.7631862725752818</v>
      </c>
      <c r="AF82" s="696">
        <v>1.7631862725752818</v>
      </c>
      <c r="AG82" s="696">
        <v>1.7631862725752818</v>
      </c>
      <c r="AH82" s="696">
        <v>1.7631862725752818</v>
      </c>
      <c r="AI82" s="696">
        <v>1.7631862725752818</v>
      </c>
      <c r="AJ82" s="696">
        <v>0</v>
      </c>
      <c r="AK82" s="696">
        <v>0</v>
      </c>
      <c r="AL82" s="696">
        <v>0</v>
      </c>
      <c r="AM82" s="696">
        <v>0</v>
      </c>
      <c r="AN82" s="696">
        <v>0</v>
      </c>
      <c r="AO82" s="697">
        <v>0</v>
      </c>
      <c r="AP82" s="633"/>
      <c r="AQ82" s="695">
        <v>0</v>
      </c>
      <c r="AR82" s="696">
        <v>0</v>
      </c>
      <c r="AS82" s="696">
        <v>0</v>
      </c>
      <c r="AT82" s="696">
        <v>0</v>
      </c>
      <c r="AU82" s="696">
        <v>12170.294291979249</v>
      </c>
      <c r="AV82" s="696">
        <v>12170.294291979249</v>
      </c>
      <c r="AW82" s="696">
        <v>12170.294291979249</v>
      </c>
      <c r="AX82" s="696">
        <v>12170.294291979249</v>
      </c>
      <c r="AY82" s="696">
        <v>12170.294291979249</v>
      </c>
      <c r="AZ82" s="696">
        <v>12170.294291979249</v>
      </c>
      <c r="BA82" s="696">
        <v>12014.158619653646</v>
      </c>
      <c r="BB82" s="696">
        <v>12014.158619653646</v>
      </c>
      <c r="BC82" s="696">
        <v>12014.158619653646</v>
      </c>
      <c r="BD82" s="696">
        <v>11352.692086620875</v>
      </c>
      <c r="BE82" s="696">
        <v>10705.309079596103</v>
      </c>
      <c r="BF82" s="696">
        <v>10705.309079596103</v>
      </c>
      <c r="BG82" s="696">
        <v>5523.8898002291844</v>
      </c>
      <c r="BH82" s="696">
        <v>5523.8898002291844</v>
      </c>
      <c r="BI82" s="696">
        <v>5523.8898002291844</v>
      </c>
      <c r="BJ82" s="696">
        <v>5523.8898002291844</v>
      </c>
      <c r="BK82" s="696">
        <v>5523.8898002291844</v>
      </c>
      <c r="BL82" s="696">
        <v>5523.8898002291844</v>
      </c>
      <c r="BM82" s="696">
        <v>5523.8898002291844</v>
      </c>
      <c r="BN82" s="696">
        <v>5523.8898002291844</v>
      </c>
      <c r="BO82" s="696">
        <v>0</v>
      </c>
      <c r="BP82" s="696">
        <v>0</v>
      </c>
      <c r="BQ82" s="696">
        <v>0</v>
      </c>
      <c r="BR82" s="696">
        <v>0</v>
      </c>
      <c r="BS82" s="696">
        <v>0</v>
      </c>
      <c r="BT82" s="697">
        <v>0</v>
      </c>
      <c r="BU82" s="165"/>
    </row>
    <row r="83" spans="2:73" ht="15.75">
      <c r="B83" s="691"/>
      <c r="C83" s="691" t="s">
        <v>98</v>
      </c>
      <c r="D83" s="691"/>
      <c r="E83" s="691" t="s">
        <v>690</v>
      </c>
      <c r="F83" s="691" t="s">
        <v>29</v>
      </c>
      <c r="G83" s="691"/>
      <c r="H83" s="691">
        <v>2015</v>
      </c>
      <c r="I83" s="644" t="s">
        <v>581</v>
      </c>
      <c r="J83" s="644" t="s">
        <v>595</v>
      </c>
      <c r="K83" s="633"/>
      <c r="L83" s="695">
        <v>0</v>
      </c>
      <c r="M83" s="696">
        <v>0</v>
      </c>
      <c r="N83" s="696">
        <v>0</v>
      </c>
      <c r="O83" s="696">
        <v>0</v>
      </c>
      <c r="P83" s="696">
        <v>0.67256406390608658</v>
      </c>
      <c r="Q83" s="696">
        <v>0.67256406390608658</v>
      </c>
      <c r="R83" s="696">
        <v>0.67256406390608658</v>
      </c>
      <c r="S83" s="696">
        <v>0.67256406390608658</v>
      </c>
      <c r="T83" s="696">
        <v>0.67256406390608658</v>
      </c>
      <c r="U83" s="696">
        <v>0.67256406390608658</v>
      </c>
      <c r="V83" s="696">
        <v>0.67256406390608658</v>
      </c>
      <c r="W83" s="696">
        <v>0.67256406390608658</v>
      </c>
      <c r="X83" s="696">
        <v>0.67256406390608658</v>
      </c>
      <c r="Y83" s="696">
        <v>0.67256406390608658</v>
      </c>
      <c r="Z83" s="696">
        <v>0.67256406390608658</v>
      </c>
      <c r="AA83" s="696">
        <v>0.67256406390608658</v>
      </c>
      <c r="AB83" s="696">
        <v>0.67256406390608658</v>
      </c>
      <c r="AC83" s="696">
        <v>0.67256406390608658</v>
      </c>
      <c r="AD83" s="696">
        <v>0.67256406390608658</v>
      </c>
      <c r="AE83" s="696">
        <v>0.67256406390608658</v>
      </c>
      <c r="AF83" s="696">
        <v>0.67256406390608658</v>
      </c>
      <c r="AG83" s="696">
        <v>0.67256406390608658</v>
      </c>
      <c r="AH83" s="696">
        <v>0.64096709446083422</v>
      </c>
      <c r="AI83" s="696">
        <v>0</v>
      </c>
      <c r="AJ83" s="696">
        <v>0</v>
      </c>
      <c r="AK83" s="696">
        <v>0</v>
      </c>
      <c r="AL83" s="696">
        <v>0</v>
      </c>
      <c r="AM83" s="696">
        <v>0</v>
      </c>
      <c r="AN83" s="696">
        <v>0</v>
      </c>
      <c r="AO83" s="697">
        <v>0</v>
      </c>
      <c r="AP83" s="633"/>
      <c r="AQ83" s="695">
        <v>0</v>
      </c>
      <c r="AR83" s="696">
        <v>0</v>
      </c>
      <c r="AS83" s="696">
        <v>0</v>
      </c>
      <c r="AT83" s="696">
        <v>0</v>
      </c>
      <c r="AU83" s="696">
        <v>1318.7672275892771</v>
      </c>
      <c r="AV83" s="696">
        <v>1318.7672275892771</v>
      </c>
      <c r="AW83" s="696">
        <v>1318.7672275892771</v>
      </c>
      <c r="AX83" s="696">
        <v>1318.7672275892771</v>
      </c>
      <c r="AY83" s="696">
        <v>1318.7672275892771</v>
      </c>
      <c r="AZ83" s="696">
        <v>1318.7672275892771</v>
      </c>
      <c r="BA83" s="696">
        <v>1318.7672275892771</v>
      </c>
      <c r="BB83" s="696">
        <v>1318.7672275892771</v>
      </c>
      <c r="BC83" s="696">
        <v>1318.7672275892771</v>
      </c>
      <c r="BD83" s="696">
        <v>1318.7672275892771</v>
      </c>
      <c r="BE83" s="696">
        <v>1318.7672275892771</v>
      </c>
      <c r="BF83" s="696">
        <v>1318.7672275892771</v>
      </c>
      <c r="BG83" s="696">
        <v>1318.7672275892771</v>
      </c>
      <c r="BH83" s="696">
        <v>1318.7672275892771</v>
      </c>
      <c r="BI83" s="696">
        <v>1318.7672275892771</v>
      </c>
      <c r="BJ83" s="696">
        <v>1318.7672275892771</v>
      </c>
      <c r="BK83" s="696">
        <v>1318.7672275892771</v>
      </c>
      <c r="BL83" s="696">
        <v>1318.7672275892771</v>
      </c>
      <c r="BM83" s="696">
        <v>1289.3369074774134</v>
      </c>
      <c r="BN83" s="696">
        <v>0</v>
      </c>
      <c r="BO83" s="696">
        <v>0</v>
      </c>
      <c r="BP83" s="696">
        <v>0</v>
      </c>
      <c r="BQ83" s="696">
        <v>0</v>
      </c>
      <c r="BR83" s="696">
        <v>0</v>
      </c>
      <c r="BS83" s="696">
        <v>0</v>
      </c>
      <c r="BT83" s="697">
        <v>0</v>
      </c>
      <c r="BU83" s="165"/>
    </row>
    <row r="84" spans="2:73" ht="15.75">
      <c r="B84" s="691"/>
      <c r="C84" s="691" t="s">
        <v>114</v>
      </c>
      <c r="D84" s="691"/>
      <c r="E84" s="691" t="s">
        <v>690</v>
      </c>
      <c r="F84" s="691" t="s">
        <v>29</v>
      </c>
      <c r="G84" s="691"/>
      <c r="H84" s="691">
        <v>2015</v>
      </c>
      <c r="I84" s="644" t="s">
        <v>582</v>
      </c>
      <c r="J84" s="644" t="s">
        <v>588</v>
      </c>
      <c r="K84" s="633"/>
      <c r="L84" s="695">
        <v>0</v>
      </c>
      <c r="M84" s="696">
        <v>0</v>
      </c>
      <c r="N84" s="696">
        <v>0</v>
      </c>
      <c r="O84" s="696">
        <v>0</v>
      </c>
      <c r="P84" s="696">
        <v>1.7198925793966857</v>
      </c>
      <c r="Q84" s="696">
        <v>1.6959081891644612</v>
      </c>
      <c r="R84" s="696">
        <v>1.6959081891644612</v>
      </c>
      <c r="S84" s="696">
        <v>1.6959081891644612</v>
      </c>
      <c r="T84" s="696">
        <v>1.6959081891644612</v>
      </c>
      <c r="U84" s="696">
        <v>1.6959081891644612</v>
      </c>
      <c r="V84" s="696">
        <v>1.6959081891644612</v>
      </c>
      <c r="W84" s="696">
        <v>1.6942112480827509</v>
      </c>
      <c r="X84" s="696">
        <v>1.6942112480827509</v>
      </c>
      <c r="Y84" s="696">
        <v>1.6942112480827509</v>
      </c>
      <c r="Z84" s="696">
        <v>1.5505412931002305</v>
      </c>
      <c r="AA84" s="696">
        <v>1.5502911545056737</v>
      </c>
      <c r="AB84" s="696">
        <v>1.5502911545056737</v>
      </c>
      <c r="AC84" s="696">
        <v>1.5483626998828663</v>
      </c>
      <c r="AD84" s="696">
        <v>1.5483626998828663</v>
      </c>
      <c r="AE84" s="696">
        <v>1.5437433137299199</v>
      </c>
      <c r="AF84" s="696">
        <v>0.81393975716389311</v>
      </c>
      <c r="AG84" s="696">
        <v>0.81393975716389311</v>
      </c>
      <c r="AH84" s="696">
        <v>0.81393975716389311</v>
      </c>
      <c r="AI84" s="696">
        <v>0.81393975716389311</v>
      </c>
      <c r="AJ84" s="696">
        <v>0</v>
      </c>
      <c r="AK84" s="696">
        <v>0</v>
      </c>
      <c r="AL84" s="696">
        <v>0</v>
      </c>
      <c r="AM84" s="696">
        <v>0</v>
      </c>
      <c r="AN84" s="696">
        <v>0</v>
      </c>
      <c r="AO84" s="697">
        <v>0</v>
      </c>
      <c r="AP84" s="633"/>
      <c r="AQ84" s="695">
        <v>0</v>
      </c>
      <c r="AR84" s="696">
        <v>0</v>
      </c>
      <c r="AS84" s="696">
        <v>0</v>
      </c>
      <c r="AT84" s="696">
        <v>0</v>
      </c>
      <c r="AU84" s="696">
        <v>26760.271340875115</v>
      </c>
      <c r="AV84" s="696">
        <v>26378.216193615201</v>
      </c>
      <c r="AW84" s="696">
        <v>26378.216193615201</v>
      </c>
      <c r="AX84" s="696">
        <v>26378.216193615201</v>
      </c>
      <c r="AY84" s="696">
        <v>26378.216193615201</v>
      </c>
      <c r="AZ84" s="696">
        <v>26378.216193615201</v>
      </c>
      <c r="BA84" s="696">
        <v>26378.216193615201</v>
      </c>
      <c r="BB84" s="696">
        <v>26363.350989739421</v>
      </c>
      <c r="BC84" s="696">
        <v>26363.350989739421</v>
      </c>
      <c r="BD84" s="696">
        <v>26363.350989739421</v>
      </c>
      <c r="BE84" s="696">
        <v>24745.193389326923</v>
      </c>
      <c r="BF84" s="696">
        <v>24763.907284765432</v>
      </c>
      <c r="BG84" s="696">
        <v>24763.907284765432</v>
      </c>
      <c r="BH84" s="696">
        <v>24641.688079858475</v>
      </c>
      <c r="BI84" s="696">
        <v>24641.688079858475</v>
      </c>
      <c r="BJ84" s="696">
        <v>24590.788981833975</v>
      </c>
      <c r="BK84" s="696">
        <v>12965.510933279553</v>
      </c>
      <c r="BL84" s="696">
        <v>12965.510933279553</v>
      </c>
      <c r="BM84" s="696">
        <v>12965.510933279553</v>
      </c>
      <c r="BN84" s="696">
        <v>12965.510933279553</v>
      </c>
      <c r="BO84" s="696">
        <v>0</v>
      </c>
      <c r="BP84" s="696">
        <v>0</v>
      </c>
      <c r="BQ84" s="696">
        <v>0</v>
      </c>
      <c r="BR84" s="696">
        <v>0</v>
      </c>
      <c r="BS84" s="696">
        <v>0</v>
      </c>
      <c r="BT84" s="697">
        <v>0</v>
      </c>
      <c r="BU84" s="165"/>
    </row>
    <row r="85" spans="2:73">
      <c r="B85" s="691"/>
      <c r="C85" s="691" t="s">
        <v>115</v>
      </c>
      <c r="D85" s="691"/>
      <c r="E85" s="691" t="s">
        <v>690</v>
      </c>
      <c r="F85" s="691" t="s">
        <v>29</v>
      </c>
      <c r="G85" s="691"/>
      <c r="H85" s="691">
        <v>2015</v>
      </c>
      <c r="I85" s="644" t="s">
        <v>582</v>
      </c>
      <c r="J85" s="644" t="s">
        <v>588</v>
      </c>
      <c r="K85" s="633"/>
      <c r="L85" s="695">
        <v>0</v>
      </c>
      <c r="M85" s="696">
        <v>0</v>
      </c>
      <c r="N85" s="696">
        <v>0</v>
      </c>
      <c r="O85" s="696">
        <v>0</v>
      </c>
      <c r="P85" s="696">
        <v>3.4535</v>
      </c>
      <c r="Q85" s="696">
        <v>3.4535</v>
      </c>
      <c r="R85" s="696">
        <v>3.4535</v>
      </c>
      <c r="S85" s="696">
        <v>3.4535</v>
      </c>
      <c r="T85" s="696">
        <v>3.4535</v>
      </c>
      <c r="U85" s="696">
        <v>3.4535</v>
      </c>
      <c r="V85" s="696">
        <v>3.4535</v>
      </c>
      <c r="W85" s="696">
        <v>3.4535</v>
      </c>
      <c r="X85" s="696">
        <v>3.4535</v>
      </c>
      <c r="Y85" s="696">
        <v>3.4535</v>
      </c>
      <c r="Z85" s="696">
        <v>3.4535</v>
      </c>
      <c r="AA85" s="696">
        <v>3.4535</v>
      </c>
      <c r="AB85" s="696">
        <v>3.4535</v>
      </c>
      <c r="AC85" s="696">
        <v>3.4535</v>
      </c>
      <c r="AD85" s="696">
        <v>3.4535</v>
      </c>
      <c r="AE85" s="696">
        <v>3.4535</v>
      </c>
      <c r="AF85" s="696">
        <v>3.4535</v>
      </c>
      <c r="AG85" s="696">
        <v>3.4535</v>
      </c>
      <c r="AH85" s="696">
        <v>3.2050000000000001</v>
      </c>
      <c r="AI85" s="696">
        <v>0</v>
      </c>
      <c r="AJ85" s="696">
        <v>0</v>
      </c>
      <c r="AK85" s="696">
        <v>0</v>
      </c>
      <c r="AL85" s="696">
        <v>0</v>
      </c>
      <c r="AM85" s="696">
        <v>0</v>
      </c>
      <c r="AN85" s="696">
        <v>0</v>
      </c>
      <c r="AO85" s="697">
        <v>0</v>
      </c>
      <c r="AP85" s="633"/>
      <c r="AQ85" s="695">
        <v>0</v>
      </c>
      <c r="AR85" s="696">
        <v>0</v>
      </c>
      <c r="AS85" s="696">
        <v>0</v>
      </c>
      <c r="AT85" s="696">
        <v>0</v>
      </c>
      <c r="AU85" s="696">
        <v>6659.0000000000009</v>
      </c>
      <c r="AV85" s="696">
        <v>6659.0000000000009</v>
      </c>
      <c r="AW85" s="696">
        <v>6659.0000000000009</v>
      </c>
      <c r="AX85" s="696">
        <v>6659.0000000000009</v>
      </c>
      <c r="AY85" s="696">
        <v>6659.0000000000009</v>
      </c>
      <c r="AZ85" s="696">
        <v>6659.0000000000009</v>
      </c>
      <c r="BA85" s="696">
        <v>6659.0000000000009</v>
      </c>
      <c r="BB85" s="696">
        <v>6659.0000000000009</v>
      </c>
      <c r="BC85" s="696">
        <v>6659.0000000000009</v>
      </c>
      <c r="BD85" s="696">
        <v>6659.0000000000009</v>
      </c>
      <c r="BE85" s="696">
        <v>6659.0000000000009</v>
      </c>
      <c r="BF85" s="696">
        <v>6659.0000000000009</v>
      </c>
      <c r="BG85" s="696">
        <v>6659.0000000000009</v>
      </c>
      <c r="BH85" s="696">
        <v>6659.0000000000009</v>
      </c>
      <c r="BI85" s="696">
        <v>6659.0000000000009</v>
      </c>
      <c r="BJ85" s="696">
        <v>6659.0000000000009</v>
      </c>
      <c r="BK85" s="696">
        <v>6659.0000000000009</v>
      </c>
      <c r="BL85" s="696">
        <v>6659.0000000000009</v>
      </c>
      <c r="BM85" s="696">
        <v>6446.9999999999991</v>
      </c>
      <c r="BN85" s="696">
        <v>0</v>
      </c>
      <c r="BO85" s="696">
        <v>0</v>
      </c>
      <c r="BP85" s="696">
        <v>0</v>
      </c>
      <c r="BQ85" s="696">
        <v>0</v>
      </c>
      <c r="BR85" s="696">
        <v>0</v>
      </c>
      <c r="BS85" s="696">
        <v>0</v>
      </c>
      <c r="BT85" s="697">
        <v>0</v>
      </c>
    </row>
    <row r="86" spans="2:73">
      <c r="B86" s="691"/>
      <c r="C86" s="691" t="s">
        <v>119</v>
      </c>
      <c r="D86" s="691"/>
      <c r="E86" s="691" t="s">
        <v>690</v>
      </c>
      <c r="F86" s="691" t="s">
        <v>689</v>
      </c>
      <c r="G86" s="691"/>
      <c r="H86" s="691">
        <v>2015</v>
      </c>
      <c r="I86" s="644" t="s">
        <v>582</v>
      </c>
      <c r="J86" s="644" t="s">
        <v>588</v>
      </c>
      <c r="K86" s="633"/>
      <c r="L86" s="695">
        <v>0</v>
      </c>
      <c r="M86" s="696">
        <v>0</v>
      </c>
      <c r="N86" s="696">
        <v>0</v>
      </c>
      <c r="O86" s="696">
        <v>0</v>
      </c>
      <c r="P86" s="696">
        <v>53.619570761560993</v>
      </c>
      <c r="Q86" s="696">
        <v>53.619570761560993</v>
      </c>
      <c r="R86" s="696">
        <v>53.619570761560993</v>
      </c>
      <c r="S86" s="696">
        <v>53.619570761560993</v>
      </c>
      <c r="T86" s="696">
        <v>53.619570761560993</v>
      </c>
      <c r="U86" s="696">
        <v>53.619570761560993</v>
      </c>
      <c r="V86" s="696">
        <v>52.863186143468724</v>
      </c>
      <c r="W86" s="696">
        <v>52.863186143468724</v>
      </c>
      <c r="X86" s="696">
        <v>52.863186143468724</v>
      </c>
      <c r="Y86" s="696">
        <v>50.474548771036659</v>
      </c>
      <c r="Z86" s="696">
        <v>44.41696172810245</v>
      </c>
      <c r="AA86" s="696">
        <v>44.41696172810245</v>
      </c>
      <c r="AB86" s="696">
        <v>38.65451560166607</v>
      </c>
      <c r="AC86" s="696">
        <v>38.65451560166607</v>
      </c>
      <c r="AD86" s="696">
        <v>38.65451560166607</v>
      </c>
      <c r="AE86" s="696">
        <v>26.61446094087523</v>
      </c>
      <c r="AF86" s="696">
        <v>0</v>
      </c>
      <c r="AG86" s="696">
        <v>0</v>
      </c>
      <c r="AH86" s="696">
        <v>0</v>
      </c>
      <c r="AI86" s="696">
        <v>0</v>
      </c>
      <c r="AJ86" s="696">
        <v>0</v>
      </c>
      <c r="AK86" s="696">
        <v>0</v>
      </c>
      <c r="AL86" s="696">
        <v>0</v>
      </c>
      <c r="AM86" s="696">
        <v>0</v>
      </c>
      <c r="AN86" s="696">
        <v>0</v>
      </c>
      <c r="AO86" s="697">
        <v>0</v>
      </c>
      <c r="AP86" s="633"/>
      <c r="AQ86" s="695">
        <v>0</v>
      </c>
      <c r="AR86" s="696">
        <v>0</v>
      </c>
      <c r="AS86" s="696">
        <v>0</v>
      </c>
      <c r="AT86" s="696">
        <v>0</v>
      </c>
      <c r="AU86" s="696">
        <v>339035.14020330302</v>
      </c>
      <c r="AV86" s="696">
        <v>339035.14020330302</v>
      </c>
      <c r="AW86" s="696">
        <v>339035.14020330302</v>
      </c>
      <c r="AX86" s="696">
        <v>339035.14020330302</v>
      </c>
      <c r="AY86" s="696">
        <v>339035.14020330302</v>
      </c>
      <c r="AZ86" s="696">
        <v>339035.14020330302</v>
      </c>
      <c r="BA86" s="696">
        <v>334126.66464447579</v>
      </c>
      <c r="BB86" s="696">
        <v>334126.66464447579</v>
      </c>
      <c r="BC86" s="696">
        <v>334126.66464447579</v>
      </c>
      <c r="BD86" s="696">
        <v>318625.86269657884</v>
      </c>
      <c r="BE86" s="696">
        <v>277804.07059920212</v>
      </c>
      <c r="BF86" s="696">
        <v>277804.07059920212</v>
      </c>
      <c r="BG86" s="696">
        <v>230182.69983594102</v>
      </c>
      <c r="BH86" s="696">
        <v>230182.69983594102</v>
      </c>
      <c r="BI86" s="696">
        <v>230182.69983594102</v>
      </c>
      <c r="BJ86" s="696">
        <v>158485.71321340813</v>
      </c>
      <c r="BK86" s="696">
        <v>0</v>
      </c>
      <c r="BL86" s="696">
        <v>0</v>
      </c>
      <c r="BM86" s="696">
        <v>0</v>
      </c>
      <c r="BN86" s="696">
        <v>0</v>
      </c>
      <c r="BO86" s="696">
        <v>0</v>
      </c>
      <c r="BP86" s="696">
        <v>0</v>
      </c>
      <c r="BQ86" s="696">
        <v>0</v>
      </c>
      <c r="BR86" s="696">
        <v>0</v>
      </c>
      <c r="BS86" s="696">
        <v>0</v>
      </c>
      <c r="BT86" s="697">
        <v>0</v>
      </c>
    </row>
    <row r="87" spans="2:73">
      <c r="B87" s="691"/>
      <c r="C87" s="691" t="s">
        <v>126</v>
      </c>
      <c r="D87" s="691"/>
      <c r="E87" s="691" t="s">
        <v>690</v>
      </c>
      <c r="F87" s="691" t="s">
        <v>687</v>
      </c>
      <c r="G87" s="691"/>
      <c r="H87" s="691">
        <v>2016</v>
      </c>
      <c r="I87" s="644" t="s">
        <v>582</v>
      </c>
      <c r="J87" s="644" t="s">
        <v>595</v>
      </c>
      <c r="K87" s="633"/>
      <c r="L87" s="695">
        <v>0</v>
      </c>
      <c r="M87" s="696">
        <v>0</v>
      </c>
      <c r="N87" s="696">
        <v>0</v>
      </c>
      <c r="O87" s="696">
        <v>0</v>
      </c>
      <c r="P87" s="696">
        <v>0</v>
      </c>
      <c r="Q87" s="696">
        <v>22.108945842697253</v>
      </c>
      <c r="R87" s="696">
        <v>22.003026268235271</v>
      </c>
      <c r="S87" s="696">
        <v>22.003026268235271</v>
      </c>
      <c r="T87" s="696">
        <v>18.360034843558086</v>
      </c>
      <c r="U87" s="696">
        <v>15.776239163500701</v>
      </c>
      <c r="V87" s="696">
        <v>15.776239163500701</v>
      </c>
      <c r="W87" s="696">
        <v>15.776239163500701</v>
      </c>
      <c r="X87" s="696">
        <v>15.776239163500701</v>
      </c>
      <c r="Y87" s="696">
        <v>15.776239163500701</v>
      </c>
      <c r="Z87" s="696">
        <v>15.776239163500701</v>
      </c>
      <c r="AA87" s="696">
        <v>14.063337762352923</v>
      </c>
      <c r="AB87" s="696">
        <v>13.609060476327098</v>
      </c>
      <c r="AC87" s="696">
        <v>13.609060476327098</v>
      </c>
      <c r="AD87" s="696">
        <v>13.609060476327098</v>
      </c>
      <c r="AE87" s="696">
        <v>13.609060476327098</v>
      </c>
      <c r="AF87" s="696">
        <v>0</v>
      </c>
      <c r="AG87" s="696">
        <v>0</v>
      </c>
      <c r="AH87" s="696">
        <v>0</v>
      </c>
      <c r="AI87" s="696">
        <v>0</v>
      </c>
      <c r="AJ87" s="696">
        <v>0</v>
      </c>
      <c r="AK87" s="696">
        <v>0</v>
      </c>
      <c r="AL87" s="696">
        <v>0</v>
      </c>
      <c r="AM87" s="696">
        <v>0</v>
      </c>
      <c r="AN87" s="696">
        <v>0</v>
      </c>
      <c r="AO87" s="697">
        <v>0</v>
      </c>
      <c r="AP87" s="633"/>
      <c r="AQ87" s="695">
        <v>0</v>
      </c>
      <c r="AR87" s="696">
        <v>0</v>
      </c>
      <c r="AS87" s="696">
        <v>0</v>
      </c>
      <c r="AT87" s="696">
        <v>0</v>
      </c>
      <c r="AU87" s="696">
        <v>0</v>
      </c>
      <c r="AV87" s="696">
        <v>160425.60097554338</v>
      </c>
      <c r="AW87" s="696">
        <v>160024.51855551067</v>
      </c>
      <c r="AX87" s="696">
        <v>160024.51855551067</v>
      </c>
      <c r="AY87" s="696">
        <v>138828.02697156524</v>
      </c>
      <c r="AZ87" s="696">
        <v>123298.61035753968</v>
      </c>
      <c r="BA87" s="696">
        <v>123298.61035753968</v>
      </c>
      <c r="BB87" s="696">
        <v>123298.61035753968</v>
      </c>
      <c r="BC87" s="696">
        <v>123298.61035753968</v>
      </c>
      <c r="BD87" s="696">
        <v>123298.61035753968</v>
      </c>
      <c r="BE87" s="696">
        <v>123298.61035753968</v>
      </c>
      <c r="BF87" s="696">
        <v>116812.41889822288</v>
      </c>
      <c r="BG87" s="696">
        <v>113802.07251231073</v>
      </c>
      <c r="BH87" s="696">
        <v>113802.07251231073</v>
      </c>
      <c r="BI87" s="696">
        <v>113802.07251231073</v>
      </c>
      <c r="BJ87" s="696">
        <v>113802.07251231073</v>
      </c>
      <c r="BK87" s="696">
        <v>0</v>
      </c>
      <c r="BL87" s="696">
        <v>0</v>
      </c>
      <c r="BM87" s="696">
        <v>0</v>
      </c>
      <c r="BN87" s="696">
        <v>0</v>
      </c>
      <c r="BO87" s="696">
        <v>0</v>
      </c>
      <c r="BP87" s="696">
        <v>0</v>
      </c>
      <c r="BQ87" s="696">
        <v>0</v>
      </c>
      <c r="BR87" s="696">
        <v>0</v>
      </c>
      <c r="BS87" s="696">
        <v>0</v>
      </c>
      <c r="BT87" s="697">
        <v>0</v>
      </c>
    </row>
    <row r="88" spans="2:73">
      <c r="B88" s="691"/>
      <c r="C88" s="691" t="s">
        <v>118</v>
      </c>
      <c r="D88" s="691"/>
      <c r="E88" s="691" t="s">
        <v>690</v>
      </c>
      <c r="F88" s="691" t="s">
        <v>687</v>
      </c>
      <c r="G88" s="691"/>
      <c r="H88" s="691">
        <v>2016</v>
      </c>
      <c r="I88" s="644" t="s">
        <v>582</v>
      </c>
      <c r="J88" s="644" t="s">
        <v>595</v>
      </c>
      <c r="K88" s="633"/>
      <c r="L88" s="695">
        <v>0</v>
      </c>
      <c r="M88" s="696">
        <v>0</v>
      </c>
      <c r="N88" s="696">
        <v>0</v>
      </c>
      <c r="O88" s="696">
        <v>0</v>
      </c>
      <c r="P88" s="696">
        <v>0</v>
      </c>
      <c r="Q88" s="696">
        <v>1.7149847194239736</v>
      </c>
      <c r="R88" s="696">
        <v>1.7149847194239736</v>
      </c>
      <c r="S88" s="696">
        <v>1.7149847194239736</v>
      </c>
      <c r="T88" s="696">
        <v>1.7149847194239736</v>
      </c>
      <c r="U88" s="696">
        <v>1.7149847194239736</v>
      </c>
      <c r="V88" s="696">
        <v>1.7149847194239736</v>
      </c>
      <c r="W88" s="696">
        <v>1.7149847194239736</v>
      </c>
      <c r="X88" s="696">
        <v>1.7149847194239736</v>
      </c>
      <c r="Y88" s="696">
        <v>1.7149847194239736</v>
      </c>
      <c r="Z88" s="696">
        <v>1.7149847194239736</v>
      </c>
      <c r="AA88" s="696">
        <v>0.42340981224303831</v>
      </c>
      <c r="AB88" s="696">
        <v>0</v>
      </c>
      <c r="AC88" s="696">
        <v>0</v>
      </c>
      <c r="AD88" s="696">
        <v>0</v>
      </c>
      <c r="AE88" s="696">
        <v>0</v>
      </c>
      <c r="AF88" s="696">
        <v>0</v>
      </c>
      <c r="AG88" s="696">
        <v>0</v>
      </c>
      <c r="AH88" s="696">
        <v>0</v>
      </c>
      <c r="AI88" s="696">
        <v>0</v>
      </c>
      <c r="AJ88" s="696">
        <v>0</v>
      </c>
      <c r="AK88" s="696">
        <v>0</v>
      </c>
      <c r="AL88" s="696">
        <v>0</v>
      </c>
      <c r="AM88" s="696">
        <v>0</v>
      </c>
      <c r="AN88" s="696">
        <v>0</v>
      </c>
      <c r="AO88" s="697">
        <v>0</v>
      </c>
      <c r="AP88" s="633"/>
      <c r="AQ88" s="698">
        <v>0</v>
      </c>
      <c r="AR88" s="699">
        <v>0</v>
      </c>
      <c r="AS88" s="699">
        <v>0</v>
      </c>
      <c r="AT88" s="699">
        <v>0</v>
      </c>
      <c r="AU88" s="699">
        <v>0</v>
      </c>
      <c r="AV88" s="699">
        <v>13142.640539737338</v>
      </c>
      <c r="AW88" s="699">
        <v>13142.640539737338</v>
      </c>
      <c r="AX88" s="699">
        <v>13142.640539737338</v>
      </c>
      <c r="AY88" s="699">
        <v>13142.640539737338</v>
      </c>
      <c r="AZ88" s="699">
        <v>13142.640539737338</v>
      </c>
      <c r="BA88" s="699">
        <v>13142.640539737338</v>
      </c>
      <c r="BB88" s="699">
        <v>13142.640539737338</v>
      </c>
      <c r="BC88" s="699">
        <v>13142.640539737338</v>
      </c>
      <c r="BD88" s="699">
        <v>13142.640539737338</v>
      </c>
      <c r="BE88" s="699">
        <v>13142.640539737338</v>
      </c>
      <c r="BF88" s="699">
        <v>3244.76533247305</v>
      </c>
      <c r="BG88" s="699">
        <v>0</v>
      </c>
      <c r="BH88" s="699">
        <v>0</v>
      </c>
      <c r="BI88" s="699">
        <v>0</v>
      </c>
      <c r="BJ88" s="699">
        <v>0</v>
      </c>
      <c r="BK88" s="699">
        <v>0</v>
      </c>
      <c r="BL88" s="699">
        <v>0</v>
      </c>
      <c r="BM88" s="699">
        <v>0</v>
      </c>
      <c r="BN88" s="699">
        <v>0</v>
      </c>
      <c r="BO88" s="699">
        <v>0</v>
      </c>
      <c r="BP88" s="699">
        <v>0</v>
      </c>
      <c r="BQ88" s="699">
        <v>0</v>
      </c>
      <c r="BR88" s="699">
        <v>0</v>
      </c>
      <c r="BS88" s="699">
        <v>0</v>
      </c>
      <c r="BT88" s="700">
        <v>0</v>
      </c>
    </row>
    <row r="89" spans="2:73">
      <c r="B89" s="691"/>
      <c r="C89" s="691" t="s">
        <v>114</v>
      </c>
      <c r="D89" s="691"/>
      <c r="E89" s="691" t="s">
        <v>690</v>
      </c>
      <c r="F89" s="691" t="s">
        <v>29</v>
      </c>
      <c r="G89" s="691"/>
      <c r="H89" s="691">
        <v>2016</v>
      </c>
      <c r="I89" s="644" t="s">
        <v>582</v>
      </c>
      <c r="J89" s="644" t="s">
        <v>595</v>
      </c>
      <c r="K89" s="633"/>
      <c r="L89" s="695">
        <v>0</v>
      </c>
      <c r="M89" s="696">
        <v>0</v>
      </c>
      <c r="N89" s="696">
        <v>0</v>
      </c>
      <c r="O89" s="696">
        <v>0</v>
      </c>
      <c r="P89" s="696">
        <v>0</v>
      </c>
      <c r="Q89" s="696">
        <v>78.899288230727407</v>
      </c>
      <c r="R89" s="696">
        <v>78.899288230727407</v>
      </c>
      <c r="S89" s="696">
        <v>78.899288230727407</v>
      </c>
      <c r="T89" s="696">
        <v>78.899288230727407</v>
      </c>
      <c r="U89" s="696">
        <v>78.899288230727407</v>
      </c>
      <c r="V89" s="696">
        <v>78.899288230727407</v>
      </c>
      <c r="W89" s="696">
        <v>78.899288230727407</v>
      </c>
      <c r="X89" s="696">
        <v>78.897821942814602</v>
      </c>
      <c r="Y89" s="696">
        <v>78.897821942814602</v>
      </c>
      <c r="Z89" s="696">
        <v>78.589512341895571</v>
      </c>
      <c r="AA89" s="696">
        <v>76.051560252117994</v>
      </c>
      <c r="AB89" s="696">
        <v>76.051481878063541</v>
      </c>
      <c r="AC89" s="696">
        <v>76.051481878063541</v>
      </c>
      <c r="AD89" s="696">
        <v>75.98411483932037</v>
      </c>
      <c r="AE89" s="696">
        <v>67.037969786231201</v>
      </c>
      <c r="AF89" s="696">
        <v>67.037969786231201</v>
      </c>
      <c r="AG89" s="696">
        <v>25.267446777205738</v>
      </c>
      <c r="AH89" s="696">
        <v>0</v>
      </c>
      <c r="AI89" s="696">
        <v>0</v>
      </c>
      <c r="AJ89" s="696">
        <v>0</v>
      </c>
      <c r="AK89" s="696">
        <v>0</v>
      </c>
      <c r="AL89" s="696">
        <v>0</v>
      </c>
      <c r="AM89" s="696">
        <v>0</v>
      </c>
      <c r="AN89" s="696">
        <v>0</v>
      </c>
      <c r="AO89" s="697">
        <v>0</v>
      </c>
      <c r="AP89" s="633"/>
      <c r="AQ89" s="692">
        <v>0</v>
      </c>
      <c r="AR89" s="693">
        <v>0</v>
      </c>
      <c r="AS89" s="693">
        <v>0</v>
      </c>
      <c r="AT89" s="693">
        <v>0</v>
      </c>
      <c r="AU89" s="693">
        <v>0</v>
      </c>
      <c r="AV89" s="693">
        <v>1213321.5909365376</v>
      </c>
      <c r="AW89" s="693">
        <v>1213321.5909365376</v>
      </c>
      <c r="AX89" s="693">
        <v>1213321.5909365376</v>
      </c>
      <c r="AY89" s="693">
        <v>1213321.5909365376</v>
      </c>
      <c r="AZ89" s="693">
        <v>1213321.5909365376</v>
      </c>
      <c r="BA89" s="693">
        <v>1213321.5909365376</v>
      </c>
      <c r="BB89" s="693">
        <v>1213321.5909365376</v>
      </c>
      <c r="BC89" s="693">
        <v>1213158.4068729002</v>
      </c>
      <c r="BD89" s="693">
        <v>1213158.4068729002</v>
      </c>
      <c r="BE89" s="693">
        <v>1208247.2430350757</v>
      </c>
      <c r="BF89" s="693">
        <v>1194785.6641423029</v>
      </c>
      <c r="BG89" s="693">
        <v>1194139.7722764846</v>
      </c>
      <c r="BH89" s="693">
        <v>1194139.7722764846</v>
      </c>
      <c r="BI89" s="693">
        <v>1188438.0904269055</v>
      </c>
      <c r="BJ89" s="693">
        <v>1045932.0382582601</v>
      </c>
      <c r="BK89" s="693">
        <v>1045932.0382582601</v>
      </c>
      <c r="BL89" s="693">
        <v>402493.3719756293</v>
      </c>
      <c r="BM89" s="693">
        <v>0</v>
      </c>
      <c r="BN89" s="693">
        <v>0</v>
      </c>
      <c r="BO89" s="693">
        <v>0</v>
      </c>
      <c r="BP89" s="693">
        <v>0</v>
      </c>
      <c r="BQ89" s="693">
        <v>0</v>
      </c>
      <c r="BR89" s="693">
        <v>0</v>
      </c>
      <c r="BS89" s="693">
        <v>0</v>
      </c>
      <c r="BT89" s="694">
        <v>0</v>
      </c>
    </row>
    <row r="90" spans="2:73">
      <c r="B90" s="691"/>
      <c r="C90" s="691" t="s">
        <v>115</v>
      </c>
      <c r="D90" s="691"/>
      <c r="E90" s="691" t="s">
        <v>690</v>
      </c>
      <c r="F90" s="691" t="s">
        <v>29</v>
      </c>
      <c r="G90" s="691"/>
      <c r="H90" s="691">
        <v>2016</v>
      </c>
      <c r="I90" s="644" t="s">
        <v>582</v>
      </c>
      <c r="J90" s="644" t="s">
        <v>595</v>
      </c>
      <c r="K90" s="633"/>
      <c r="L90" s="695">
        <v>0</v>
      </c>
      <c r="M90" s="696">
        <v>0</v>
      </c>
      <c r="N90" s="696">
        <v>0</v>
      </c>
      <c r="O90" s="696">
        <v>0</v>
      </c>
      <c r="P90" s="696">
        <v>0</v>
      </c>
      <c r="Q90" s="696">
        <v>47.83640000000004</v>
      </c>
      <c r="R90" s="696">
        <v>47.83640000000004</v>
      </c>
      <c r="S90" s="696">
        <v>47.83640000000004</v>
      </c>
      <c r="T90" s="696">
        <v>47.83640000000004</v>
      </c>
      <c r="U90" s="696">
        <v>47.83640000000004</v>
      </c>
      <c r="V90" s="696">
        <v>47.83640000000004</v>
      </c>
      <c r="W90" s="696">
        <v>47.83640000000004</v>
      </c>
      <c r="X90" s="696">
        <v>47.83640000000004</v>
      </c>
      <c r="Y90" s="696">
        <v>47.83640000000004</v>
      </c>
      <c r="Z90" s="696">
        <v>47.83640000000004</v>
      </c>
      <c r="AA90" s="696">
        <v>47.83640000000004</v>
      </c>
      <c r="AB90" s="696">
        <v>47.83640000000004</v>
      </c>
      <c r="AC90" s="696">
        <v>47.83640000000004</v>
      </c>
      <c r="AD90" s="696">
        <v>47.83640000000004</v>
      </c>
      <c r="AE90" s="696">
        <v>47.83640000000004</v>
      </c>
      <c r="AF90" s="696">
        <v>47.83640000000004</v>
      </c>
      <c r="AG90" s="696">
        <v>47.83640000000004</v>
      </c>
      <c r="AH90" s="696">
        <v>47.83640000000004</v>
      </c>
      <c r="AI90" s="696">
        <v>44.846000000000146</v>
      </c>
      <c r="AJ90" s="696">
        <v>0</v>
      </c>
      <c r="AK90" s="696">
        <v>0</v>
      </c>
      <c r="AL90" s="696">
        <v>0</v>
      </c>
      <c r="AM90" s="696">
        <v>0</v>
      </c>
      <c r="AN90" s="696">
        <v>0</v>
      </c>
      <c r="AO90" s="697">
        <v>0</v>
      </c>
      <c r="AP90" s="633"/>
      <c r="AQ90" s="695">
        <v>0</v>
      </c>
      <c r="AR90" s="696">
        <v>0</v>
      </c>
      <c r="AS90" s="696">
        <v>0</v>
      </c>
      <c r="AT90" s="696">
        <v>0</v>
      </c>
      <c r="AU90" s="696">
        <v>0</v>
      </c>
      <c r="AV90" s="696">
        <v>165327.20000000016</v>
      </c>
      <c r="AW90" s="696">
        <v>165327.20000000016</v>
      </c>
      <c r="AX90" s="696">
        <v>165327.20000000016</v>
      </c>
      <c r="AY90" s="696">
        <v>165327.20000000016</v>
      </c>
      <c r="AZ90" s="696">
        <v>165327.20000000016</v>
      </c>
      <c r="BA90" s="696">
        <v>165327.20000000016</v>
      </c>
      <c r="BB90" s="696">
        <v>165327.20000000016</v>
      </c>
      <c r="BC90" s="696">
        <v>165327.20000000016</v>
      </c>
      <c r="BD90" s="696">
        <v>165327.20000000016</v>
      </c>
      <c r="BE90" s="696">
        <v>165327.20000000016</v>
      </c>
      <c r="BF90" s="696">
        <v>165327.20000000016</v>
      </c>
      <c r="BG90" s="696">
        <v>165327.20000000016</v>
      </c>
      <c r="BH90" s="696">
        <v>165327.20000000016</v>
      </c>
      <c r="BI90" s="696">
        <v>165327.20000000016</v>
      </c>
      <c r="BJ90" s="696">
        <v>165327.20000000016</v>
      </c>
      <c r="BK90" s="696">
        <v>165327.20000000016</v>
      </c>
      <c r="BL90" s="696">
        <v>165327.20000000016</v>
      </c>
      <c r="BM90" s="696">
        <v>165327.20000000016</v>
      </c>
      <c r="BN90" s="696">
        <v>162655.99999999988</v>
      </c>
      <c r="BO90" s="696">
        <v>0</v>
      </c>
      <c r="BP90" s="696">
        <v>0</v>
      </c>
      <c r="BQ90" s="696">
        <v>0</v>
      </c>
      <c r="BR90" s="696">
        <v>0</v>
      </c>
      <c r="BS90" s="696">
        <v>0</v>
      </c>
      <c r="BT90" s="697">
        <v>0</v>
      </c>
    </row>
    <row r="91" spans="2:73">
      <c r="B91" s="691"/>
      <c r="C91" s="691" t="s">
        <v>119</v>
      </c>
      <c r="D91" s="691"/>
      <c r="E91" s="691" t="s">
        <v>690</v>
      </c>
      <c r="F91" s="691" t="s">
        <v>689</v>
      </c>
      <c r="G91" s="691"/>
      <c r="H91" s="691">
        <v>2016</v>
      </c>
      <c r="I91" s="644" t="s">
        <v>582</v>
      </c>
      <c r="J91" s="644" t="s">
        <v>595</v>
      </c>
      <c r="K91" s="633"/>
      <c r="L91" s="695">
        <v>0</v>
      </c>
      <c r="M91" s="696">
        <v>0</v>
      </c>
      <c r="N91" s="696">
        <v>0</v>
      </c>
      <c r="O91" s="696">
        <v>0</v>
      </c>
      <c r="P91" s="696">
        <v>0</v>
      </c>
      <c r="Q91" s="696">
        <v>88.675643452987742</v>
      </c>
      <c r="R91" s="696">
        <v>86.977191344639024</v>
      </c>
      <c r="S91" s="696">
        <v>86.977191344639024</v>
      </c>
      <c r="T91" s="696">
        <v>86.977191344639024</v>
      </c>
      <c r="U91" s="696">
        <v>86.977191344639024</v>
      </c>
      <c r="V91" s="696">
        <v>81.484276454079136</v>
      </c>
      <c r="W91" s="696">
        <v>81.484276454079136</v>
      </c>
      <c r="X91" s="696">
        <v>81.484276454079136</v>
      </c>
      <c r="Y91" s="696">
        <v>81.484276454079136</v>
      </c>
      <c r="Z91" s="696">
        <v>81.484276454079136</v>
      </c>
      <c r="AA91" s="696">
        <v>81.484276454079136</v>
      </c>
      <c r="AB91" s="696">
        <v>66.700246000260748</v>
      </c>
      <c r="AC91" s="696">
        <v>44.144101099884395</v>
      </c>
      <c r="AD91" s="696">
        <v>44.144101099884395</v>
      </c>
      <c r="AE91" s="696">
        <v>11.554212199553968</v>
      </c>
      <c r="AF91" s="696">
        <v>0</v>
      </c>
      <c r="AG91" s="696">
        <v>0</v>
      </c>
      <c r="AH91" s="696">
        <v>0</v>
      </c>
      <c r="AI91" s="696">
        <v>0</v>
      </c>
      <c r="AJ91" s="696">
        <v>0</v>
      </c>
      <c r="AK91" s="696">
        <v>0</v>
      </c>
      <c r="AL91" s="696">
        <v>0</v>
      </c>
      <c r="AM91" s="696">
        <v>0</v>
      </c>
      <c r="AN91" s="696">
        <v>0</v>
      </c>
      <c r="AO91" s="697">
        <v>0</v>
      </c>
      <c r="AP91" s="633"/>
      <c r="AQ91" s="695">
        <v>0</v>
      </c>
      <c r="AR91" s="696">
        <v>0</v>
      </c>
      <c r="AS91" s="696">
        <v>0</v>
      </c>
      <c r="AT91" s="696">
        <v>0</v>
      </c>
      <c r="AU91" s="696">
        <v>0</v>
      </c>
      <c r="AV91" s="696">
        <v>685419.37317366735</v>
      </c>
      <c r="AW91" s="696">
        <v>678724.47254545777</v>
      </c>
      <c r="AX91" s="696">
        <v>678724.47254545777</v>
      </c>
      <c r="AY91" s="696">
        <v>678724.47254545777</v>
      </c>
      <c r="AZ91" s="696">
        <v>678724.47254545777</v>
      </c>
      <c r="BA91" s="696">
        <v>644707.39801255171</v>
      </c>
      <c r="BB91" s="696">
        <v>644707.39801255171</v>
      </c>
      <c r="BC91" s="696">
        <v>644707.39801255171</v>
      </c>
      <c r="BD91" s="696">
        <v>644707.39801255171</v>
      </c>
      <c r="BE91" s="696">
        <v>644707.39801255171</v>
      </c>
      <c r="BF91" s="696">
        <v>644707.39801255171</v>
      </c>
      <c r="BG91" s="696">
        <v>585818.9835486575</v>
      </c>
      <c r="BH91" s="696">
        <v>193302.85853254964</v>
      </c>
      <c r="BI91" s="696">
        <v>193302.85853254964</v>
      </c>
      <c r="BJ91" s="696">
        <v>43253.650967321089</v>
      </c>
      <c r="BK91" s="696">
        <v>0</v>
      </c>
      <c r="BL91" s="696">
        <v>0</v>
      </c>
      <c r="BM91" s="696">
        <v>0</v>
      </c>
      <c r="BN91" s="696">
        <v>0</v>
      </c>
      <c r="BO91" s="696">
        <v>0</v>
      </c>
      <c r="BP91" s="696">
        <v>0</v>
      </c>
      <c r="BQ91" s="696">
        <v>0</v>
      </c>
      <c r="BR91" s="696">
        <v>0</v>
      </c>
      <c r="BS91" s="696">
        <v>0</v>
      </c>
      <c r="BT91" s="697">
        <v>0</v>
      </c>
    </row>
    <row r="92" spans="2:73">
      <c r="B92" s="691"/>
      <c r="C92" s="691"/>
      <c r="D92" s="691"/>
      <c r="E92" s="691"/>
      <c r="F92" s="691"/>
      <c r="G92" s="691"/>
      <c r="H92" s="691"/>
      <c r="I92" s="644"/>
      <c r="J92" s="644"/>
      <c r="K92" s="633"/>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3"/>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4"/>
      <c r="J93" s="644"/>
      <c r="K93" s="633"/>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3"/>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4"/>
      <c r="J94" s="644"/>
      <c r="K94" s="633"/>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3"/>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4"/>
      <c r="J95" s="644"/>
      <c r="K95" s="633"/>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3"/>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4"/>
      <c r="J96" s="644"/>
      <c r="K96" s="633"/>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3"/>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4"/>
      <c r="J97" s="644"/>
      <c r="K97" s="633"/>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3"/>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4"/>
      <c r="J98" s="644"/>
      <c r="K98" s="633"/>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3"/>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5"/>
    </row>
    <row r="99" spans="2:73" ht="15.75">
      <c r="B99" s="691"/>
      <c r="C99" s="691"/>
      <c r="D99" s="691"/>
      <c r="E99" s="691"/>
      <c r="F99" s="691"/>
      <c r="G99" s="691"/>
      <c r="H99" s="691"/>
      <c r="I99" s="644"/>
      <c r="J99" s="644"/>
      <c r="K99" s="633"/>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3"/>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5"/>
    </row>
    <row r="100" spans="2:73" ht="15.75">
      <c r="B100" s="691"/>
      <c r="C100" s="691"/>
      <c r="D100" s="691"/>
      <c r="E100" s="691"/>
      <c r="F100" s="691"/>
      <c r="G100" s="691"/>
      <c r="H100" s="691"/>
      <c r="I100" s="644"/>
      <c r="J100" s="644"/>
      <c r="K100" s="633"/>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3"/>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5"/>
    </row>
    <row r="101" spans="2:73">
      <c r="B101" s="691"/>
      <c r="C101" s="691"/>
      <c r="D101" s="691"/>
      <c r="E101" s="691"/>
      <c r="F101" s="691"/>
      <c r="G101" s="691"/>
      <c r="H101" s="691"/>
      <c r="I101" s="644"/>
      <c r="J101" s="644"/>
      <c r="K101" s="633"/>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3"/>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4"/>
      <c r="J102" s="644"/>
      <c r="K102" s="633"/>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3"/>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5"/>
    </row>
    <row r="103" spans="2:73" ht="15.75">
      <c r="B103" s="691"/>
      <c r="C103" s="691"/>
      <c r="D103" s="691"/>
      <c r="E103" s="691"/>
      <c r="F103" s="691"/>
      <c r="G103" s="691"/>
      <c r="H103" s="691"/>
      <c r="I103" s="644"/>
      <c r="J103" s="644"/>
      <c r="K103" s="633"/>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3"/>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5"/>
    </row>
    <row r="104" spans="2:73" ht="15.75">
      <c r="B104" s="691"/>
      <c r="C104" s="691"/>
      <c r="D104" s="691"/>
      <c r="E104" s="691"/>
      <c r="F104" s="691"/>
      <c r="G104" s="691"/>
      <c r="H104" s="691"/>
      <c r="I104" s="644"/>
      <c r="J104" s="644"/>
      <c r="K104" s="633"/>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3"/>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5"/>
    </row>
    <row r="105" spans="2:73" ht="15.75">
      <c r="B105" s="691"/>
      <c r="C105" s="691"/>
      <c r="D105" s="691"/>
      <c r="E105" s="691"/>
      <c r="F105" s="691"/>
      <c r="G105" s="691"/>
      <c r="H105" s="691"/>
      <c r="I105" s="644"/>
      <c r="J105" s="644"/>
      <c r="K105" s="633"/>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3"/>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5"/>
    </row>
    <row r="106" spans="2:73" ht="15.75">
      <c r="B106" s="691"/>
      <c r="C106" s="691"/>
      <c r="D106" s="691"/>
      <c r="E106" s="691"/>
      <c r="F106" s="691"/>
      <c r="G106" s="691"/>
      <c r="H106" s="691"/>
      <c r="I106" s="644"/>
      <c r="J106" s="644"/>
      <c r="K106" s="633"/>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3"/>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5"/>
    </row>
    <row r="107" spans="2:73" ht="15.75">
      <c r="B107" s="691"/>
      <c r="C107" s="691"/>
      <c r="D107" s="691"/>
      <c r="E107" s="691"/>
      <c r="F107" s="691"/>
      <c r="G107" s="691"/>
      <c r="H107" s="691"/>
      <c r="I107" s="644"/>
      <c r="J107" s="644"/>
      <c r="K107" s="633"/>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3"/>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5"/>
    </row>
    <row r="108" spans="2:73" ht="15.75">
      <c r="B108" s="691"/>
      <c r="C108" s="691"/>
      <c r="D108" s="691"/>
      <c r="E108" s="691"/>
      <c r="F108" s="691"/>
      <c r="G108" s="691"/>
      <c r="H108" s="691"/>
      <c r="I108" s="644"/>
      <c r="J108" s="644"/>
      <c r="K108" s="633"/>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3"/>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5"/>
    </row>
    <row r="109" spans="2:73" ht="15.75">
      <c r="B109" s="691"/>
      <c r="C109" s="691"/>
      <c r="D109" s="691"/>
      <c r="E109" s="691"/>
      <c r="F109" s="691"/>
      <c r="G109" s="691"/>
      <c r="H109" s="691"/>
      <c r="I109" s="644"/>
      <c r="J109" s="644"/>
      <c r="K109" s="633"/>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3"/>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5"/>
    </row>
    <row r="110" spans="2:73" ht="15.75">
      <c r="B110" s="691"/>
      <c r="C110" s="691"/>
      <c r="D110" s="691"/>
      <c r="E110" s="691"/>
      <c r="F110" s="691"/>
      <c r="G110" s="691"/>
      <c r="H110" s="691"/>
      <c r="I110" s="644"/>
      <c r="J110" s="644"/>
      <c r="K110" s="633"/>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3"/>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5"/>
    </row>
    <row r="111" spans="2:73" ht="15.7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5"/>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5"/>
    </row>
    <row r="116" spans="2:73" ht="15.7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5"/>
    </row>
    <row r="117" spans="2:73" ht="15.75">
      <c r="B117" s="691"/>
      <c r="C117" s="691"/>
      <c r="D117" s="691"/>
      <c r="E117" s="691"/>
      <c r="F117" s="691"/>
      <c r="G117" s="691"/>
      <c r="H117" s="691"/>
      <c r="I117" s="644"/>
      <c r="J117" s="644"/>
      <c r="K117" s="633"/>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5"/>
    </row>
    <row r="118" spans="2:73" ht="15.7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5"/>
    </row>
    <row r="119" spans="2:73" ht="15.7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5"/>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5"/>
    </row>
    <row r="122" spans="2:73" ht="15.7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5"/>
    </row>
  </sheetData>
  <autoFilter ref="C26:BT94">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heetViews>
  <sheetFormatPr defaultColWidth="9.140625" defaultRowHeight="15"/>
  <cols>
    <col min="1" max="16384" width="9.140625" style="12"/>
  </cols>
  <sheetData>
    <row r="12" spans="2:22" ht="24" customHeight="1"/>
    <row r="13" spans="2:22" ht="15.75">
      <c r="B13" s="588" t="s">
        <v>507</v>
      </c>
    </row>
    <row r="14" spans="2:22" ht="15.75">
      <c r="B14" s="588"/>
    </row>
    <row r="15" spans="2:22" s="668" customFormat="1" ht="27" customHeight="1">
      <c r="B15" s="666" t="s">
        <v>678</v>
      </c>
      <c r="C15" s="667"/>
      <c r="D15" s="667"/>
      <c r="E15" s="667"/>
      <c r="F15" s="667"/>
      <c r="G15" s="667"/>
      <c r="H15" s="667"/>
      <c r="I15" s="667"/>
      <c r="J15" s="667"/>
      <c r="K15" s="667"/>
      <c r="L15" s="667"/>
      <c r="M15" s="667"/>
      <c r="N15" s="667"/>
      <c r="O15" s="667"/>
      <c r="P15" s="667"/>
      <c r="Q15" s="667"/>
      <c r="R15" s="667"/>
      <c r="S15" s="667"/>
      <c r="T15" s="667"/>
      <c r="U15" s="667"/>
      <c r="V15" s="66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workbookViewId="0">
      <selection activeCell="G8" sqref="G8"/>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19" t="s">
        <v>175</v>
      </c>
      <c r="C3" s="819"/>
    </row>
    <row r="4" spans="1:3" ht="11.25" customHeight="1"/>
    <row r="5" spans="1:3" s="30" customFormat="1" ht="25.5" customHeight="1">
      <c r="B5" s="62" t="s">
        <v>422</v>
      </c>
      <c r="C5" s="62" t="s">
        <v>174</v>
      </c>
    </row>
    <row r="6" spans="1:3" s="178" customFormat="1" ht="48" customHeight="1">
      <c r="A6" s="243"/>
      <c r="B6" s="618" t="s">
        <v>171</v>
      </c>
      <c r="C6" s="671" t="s">
        <v>604</v>
      </c>
    </row>
    <row r="7" spans="1:3" s="178" customFormat="1" ht="21" customHeight="1">
      <c r="A7" s="243"/>
      <c r="B7" s="612" t="s">
        <v>554</v>
      </c>
      <c r="C7" s="672" t="s">
        <v>617</v>
      </c>
    </row>
    <row r="8" spans="1:3" s="178" customFormat="1" ht="32.25" customHeight="1">
      <c r="B8" s="612" t="s">
        <v>369</v>
      </c>
      <c r="C8" s="673" t="s">
        <v>605</v>
      </c>
    </row>
    <row r="9" spans="1:3" s="178" customFormat="1" ht="27.75" customHeight="1">
      <c r="B9" s="612" t="s">
        <v>170</v>
      </c>
      <c r="C9" s="673" t="s">
        <v>606</v>
      </c>
    </row>
    <row r="10" spans="1:3" s="178" customFormat="1" ht="33" customHeight="1">
      <c r="B10" s="612" t="s">
        <v>602</v>
      </c>
      <c r="C10" s="672" t="s">
        <v>610</v>
      </c>
    </row>
    <row r="11" spans="1:3" s="178" customFormat="1" ht="26.25" customHeight="1">
      <c r="B11" s="627" t="s">
        <v>370</v>
      </c>
      <c r="C11" s="675" t="s">
        <v>607</v>
      </c>
    </row>
    <row r="12" spans="1:3" s="178" customFormat="1" ht="39.75" customHeight="1">
      <c r="B12" s="612" t="s">
        <v>371</v>
      </c>
      <c r="C12" s="673" t="s">
        <v>608</v>
      </c>
    </row>
    <row r="13" spans="1:3" s="178" customFormat="1" ht="18" customHeight="1">
      <c r="B13" s="612" t="s">
        <v>372</v>
      </c>
      <c r="C13" s="673" t="s">
        <v>609</v>
      </c>
    </row>
    <row r="14" spans="1:3" s="178" customFormat="1" ht="13.5" customHeight="1">
      <c r="B14" s="612"/>
      <c r="C14" s="674"/>
    </row>
    <row r="15" spans="1:3" s="178" customFormat="1" ht="18" customHeight="1">
      <c r="B15" s="612" t="s">
        <v>681</v>
      </c>
      <c r="C15" s="672" t="s">
        <v>679</v>
      </c>
    </row>
    <row r="16" spans="1:3" s="178" customFormat="1" ht="8.25" customHeight="1">
      <c r="B16" s="612"/>
      <c r="C16" s="674"/>
    </row>
    <row r="17" spans="2:3" s="178" customFormat="1" ht="33" customHeight="1">
      <c r="B17" s="676" t="s">
        <v>603</v>
      </c>
      <c r="C17" s="677" t="s">
        <v>680</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Normal="100" workbookViewId="0">
      <pane ySplit="16" topLeftCell="A17" activePane="bottomLeft" state="frozen"/>
      <selection pane="bottomLeft" activeCell="A17" sqref="A17"/>
    </sheetView>
  </sheetViews>
  <sheetFormatPr defaultColWidth="9.140625" defaultRowHeight="15"/>
  <cols>
    <col min="1" max="1" width="9.140625" style="12"/>
    <col min="2" max="2" width="36.85546875" style="719" customWidth="1"/>
    <col min="3" max="3" width="9.140625" style="10"/>
    <col min="4" max="16384" width="9.140625" style="12"/>
  </cols>
  <sheetData>
    <row r="16" spans="2:21" ht="26.25" customHeight="1">
      <c r="B16" s="720" t="s">
        <v>563</v>
      </c>
      <c r="C16" s="826" t="s">
        <v>507</v>
      </c>
      <c r="D16" s="827"/>
      <c r="E16" s="827"/>
      <c r="F16" s="827"/>
      <c r="G16" s="827"/>
      <c r="H16" s="827"/>
      <c r="I16" s="827"/>
      <c r="J16" s="827"/>
      <c r="K16" s="827"/>
      <c r="L16" s="827"/>
      <c r="M16" s="827"/>
      <c r="N16" s="827"/>
      <c r="O16" s="827"/>
      <c r="P16" s="827"/>
      <c r="Q16" s="827"/>
      <c r="R16" s="827"/>
      <c r="S16" s="827"/>
      <c r="T16" s="827"/>
      <c r="U16" s="827"/>
    </row>
    <row r="17" spans="2:21" ht="55.5" customHeight="1">
      <c r="B17" s="721" t="s">
        <v>644</v>
      </c>
      <c r="C17" s="828" t="s">
        <v>645</v>
      </c>
      <c r="D17" s="828"/>
      <c r="E17" s="828"/>
      <c r="F17" s="828"/>
      <c r="G17" s="828"/>
      <c r="H17" s="828"/>
      <c r="I17" s="828"/>
      <c r="J17" s="828"/>
      <c r="K17" s="828"/>
      <c r="L17" s="828"/>
      <c r="M17" s="828"/>
      <c r="N17" s="828"/>
      <c r="O17" s="828"/>
      <c r="P17" s="828"/>
      <c r="Q17" s="828"/>
      <c r="R17" s="828"/>
      <c r="S17" s="828"/>
      <c r="T17" s="828"/>
      <c r="U17" s="829"/>
    </row>
    <row r="18" spans="2:21" ht="15.75">
      <c r="B18" s="722"/>
      <c r="C18" s="723"/>
      <c r="D18" s="724"/>
      <c r="E18" s="724"/>
      <c r="F18" s="724"/>
      <c r="G18" s="724"/>
      <c r="H18" s="724"/>
      <c r="I18" s="724"/>
      <c r="J18" s="724"/>
      <c r="K18" s="724"/>
      <c r="L18" s="724"/>
      <c r="M18" s="724"/>
      <c r="N18" s="724"/>
      <c r="O18" s="724"/>
      <c r="P18" s="724"/>
      <c r="Q18" s="724"/>
      <c r="R18" s="724"/>
      <c r="S18" s="724"/>
      <c r="T18" s="724"/>
      <c r="U18" s="725"/>
    </row>
    <row r="19" spans="2:21" ht="15.75">
      <c r="B19" s="722"/>
      <c r="C19" s="723" t="s">
        <v>649</v>
      </c>
      <c r="D19" s="724"/>
      <c r="E19" s="724"/>
      <c r="F19" s="724"/>
      <c r="G19" s="724"/>
      <c r="H19" s="724"/>
      <c r="I19" s="724"/>
      <c r="J19" s="724"/>
      <c r="K19" s="724"/>
      <c r="L19" s="724"/>
      <c r="M19" s="724"/>
      <c r="N19" s="724"/>
      <c r="O19" s="724"/>
      <c r="P19" s="724"/>
      <c r="Q19" s="724"/>
      <c r="R19" s="724"/>
      <c r="S19" s="724"/>
      <c r="T19" s="724"/>
      <c r="U19" s="725"/>
    </row>
    <row r="20" spans="2:21" ht="15.75">
      <c r="B20" s="722"/>
      <c r="C20" s="723"/>
      <c r="D20" s="724"/>
      <c r="E20" s="724"/>
      <c r="F20" s="724"/>
      <c r="G20" s="724"/>
      <c r="H20" s="724"/>
      <c r="I20" s="724"/>
      <c r="J20" s="724"/>
      <c r="K20" s="724"/>
      <c r="L20" s="724"/>
      <c r="M20" s="724"/>
      <c r="N20" s="724"/>
      <c r="O20" s="724"/>
      <c r="P20" s="724"/>
      <c r="Q20" s="724"/>
      <c r="R20" s="724"/>
      <c r="S20" s="724"/>
      <c r="T20" s="724"/>
      <c r="U20" s="725"/>
    </row>
    <row r="21" spans="2:21" ht="15.75">
      <c r="B21" s="722"/>
      <c r="C21" s="723" t="s">
        <v>646</v>
      </c>
      <c r="D21" s="724"/>
      <c r="E21" s="724"/>
      <c r="F21" s="724"/>
      <c r="G21" s="724"/>
      <c r="H21" s="724"/>
      <c r="I21" s="724"/>
      <c r="J21" s="724"/>
      <c r="K21" s="724"/>
      <c r="L21" s="724"/>
      <c r="M21" s="724"/>
      <c r="N21" s="724"/>
      <c r="O21" s="724"/>
      <c r="P21" s="724"/>
      <c r="Q21" s="724"/>
      <c r="R21" s="724"/>
      <c r="S21" s="724"/>
      <c r="T21" s="724"/>
      <c r="U21" s="725"/>
    </row>
    <row r="22" spans="2:21" ht="15.75">
      <c r="B22" s="722"/>
      <c r="C22" s="723"/>
      <c r="D22" s="724"/>
      <c r="E22" s="724"/>
      <c r="F22" s="724"/>
      <c r="G22" s="724"/>
      <c r="H22" s="724"/>
      <c r="I22" s="724"/>
      <c r="J22" s="724"/>
      <c r="K22" s="724"/>
      <c r="L22" s="724"/>
      <c r="M22" s="724"/>
      <c r="N22" s="724"/>
      <c r="O22" s="724"/>
      <c r="P22" s="724"/>
      <c r="Q22" s="724"/>
      <c r="R22" s="724"/>
      <c r="S22" s="724"/>
      <c r="T22" s="724"/>
      <c r="U22" s="725"/>
    </row>
    <row r="23" spans="2:21" ht="30" customHeight="1">
      <c r="B23" s="722"/>
      <c r="C23" s="822" t="s">
        <v>647</v>
      </c>
      <c r="D23" s="822"/>
      <c r="E23" s="822"/>
      <c r="F23" s="822"/>
      <c r="G23" s="822"/>
      <c r="H23" s="822"/>
      <c r="I23" s="822"/>
      <c r="J23" s="822"/>
      <c r="K23" s="822"/>
      <c r="L23" s="822"/>
      <c r="M23" s="822"/>
      <c r="N23" s="822"/>
      <c r="O23" s="822"/>
      <c r="P23" s="822"/>
      <c r="Q23" s="822"/>
      <c r="R23" s="822"/>
      <c r="S23" s="822"/>
      <c r="T23" s="724"/>
      <c r="U23" s="725"/>
    </row>
    <row r="24" spans="2:21" ht="15.75">
      <c r="B24" s="722"/>
      <c r="C24" s="723"/>
      <c r="D24" s="724"/>
      <c r="E24" s="724"/>
      <c r="F24" s="724"/>
      <c r="G24" s="724"/>
      <c r="H24" s="724"/>
      <c r="I24" s="724"/>
      <c r="J24" s="724"/>
      <c r="K24" s="724"/>
      <c r="L24" s="724"/>
      <c r="M24" s="724"/>
      <c r="N24" s="724"/>
      <c r="O24" s="724"/>
      <c r="P24" s="724"/>
      <c r="Q24" s="724"/>
      <c r="R24" s="724"/>
      <c r="S24" s="724"/>
      <c r="T24" s="724"/>
      <c r="U24" s="725"/>
    </row>
    <row r="25" spans="2:21" ht="15.75">
      <c r="B25" s="722"/>
      <c r="C25" s="723" t="s">
        <v>650</v>
      </c>
      <c r="D25" s="724"/>
      <c r="E25" s="724"/>
      <c r="F25" s="724"/>
      <c r="G25" s="724"/>
      <c r="H25" s="724"/>
      <c r="I25" s="724"/>
      <c r="J25" s="724"/>
      <c r="K25" s="724"/>
      <c r="L25" s="724"/>
      <c r="M25" s="724"/>
      <c r="N25" s="724"/>
      <c r="O25" s="724"/>
      <c r="P25" s="724"/>
      <c r="Q25" s="724"/>
      <c r="R25" s="724"/>
      <c r="S25" s="724"/>
      <c r="T25" s="724"/>
      <c r="U25" s="725"/>
    </row>
    <row r="26" spans="2:21" ht="15.75">
      <c r="B26" s="722"/>
      <c r="C26" s="723"/>
      <c r="D26" s="724"/>
      <c r="E26" s="724"/>
      <c r="F26" s="724"/>
      <c r="G26" s="724"/>
      <c r="H26" s="724"/>
      <c r="I26" s="724"/>
      <c r="J26" s="724"/>
      <c r="K26" s="724"/>
      <c r="L26" s="724"/>
      <c r="M26" s="724"/>
      <c r="N26" s="724"/>
      <c r="O26" s="724"/>
      <c r="P26" s="724"/>
      <c r="Q26" s="724"/>
      <c r="R26" s="724"/>
      <c r="S26" s="724"/>
      <c r="T26" s="724"/>
      <c r="U26" s="725"/>
    </row>
    <row r="27" spans="2:21" ht="31.5" customHeight="1">
      <c r="B27" s="722"/>
      <c r="C27" s="822" t="s">
        <v>648</v>
      </c>
      <c r="D27" s="822"/>
      <c r="E27" s="822"/>
      <c r="F27" s="822"/>
      <c r="G27" s="822"/>
      <c r="H27" s="822"/>
      <c r="I27" s="822"/>
      <c r="J27" s="822"/>
      <c r="K27" s="822"/>
      <c r="L27" s="822"/>
      <c r="M27" s="822"/>
      <c r="N27" s="822"/>
      <c r="O27" s="822"/>
      <c r="P27" s="822"/>
      <c r="Q27" s="822"/>
      <c r="R27" s="822"/>
      <c r="S27" s="822"/>
      <c r="T27" s="822"/>
      <c r="U27" s="823"/>
    </row>
    <row r="28" spans="2:21" ht="15.75">
      <c r="B28" s="722"/>
      <c r="C28" s="723"/>
      <c r="D28" s="724"/>
      <c r="E28" s="724"/>
      <c r="F28" s="724"/>
      <c r="G28" s="724"/>
      <c r="H28" s="724"/>
      <c r="I28" s="724"/>
      <c r="J28" s="724"/>
      <c r="K28" s="724"/>
      <c r="L28" s="724"/>
      <c r="M28" s="724"/>
      <c r="N28" s="724"/>
      <c r="O28" s="724"/>
      <c r="P28" s="724"/>
      <c r="Q28" s="724"/>
      <c r="R28" s="724"/>
      <c r="S28" s="724"/>
      <c r="T28" s="724"/>
      <c r="U28" s="725"/>
    </row>
    <row r="29" spans="2:21" ht="31.5" customHeight="1">
      <c r="B29" s="722"/>
      <c r="C29" s="822" t="s">
        <v>651</v>
      </c>
      <c r="D29" s="822"/>
      <c r="E29" s="822"/>
      <c r="F29" s="822"/>
      <c r="G29" s="822"/>
      <c r="H29" s="822"/>
      <c r="I29" s="822"/>
      <c r="J29" s="822"/>
      <c r="K29" s="822"/>
      <c r="L29" s="822"/>
      <c r="M29" s="822"/>
      <c r="N29" s="822"/>
      <c r="O29" s="822"/>
      <c r="P29" s="822"/>
      <c r="Q29" s="822"/>
      <c r="R29" s="822"/>
      <c r="S29" s="822"/>
      <c r="T29" s="822"/>
      <c r="U29" s="823"/>
    </row>
    <row r="30" spans="2:21" ht="15.75">
      <c r="B30" s="722"/>
      <c r="C30" s="723"/>
      <c r="D30" s="724"/>
      <c r="E30" s="724"/>
      <c r="F30" s="724"/>
      <c r="G30" s="724"/>
      <c r="H30" s="724"/>
      <c r="I30" s="724"/>
      <c r="J30" s="724"/>
      <c r="K30" s="724"/>
      <c r="L30" s="724"/>
      <c r="M30" s="724"/>
      <c r="N30" s="724"/>
      <c r="O30" s="724"/>
      <c r="P30" s="724"/>
      <c r="Q30" s="724"/>
      <c r="R30" s="724"/>
      <c r="S30" s="724"/>
      <c r="T30" s="724"/>
      <c r="U30" s="725"/>
    </row>
    <row r="31" spans="2:21" ht="15.75">
      <c r="B31" s="722"/>
      <c r="C31" s="723" t="s">
        <v>652</v>
      </c>
      <c r="D31" s="724"/>
      <c r="E31" s="724"/>
      <c r="F31" s="724"/>
      <c r="G31" s="724"/>
      <c r="H31" s="724"/>
      <c r="I31" s="724"/>
      <c r="J31" s="724"/>
      <c r="K31" s="724"/>
      <c r="L31" s="724"/>
      <c r="M31" s="724"/>
      <c r="N31" s="724"/>
      <c r="O31" s="724"/>
      <c r="P31" s="724"/>
      <c r="Q31" s="724"/>
      <c r="R31" s="724"/>
      <c r="S31" s="724"/>
      <c r="T31" s="724"/>
      <c r="U31" s="725"/>
    </row>
    <row r="32" spans="2:21" ht="15.75">
      <c r="B32" s="726"/>
      <c r="C32" s="727"/>
      <c r="D32" s="728"/>
      <c r="E32" s="728"/>
      <c r="F32" s="728"/>
      <c r="G32" s="728"/>
      <c r="H32" s="728"/>
      <c r="I32" s="728"/>
      <c r="J32" s="728"/>
      <c r="K32" s="728"/>
      <c r="L32" s="728"/>
      <c r="M32" s="728"/>
      <c r="N32" s="728"/>
      <c r="O32" s="728"/>
      <c r="P32" s="728"/>
      <c r="Q32" s="728"/>
      <c r="R32" s="728"/>
      <c r="S32" s="728"/>
      <c r="T32" s="728"/>
      <c r="U32" s="729"/>
    </row>
    <row r="33" spans="2:21" ht="39" customHeight="1">
      <c r="B33" s="730" t="s">
        <v>653</v>
      </c>
      <c r="C33" s="830" t="s">
        <v>654</v>
      </c>
      <c r="D33" s="830"/>
      <c r="E33" s="830"/>
      <c r="F33" s="830"/>
      <c r="G33" s="830"/>
      <c r="H33" s="830"/>
      <c r="I33" s="830"/>
      <c r="J33" s="830"/>
      <c r="K33" s="830"/>
      <c r="L33" s="830"/>
      <c r="M33" s="830"/>
      <c r="N33" s="830"/>
      <c r="O33" s="830"/>
      <c r="P33" s="830"/>
      <c r="Q33" s="830"/>
      <c r="R33" s="830"/>
      <c r="S33" s="830"/>
      <c r="T33" s="830"/>
      <c r="U33" s="831"/>
    </row>
    <row r="34" spans="2:21">
      <c r="B34" s="731"/>
      <c r="C34" s="732"/>
      <c r="D34" s="732"/>
      <c r="E34" s="732"/>
      <c r="F34" s="732"/>
      <c r="G34" s="732"/>
      <c r="H34" s="732"/>
      <c r="I34" s="732"/>
      <c r="J34" s="732"/>
      <c r="K34" s="732"/>
      <c r="L34" s="732"/>
      <c r="M34" s="732"/>
      <c r="N34" s="732"/>
      <c r="O34" s="732"/>
      <c r="P34" s="732"/>
      <c r="Q34" s="732"/>
      <c r="R34" s="732"/>
      <c r="S34" s="732"/>
      <c r="T34" s="732"/>
      <c r="U34" s="733"/>
    </row>
    <row r="35" spans="2:21" ht="15.75">
      <c r="B35" s="734" t="s">
        <v>655</v>
      </c>
      <c r="C35" s="735" t="s">
        <v>656</v>
      </c>
      <c r="D35" s="724"/>
      <c r="E35" s="724"/>
      <c r="F35" s="724"/>
      <c r="G35" s="724"/>
      <c r="H35" s="724"/>
      <c r="I35" s="724"/>
      <c r="J35" s="724"/>
      <c r="K35" s="724"/>
      <c r="L35" s="724"/>
      <c r="M35" s="724"/>
      <c r="N35" s="724"/>
      <c r="O35" s="724"/>
      <c r="P35" s="724"/>
      <c r="Q35" s="724"/>
      <c r="R35" s="724"/>
      <c r="S35" s="724"/>
      <c r="T35" s="724"/>
      <c r="U35" s="725"/>
    </row>
    <row r="36" spans="2:21">
      <c r="B36" s="736"/>
      <c r="C36" s="728"/>
      <c r="D36" s="728"/>
      <c r="E36" s="728"/>
      <c r="F36" s="728"/>
      <c r="G36" s="728"/>
      <c r="H36" s="728"/>
      <c r="I36" s="728"/>
      <c r="J36" s="728"/>
      <c r="K36" s="728"/>
      <c r="L36" s="728"/>
      <c r="M36" s="728"/>
      <c r="N36" s="728"/>
      <c r="O36" s="728"/>
      <c r="P36" s="728"/>
      <c r="Q36" s="728"/>
      <c r="R36" s="728"/>
      <c r="S36" s="728"/>
      <c r="T36" s="728"/>
      <c r="U36" s="729"/>
    </row>
    <row r="37" spans="2:21" ht="34.5" customHeight="1">
      <c r="B37" s="721" t="s">
        <v>657</v>
      </c>
      <c r="C37" s="824" t="s">
        <v>658</v>
      </c>
      <c r="D37" s="824"/>
      <c r="E37" s="824"/>
      <c r="F37" s="824"/>
      <c r="G37" s="824"/>
      <c r="H37" s="824"/>
      <c r="I37" s="824"/>
      <c r="J37" s="824"/>
      <c r="K37" s="824"/>
      <c r="L37" s="824"/>
      <c r="M37" s="824"/>
      <c r="N37" s="824"/>
      <c r="O37" s="824"/>
      <c r="P37" s="824"/>
      <c r="Q37" s="824"/>
      <c r="R37" s="824"/>
      <c r="S37" s="824"/>
      <c r="T37" s="824"/>
      <c r="U37" s="825"/>
    </row>
    <row r="38" spans="2:21">
      <c r="B38" s="736"/>
      <c r="C38" s="728"/>
      <c r="D38" s="728"/>
      <c r="E38" s="728"/>
      <c r="F38" s="728"/>
      <c r="G38" s="728"/>
      <c r="H38" s="728"/>
      <c r="I38" s="728"/>
      <c r="J38" s="728"/>
      <c r="K38" s="728"/>
      <c r="L38" s="728"/>
      <c r="M38" s="728"/>
      <c r="N38" s="728"/>
      <c r="O38" s="728"/>
      <c r="P38" s="728"/>
      <c r="Q38" s="728"/>
      <c r="R38" s="728"/>
      <c r="S38" s="728"/>
      <c r="T38" s="728"/>
      <c r="U38" s="729"/>
    </row>
    <row r="39" spans="2:21" ht="15.75">
      <c r="B39" s="721" t="s">
        <v>659</v>
      </c>
      <c r="C39" s="737" t="s">
        <v>660</v>
      </c>
      <c r="D39" s="732"/>
      <c r="E39" s="732"/>
      <c r="F39" s="732"/>
      <c r="G39" s="732"/>
      <c r="H39" s="732"/>
      <c r="I39" s="732"/>
      <c r="J39" s="732"/>
      <c r="K39" s="732"/>
      <c r="L39" s="732"/>
      <c r="M39" s="732"/>
      <c r="N39" s="732"/>
      <c r="O39" s="732"/>
      <c r="P39" s="732"/>
      <c r="Q39" s="732"/>
      <c r="R39" s="732"/>
      <c r="S39" s="732"/>
      <c r="T39" s="732"/>
      <c r="U39" s="733"/>
    </row>
    <row r="40" spans="2:21">
      <c r="B40" s="736"/>
      <c r="C40" s="728"/>
      <c r="D40" s="728"/>
      <c r="E40" s="728"/>
      <c r="F40" s="728"/>
      <c r="G40" s="728"/>
      <c r="H40" s="728"/>
      <c r="I40" s="728"/>
      <c r="J40" s="728"/>
      <c r="K40" s="728"/>
      <c r="L40" s="728"/>
      <c r="M40" s="728"/>
      <c r="N40" s="728"/>
      <c r="O40" s="728"/>
      <c r="P40" s="728"/>
      <c r="Q40" s="728"/>
      <c r="R40" s="728"/>
      <c r="S40" s="728"/>
      <c r="T40" s="728"/>
      <c r="U40" s="729"/>
    </row>
    <row r="41" spans="2:21" ht="38.25" customHeight="1">
      <c r="B41" s="730" t="s">
        <v>661</v>
      </c>
      <c r="C41" s="832" t="s">
        <v>662</v>
      </c>
      <c r="D41" s="832"/>
      <c r="E41" s="832"/>
      <c r="F41" s="832"/>
      <c r="G41" s="832"/>
      <c r="H41" s="832"/>
      <c r="I41" s="832"/>
      <c r="J41" s="832"/>
      <c r="K41" s="832"/>
      <c r="L41" s="832"/>
      <c r="M41" s="832"/>
      <c r="N41" s="832"/>
      <c r="O41" s="832"/>
      <c r="P41" s="832"/>
      <c r="Q41" s="832"/>
      <c r="R41" s="832"/>
      <c r="S41" s="832"/>
      <c r="T41" s="832"/>
      <c r="U41" s="833"/>
    </row>
    <row r="42" spans="2:21">
      <c r="B42" s="738"/>
      <c r="C42" s="732"/>
      <c r="D42" s="732"/>
      <c r="E42" s="732"/>
      <c r="F42" s="732"/>
      <c r="G42" s="732"/>
      <c r="H42" s="732"/>
      <c r="I42" s="732"/>
      <c r="J42" s="732"/>
      <c r="K42" s="732"/>
      <c r="L42" s="732"/>
      <c r="M42" s="732"/>
      <c r="N42" s="732"/>
      <c r="O42" s="732"/>
      <c r="P42" s="732"/>
      <c r="Q42" s="732"/>
      <c r="R42" s="732"/>
      <c r="S42" s="732"/>
      <c r="T42" s="732"/>
      <c r="U42" s="733"/>
    </row>
    <row r="43" spans="2:21" ht="15.75">
      <c r="B43" s="734" t="s">
        <v>663</v>
      </c>
      <c r="C43" s="735" t="s">
        <v>664</v>
      </c>
      <c r="D43" s="724"/>
      <c r="E43" s="724"/>
      <c r="F43" s="724"/>
      <c r="G43" s="724"/>
      <c r="H43" s="724"/>
      <c r="I43" s="724"/>
      <c r="J43" s="724"/>
      <c r="K43" s="724"/>
      <c r="L43" s="724"/>
      <c r="M43" s="724"/>
      <c r="N43" s="724"/>
      <c r="O43" s="724"/>
      <c r="P43" s="724"/>
      <c r="Q43" s="724"/>
      <c r="R43" s="724"/>
      <c r="S43" s="724"/>
      <c r="T43" s="724"/>
      <c r="U43" s="725"/>
    </row>
    <row r="44" spans="2:21">
      <c r="B44" s="739"/>
      <c r="C44" s="724"/>
      <c r="D44" s="724"/>
      <c r="E44" s="724"/>
      <c r="F44" s="724"/>
      <c r="G44" s="724"/>
      <c r="H44" s="724"/>
      <c r="I44" s="724"/>
      <c r="J44" s="724"/>
      <c r="K44" s="724"/>
      <c r="L44" s="724"/>
      <c r="M44" s="724"/>
      <c r="N44" s="724"/>
      <c r="O44" s="724"/>
      <c r="P44" s="724"/>
      <c r="Q44" s="724"/>
      <c r="R44" s="724"/>
      <c r="S44" s="724"/>
      <c r="T44" s="724"/>
      <c r="U44" s="725"/>
    </row>
    <row r="45" spans="2:21" ht="36" customHeight="1">
      <c r="B45" s="739"/>
      <c r="C45" s="820" t="s">
        <v>668</v>
      </c>
      <c r="D45" s="820"/>
      <c r="E45" s="820"/>
      <c r="F45" s="820"/>
      <c r="G45" s="820"/>
      <c r="H45" s="820"/>
      <c r="I45" s="820"/>
      <c r="J45" s="820"/>
      <c r="K45" s="820"/>
      <c r="L45" s="820"/>
      <c r="M45" s="820"/>
      <c r="N45" s="820"/>
      <c r="O45" s="820"/>
      <c r="P45" s="820"/>
      <c r="Q45" s="820"/>
      <c r="R45" s="820"/>
      <c r="S45" s="820"/>
      <c r="T45" s="820"/>
      <c r="U45" s="821"/>
    </row>
    <row r="46" spans="2:21">
      <c r="B46" s="739"/>
      <c r="C46" s="740"/>
      <c r="D46" s="724"/>
      <c r="E46" s="724"/>
      <c r="F46" s="724"/>
      <c r="G46" s="724"/>
      <c r="H46" s="724"/>
      <c r="I46" s="724"/>
      <c r="J46" s="724"/>
      <c r="K46" s="724"/>
      <c r="L46" s="724"/>
      <c r="M46" s="724"/>
      <c r="N46" s="724"/>
      <c r="O46" s="724"/>
      <c r="P46" s="724"/>
      <c r="Q46" s="724"/>
      <c r="R46" s="724"/>
      <c r="S46" s="724"/>
      <c r="T46" s="724"/>
      <c r="U46" s="725"/>
    </row>
    <row r="47" spans="2:21" ht="35.25" customHeight="1">
      <c r="B47" s="739"/>
      <c r="C47" s="820" t="s">
        <v>665</v>
      </c>
      <c r="D47" s="820"/>
      <c r="E47" s="820"/>
      <c r="F47" s="820"/>
      <c r="G47" s="820"/>
      <c r="H47" s="820"/>
      <c r="I47" s="820"/>
      <c r="J47" s="820"/>
      <c r="K47" s="820"/>
      <c r="L47" s="820"/>
      <c r="M47" s="820"/>
      <c r="N47" s="820"/>
      <c r="O47" s="820"/>
      <c r="P47" s="820"/>
      <c r="Q47" s="820"/>
      <c r="R47" s="820"/>
      <c r="S47" s="820"/>
      <c r="T47" s="820"/>
      <c r="U47" s="821"/>
    </row>
    <row r="48" spans="2:21">
      <c r="B48" s="739"/>
      <c r="C48" s="740"/>
      <c r="D48" s="724"/>
      <c r="E48" s="724"/>
      <c r="F48" s="724"/>
      <c r="G48" s="724"/>
      <c r="H48" s="724"/>
      <c r="I48" s="724"/>
      <c r="J48" s="724"/>
      <c r="K48" s="724"/>
      <c r="L48" s="724"/>
      <c r="M48" s="724"/>
      <c r="N48" s="724"/>
      <c r="O48" s="724"/>
      <c r="P48" s="724"/>
      <c r="Q48" s="724"/>
      <c r="R48" s="724"/>
      <c r="S48" s="724"/>
      <c r="T48" s="724"/>
      <c r="U48" s="725"/>
    </row>
    <row r="49" spans="2:21" ht="40.5" customHeight="1">
      <c r="B49" s="739"/>
      <c r="C49" s="820" t="s">
        <v>666</v>
      </c>
      <c r="D49" s="820"/>
      <c r="E49" s="820"/>
      <c r="F49" s="820"/>
      <c r="G49" s="820"/>
      <c r="H49" s="820"/>
      <c r="I49" s="820"/>
      <c r="J49" s="820"/>
      <c r="K49" s="820"/>
      <c r="L49" s="820"/>
      <c r="M49" s="820"/>
      <c r="N49" s="820"/>
      <c r="O49" s="820"/>
      <c r="P49" s="820"/>
      <c r="Q49" s="820"/>
      <c r="R49" s="820"/>
      <c r="S49" s="820"/>
      <c r="T49" s="820"/>
      <c r="U49" s="821"/>
    </row>
    <row r="50" spans="2:21">
      <c r="B50" s="739"/>
      <c r="C50" s="740"/>
      <c r="D50" s="724"/>
      <c r="E50" s="724"/>
      <c r="F50" s="724"/>
      <c r="G50" s="724"/>
      <c r="H50" s="724"/>
      <c r="I50" s="724"/>
      <c r="J50" s="724"/>
      <c r="K50" s="724"/>
      <c r="L50" s="724"/>
      <c r="M50" s="724"/>
      <c r="N50" s="724"/>
      <c r="O50" s="724"/>
      <c r="P50" s="724"/>
      <c r="Q50" s="724"/>
      <c r="R50" s="724"/>
      <c r="S50" s="724"/>
      <c r="T50" s="724"/>
      <c r="U50" s="725"/>
    </row>
    <row r="51" spans="2:21" ht="30" customHeight="1">
      <c r="B51" s="739"/>
      <c r="C51" s="820" t="s">
        <v>667</v>
      </c>
      <c r="D51" s="820"/>
      <c r="E51" s="820"/>
      <c r="F51" s="820"/>
      <c r="G51" s="820"/>
      <c r="H51" s="820"/>
      <c r="I51" s="820"/>
      <c r="J51" s="820"/>
      <c r="K51" s="820"/>
      <c r="L51" s="820"/>
      <c r="M51" s="820"/>
      <c r="N51" s="820"/>
      <c r="O51" s="820"/>
      <c r="P51" s="820"/>
      <c r="Q51" s="820"/>
      <c r="R51" s="820"/>
      <c r="S51" s="820"/>
      <c r="T51" s="820"/>
      <c r="U51" s="821"/>
    </row>
    <row r="52" spans="2:21" ht="15.75">
      <c r="B52" s="739"/>
      <c r="C52" s="723"/>
      <c r="D52" s="724"/>
      <c r="E52" s="724"/>
      <c r="F52" s="724"/>
      <c r="G52" s="724"/>
      <c r="H52" s="724"/>
      <c r="I52" s="724"/>
      <c r="J52" s="724"/>
      <c r="K52" s="724"/>
      <c r="L52" s="724"/>
      <c r="M52" s="724"/>
      <c r="N52" s="724"/>
      <c r="O52" s="724"/>
      <c r="P52" s="724"/>
      <c r="Q52" s="724"/>
      <c r="R52" s="724"/>
      <c r="S52" s="724"/>
      <c r="T52" s="724"/>
      <c r="U52" s="725"/>
    </row>
    <row r="53" spans="2:21" ht="31.5" customHeight="1">
      <c r="B53" s="739"/>
      <c r="C53" s="822" t="s">
        <v>669</v>
      </c>
      <c r="D53" s="822"/>
      <c r="E53" s="822"/>
      <c r="F53" s="822"/>
      <c r="G53" s="822"/>
      <c r="H53" s="822"/>
      <c r="I53" s="822"/>
      <c r="J53" s="822"/>
      <c r="K53" s="822"/>
      <c r="L53" s="822"/>
      <c r="M53" s="822"/>
      <c r="N53" s="822"/>
      <c r="O53" s="822"/>
      <c r="P53" s="822"/>
      <c r="Q53" s="822"/>
      <c r="R53" s="822"/>
      <c r="S53" s="822"/>
      <c r="T53" s="822"/>
      <c r="U53" s="823"/>
    </row>
    <row r="54" spans="2:21">
      <c r="B54" s="736"/>
      <c r="C54" s="728"/>
      <c r="D54" s="728"/>
      <c r="E54" s="728"/>
      <c r="F54" s="728"/>
      <c r="G54" s="728"/>
      <c r="H54" s="728"/>
      <c r="I54" s="728"/>
      <c r="J54" s="728"/>
      <c r="K54" s="728"/>
      <c r="L54" s="728"/>
      <c r="M54" s="728"/>
      <c r="N54" s="728"/>
      <c r="O54" s="728"/>
      <c r="P54" s="728"/>
      <c r="Q54" s="728"/>
      <c r="R54" s="728"/>
      <c r="S54" s="728"/>
      <c r="T54" s="728"/>
      <c r="U54" s="729"/>
    </row>
    <row r="55" spans="2:21" ht="48" customHeight="1">
      <c r="B55" s="721" t="s">
        <v>670</v>
      </c>
      <c r="C55" s="824" t="s">
        <v>671</v>
      </c>
      <c r="D55" s="824"/>
      <c r="E55" s="824"/>
      <c r="F55" s="824"/>
      <c r="G55" s="824"/>
      <c r="H55" s="824"/>
      <c r="I55" s="824"/>
      <c r="J55" s="824"/>
      <c r="K55" s="824"/>
      <c r="L55" s="824"/>
      <c r="M55" s="824"/>
      <c r="N55" s="824"/>
      <c r="O55" s="824"/>
      <c r="P55" s="824"/>
      <c r="Q55" s="824"/>
      <c r="R55" s="824"/>
      <c r="S55" s="824"/>
      <c r="T55" s="824"/>
      <c r="U55" s="825"/>
    </row>
    <row r="56" spans="2:21">
      <c r="B56" s="736"/>
      <c r="C56" s="728"/>
      <c r="D56" s="728"/>
      <c r="E56" s="728"/>
      <c r="F56" s="728"/>
      <c r="G56" s="728"/>
      <c r="H56" s="728"/>
      <c r="I56" s="728"/>
      <c r="J56" s="728"/>
      <c r="K56" s="728"/>
      <c r="L56" s="728"/>
      <c r="M56" s="728"/>
      <c r="N56" s="728"/>
      <c r="O56" s="728"/>
      <c r="P56" s="728"/>
      <c r="Q56" s="728"/>
      <c r="R56" s="728"/>
      <c r="S56" s="728"/>
      <c r="T56" s="728"/>
      <c r="U56" s="729"/>
    </row>
    <row r="57" spans="2:21" ht="34.5" customHeight="1">
      <c r="B57" s="721" t="s">
        <v>672</v>
      </c>
      <c r="C57" s="824" t="s">
        <v>673</v>
      </c>
      <c r="D57" s="824"/>
      <c r="E57" s="824"/>
      <c r="F57" s="824"/>
      <c r="G57" s="824"/>
      <c r="H57" s="824"/>
      <c r="I57" s="824"/>
      <c r="J57" s="824"/>
      <c r="K57" s="824"/>
      <c r="L57" s="824"/>
      <c r="M57" s="824"/>
      <c r="N57" s="824"/>
      <c r="O57" s="824"/>
      <c r="P57" s="824"/>
      <c r="Q57" s="824"/>
      <c r="R57" s="824"/>
      <c r="S57" s="824"/>
      <c r="T57" s="824"/>
      <c r="U57" s="825"/>
    </row>
    <row r="58" spans="2:21">
      <c r="B58" s="741"/>
      <c r="C58" s="728"/>
      <c r="D58" s="728"/>
      <c r="E58" s="728"/>
      <c r="F58" s="728"/>
      <c r="G58" s="728"/>
      <c r="H58" s="728"/>
      <c r="I58" s="728"/>
      <c r="J58" s="728"/>
      <c r="K58" s="728"/>
      <c r="L58" s="728"/>
      <c r="M58" s="728"/>
      <c r="N58" s="728"/>
      <c r="O58" s="728"/>
      <c r="P58" s="728"/>
      <c r="Q58" s="728"/>
      <c r="R58" s="728"/>
      <c r="S58" s="728"/>
      <c r="T58" s="728"/>
      <c r="U58" s="729"/>
    </row>
    <row r="59" spans="2:21" ht="30.75" customHeight="1">
      <c r="B59" s="730" t="s">
        <v>674</v>
      </c>
      <c r="C59" s="742" t="s">
        <v>675</v>
      </c>
      <c r="D59" s="743"/>
      <c r="E59" s="743"/>
      <c r="F59" s="743"/>
      <c r="G59" s="743"/>
      <c r="H59" s="743"/>
      <c r="I59" s="743"/>
      <c r="J59" s="743"/>
      <c r="K59" s="743"/>
      <c r="L59" s="743"/>
      <c r="M59" s="743"/>
      <c r="N59" s="743"/>
      <c r="O59" s="743"/>
      <c r="P59" s="743"/>
      <c r="Q59" s="743"/>
      <c r="R59" s="743"/>
      <c r="S59" s="743"/>
      <c r="T59" s="743"/>
      <c r="U59" s="744"/>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scale="49"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7" zoomScale="90" zoomScaleNormal="9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5" t="s">
        <v>567</v>
      </c>
      <c r="C3" s="836"/>
      <c r="D3" s="836"/>
      <c r="E3" s="836"/>
      <c r="F3" s="837"/>
      <c r="G3" s="124"/>
    </row>
    <row r="4" spans="2:20" ht="16.5" customHeight="1">
      <c r="B4" s="838"/>
      <c r="C4" s="839"/>
      <c r="D4" s="839"/>
      <c r="E4" s="839"/>
      <c r="F4" s="840"/>
      <c r="G4" s="124"/>
    </row>
    <row r="5" spans="2:20" ht="71.25" customHeight="1">
      <c r="B5" s="838"/>
      <c r="C5" s="839"/>
      <c r="D5" s="839"/>
      <c r="E5" s="839"/>
      <c r="F5" s="840"/>
      <c r="G5" s="124"/>
    </row>
    <row r="6" spans="2:20" ht="21.75" customHeight="1">
      <c r="B6" s="841"/>
      <c r="C6" s="842"/>
      <c r="D6" s="842"/>
      <c r="E6" s="842"/>
      <c r="F6" s="843"/>
      <c r="G6" s="124"/>
    </row>
    <row r="8" spans="2:20" ht="21">
      <c r="B8" s="834" t="s">
        <v>483</v>
      </c>
      <c r="C8" s="834"/>
      <c r="D8" s="834"/>
      <c r="E8" s="834"/>
      <c r="F8" s="834"/>
      <c r="G8" s="834"/>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594</v>
      </c>
      <c r="G12" s="28"/>
      <c r="L12" s="33"/>
      <c r="M12" s="33"/>
      <c r="N12" s="33"/>
      <c r="O12" s="33"/>
      <c r="P12" s="33"/>
      <c r="Q12" s="70"/>
      <c r="S12" s="8"/>
      <c r="T12" s="8"/>
    </row>
    <row r="13" spans="2:20" s="9" customFormat="1" ht="26.25" customHeight="1" thickBot="1">
      <c r="B13" s="104" t="s">
        <v>418</v>
      </c>
      <c r="C13" s="126" t="s">
        <v>635</v>
      </c>
      <c r="G13" s="111"/>
      <c r="L13" s="33"/>
      <c r="M13" s="33"/>
      <c r="N13" s="33"/>
      <c r="O13" s="33"/>
      <c r="P13" s="33"/>
      <c r="Q13" s="70"/>
      <c r="S13" s="8"/>
      <c r="T13" s="8"/>
    </row>
    <row r="14" spans="2:20" s="9" customFormat="1" ht="26.25" customHeight="1" thickBot="1">
      <c r="B14" s="104" t="s">
        <v>418</v>
      </c>
      <c r="C14" s="174" t="s">
        <v>630</v>
      </c>
      <c r="G14" s="125"/>
      <c r="L14" s="33"/>
      <c r="M14" s="33"/>
      <c r="N14" s="33"/>
      <c r="O14" s="33"/>
      <c r="P14" s="33"/>
      <c r="Q14" s="70"/>
      <c r="S14" s="8"/>
      <c r="T14" s="8"/>
    </row>
    <row r="15" spans="2:20" s="9" customFormat="1" ht="26.25" customHeight="1" thickBot="1">
      <c r="B15" s="104" t="s">
        <v>418</v>
      </c>
      <c r="C15" s="174" t="s">
        <v>631</v>
      </c>
      <c r="G15" s="125"/>
      <c r="L15" s="33"/>
      <c r="M15" s="33"/>
      <c r="N15" s="33"/>
      <c r="O15" s="33"/>
      <c r="P15" s="33"/>
      <c r="Q15" s="70"/>
      <c r="S15" s="8"/>
      <c r="T15" s="8"/>
    </row>
    <row r="16" spans="2:20" s="9" customFormat="1" ht="26.25" customHeight="1" thickBot="1">
      <c r="B16" s="104" t="s">
        <v>418</v>
      </c>
      <c r="C16" s="174" t="s">
        <v>632</v>
      </c>
      <c r="G16" s="125"/>
      <c r="L16" s="33"/>
      <c r="M16" s="33"/>
      <c r="N16" s="33"/>
      <c r="O16" s="33"/>
      <c r="P16" s="33"/>
      <c r="Q16" s="70"/>
      <c r="S16" s="8"/>
      <c r="T16" s="8"/>
    </row>
    <row r="17" spans="2:20" s="9" customFormat="1" ht="26.25" customHeight="1" thickBot="1">
      <c r="B17" s="104" t="s">
        <v>418</v>
      </c>
      <c r="C17" s="126" t="s">
        <v>633</v>
      </c>
      <c r="G17" s="111"/>
      <c r="L17" s="33"/>
      <c r="M17" s="33"/>
      <c r="N17" s="33"/>
      <c r="O17" s="33"/>
      <c r="P17" s="33"/>
      <c r="Q17" s="70"/>
      <c r="S17" s="8"/>
      <c r="T17" s="8"/>
    </row>
    <row r="18" spans="2:20" s="9" customFormat="1" ht="26.25" customHeight="1" thickBot="1">
      <c r="B18" s="104" t="s">
        <v>420</v>
      </c>
      <c r="C18" s="126" t="s">
        <v>634</v>
      </c>
      <c r="G18" s="125"/>
      <c r="L18" s="33"/>
      <c r="M18" s="33"/>
      <c r="N18" s="33"/>
      <c r="O18" s="33"/>
      <c r="P18" s="33"/>
      <c r="Q18" s="70"/>
      <c r="S18" s="8"/>
      <c r="T18" s="8"/>
    </row>
    <row r="19" spans="2:20" s="9" customFormat="1" ht="26.25" customHeight="1" thickBot="1">
      <c r="B19" s="104" t="s">
        <v>418</v>
      </c>
      <c r="C19" s="126" t="s">
        <v>636</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47" t="s">
        <v>545</v>
      </c>
      <c r="C22" s="653" t="s">
        <v>439</v>
      </c>
      <c r="D22" s="656" t="s">
        <v>445</v>
      </c>
      <c r="E22" s="660" t="s">
        <v>593</v>
      </c>
      <c r="F22" s="656" t="s">
        <v>450</v>
      </c>
      <c r="G22" s="176"/>
      <c r="M22" s="645"/>
      <c r="T22" s="645"/>
    </row>
    <row r="23" spans="2:20" s="105" customFormat="1" ht="35.25" customHeight="1">
      <c r="B23" s="648" t="s">
        <v>460</v>
      </c>
      <c r="C23" s="654" t="s">
        <v>440</v>
      </c>
      <c r="D23" s="657" t="s">
        <v>446</v>
      </c>
      <c r="E23" s="661" t="s">
        <v>593</v>
      </c>
      <c r="F23" s="657" t="s">
        <v>450</v>
      </c>
      <c r="G23" s="176"/>
      <c r="M23" s="645"/>
      <c r="T23" s="645"/>
    </row>
    <row r="24" spans="2:20" s="105" customFormat="1" ht="34.5" customHeight="1">
      <c r="B24" s="648" t="s">
        <v>457</v>
      </c>
      <c r="C24" s="654" t="s">
        <v>440</v>
      </c>
      <c r="D24" s="657" t="s">
        <v>447</v>
      </c>
      <c r="E24" s="661" t="s">
        <v>593</v>
      </c>
      <c r="F24" s="657" t="s">
        <v>450</v>
      </c>
      <c r="G24" s="176"/>
      <c r="M24" s="645"/>
      <c r="T24" s="645"/>
    </row>
    <row r="25" spans="2:20" s="105" customFormat="1" ht="32.25" customHeight="1">
      <c r="B25" s="649" t="s">
        <v>458</v>
      </c>
      <c r="C25" s="654" t="s">
        <v>439</v>
      </c>
      <c r="D25" s="657" t="s">
        <v>448</v>
      </c>
      <c r="E25" s="662" t="s">
        <v>612</v>
      </c>
      <c r="F25" s="665"/>
      <c r="G25" s="176"/>
      <c r="M25" s="645"/>
      <c r="T25" s="645"/>
    </row>
    <row r="26" spans="2:20" s="105" customFormat="1" ht="30.75" customHeight="1">
      <c r="B26" s="650" t="s">
        <v>543</v>
      </c>
      <c r="C26" s="654" t="s">
        <v>439</v>
      </c>
      <c r="D26" s="657"/>
      <c r="E26" s="662"/>
      <c r="F26" s="665"/>
      <c r="G26" s="176"/>
      <c r="M26" s="645"/>
      <c r="T26" s="645"/>
    </row>
    <row r="27" spans="2:20" s="105" customFormat="1" ht="32.25" customHeight="1">
      <c r="B27" s="651" t="s">
        <v>544</v>
      </c>
      <c r="C27" s="654" t="s">
        <v>439</v>
      </c>
      <c r="D27" s="658" t="s">
        <v>540</v>
      </c>
      <c r="E27" s="662"/>
      <c r="F27" s="665"/>
      <c r="G27" s="176"/>
      <c r="M27" s="645"/>
      <c r="T27" s="645"/>
    </row>
    <row r="28" spans="2:20" s="105" customFormat="1" ht="27" customHeight="1">
      <c r="B28" s="649" t="s">
        <v>459</v>
      </c>
      <c r="C28" s="654" t="s">
        <v>442</v>
      </c>
      <c r="D28" s="657" t="s">
        <v>484</v>
      </c>
      <c r="E28" s="662" t="s">
        <v>461</v>
      </c>
      <c r="F28" s="665"/>
      <c r="G28" s="176"/>
      <c r="M28" s="645"/>
      <c r="T28" s="645"/>
    </row>
    <row r="29" spans="2:20" s="105" customFormat="1" ht="27" customHeight="1">
      <c r="B29" s="651" t="s">
        <v>454</v>
      </c>
      <c r="C29" s="654" t="s">
        <v>439</v>
      </c>
      <c r="D29" s="657"/>
      <c r="E29" s="662"/>
      <c r="F29" s="657" t="s">
        <v>409</v>
      </c>
      <c r="G29" s="176"/>
      <c r="M29" s="645"/>
      <c r="T29" s="645"/>
    </row>
    <row r="30" spans="2:20" s="105" customFormat="1" ht="32.25" customHeight="1">
      <c r="B30" s="649" t="s">
        <v>208</v>
      </c>
      <c r="C30" s="654" t="s">
        <v>444</v>
      </c>
      <c r="D30" s="657" t="s">
        <v>557</v>
      </c>
      <c r="E30" s="663"/>
      <c r="F30" s="657" t="s">
        <v>556</v>
      </c>
      <c r="G30" s="646"/>
      <c r="M30" s="645"/>
    </row>
    <row r="31" spans="2:20" s="105" customFormat="1" ht="27.75" customHeight="1">
      <c r="B31" s="652" t="s">
        <v>541</v>
      </c>
      <c r="C31" s="655" t="s">
        <v>443</v>
      </c>
      <c r="D31" s="659"/>
      <c r="E31" s="664"/>
      <c r="F31" s="659"/>
      <c r="G31" s="646"/>
      <c r="M31" s="645"/>
    </row>
    <row r="32" spans="2:20" s="105" customFormat="1" ht="23.25" customHeight="1">
      <c r="C32" s="177"/>
      <c r="D32" s="177"/>
      <c r="E32" s="177"/>
      <c r="G32" s="646"/>
      <c r="M32" s="645"/>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576</v>
      </c>
      <c r="H1" s="122" t="s">
        <v>587</v>
      </c>
    </row>
    <row r="2" spans="1:8">
      <c r="A2" s="12" t="s">
        <v>29</v>
      </c>
      <c r="B2" s="12" t="s">
        <v>27</v>
      </c>
      <c r="C2" s="10">
        <v>2006</v>
      </c>
      <c r="D2" s="12" t="s">
        <v>418</v>
      </c>
      <c r="E2" s="10">
        <f>'2. LRAMVA Threshold'!D9</f>
        <v>2013</v>
      </c>
      <c r="F2" s="26" t="s">
        <v>171</v>
      </c>
      <c r="G2" s="12" t="s">
        <v>577</v>
      </c>
      <c r="H2" s="12" t="s">
        <v>595</v>
      </c>
    </row>
    <row r="3" spans="1:8">
      <c r="A3" s="12" t="s">
        <v>373</v>
      </c>
      <c r="B3" s="12" t="s">
        <v>27</v>
      </c>
      <c r="C3" s="10">
        <v>2007</v>
      </c>
      <c r="D3" s="12" t="s">
        <v>419</v>
      </c>
      <c r="E3" s="10">
        <f>'2. LRAMVA Threshold'!D24</f>
        <v>0</v>
      </c>
      <c r="F3" s="12" t="s">
        <v>552</v>
      </c>
      <c r="G3" s="12" t="s">
        <v>578</v>
      </c>
      <c r="H3" s="12" t="s">
        <v>588</v>
      </c>
    </row>
    <row r="4" spans="1:8">
      <c r="A4" s="12" t="s">
        <v>374</v>
      </c>
      <c r="B4" s="12" t="s">
        <v>28</v>
      </c>
      <c r="C4" s="10">
        <v>2008</v>
      </c>
      <c r="D4" s="12" t="s">
        <v>420</v>
      </c>
      <c r="F4" s="12" t="s">
        <v>170</v>
      </c>
      <c r="G4" s="12" t="s">
        <v>579</v>
      </c>
    </row>
    <row r="5" spans="1:8">
      <c r="A5" s="12" t="s">
        <v>375</v>
      </c>
      <c r="B5" s="12" t="s">
        <v>28</v>
      </c>
      <c r="C5" s="10">
        <v>2009</v>
      </c>
      <c r="F5" s="12" t="s">
        <v>370</v>
      </c>
      <c r="G5" s="12" t="s">
        <v>580</v>
      </c>
    </row>
    <row r="6" spans="1:8">
      <c r="A6" s="12" t="s">
        <v>376</v>
      </c>
      <c r="B6" s="12" t="s">
        <v>28</v>
      </c>
      <c r="C6" s="10">
        <v>2010</v>
      </c>
      <c r="F6" s="12" t="s">
        <v>371</v>
      </c>
      <c r="G6" s="12" t="s">
        <v>581</v>
      </c>
    </row>
    <row r="7" spans="1:8">
      <c r="A7" s="12" t="s">
        <v>377</v>
      </c>
      <c r="B7" s="12" t="s">
        <v>28</v>
      </c>
      <c r="C7" s="10">
        <v>2011</v>
      </c>
      <c r="F7" s="12" t="s">
        <v>372</v>
      </c>
      <c r="G7" s="12" t="s">
        <v>582</v>
      </c>
    </row>
    <row r="8" spans="1:8">
      <c r="A8" s="12" t="s">
        <v>378</v>
      </c>
      <c r="B8" s="12" t="s">
        <v>28</v>
      </c>
      <c r="C8" s="10">
        <v>2012</v>
      </c>
      <c r="F8" s="12" t="s">
        <v>560</v>
      </c>
      <c r="G8" s="12" t="s">
        <v>583</v>
      </c>
    </row>
    <row r="9" spans="1:8">
      <c r="A9" s="12" t="s">
        <v>379</v>
      </c>
      <c r="B9" s="12" t="s">
        <v>28</v>
      </c>
      <c r="C9" s="10">
        <v>2013</v>
      </c>
      <c r="G9" s="12" t="s">
        <v>584</v>
      </c>
    </row>
    <row r="10" spans="1:8">
      <c r="A10" s="12" t="s">
        <v>380</v>
      </c>
      <c r="B10" s="12" t="s">
        <v>28</v>
      </c>
      <c r="C10" s="10">
        <v>2014</v>
      </c>
      <c r="G10" s="12" t="s">
        <v>585</v>
      </c>
    </row>
    <row r="11" spans="1:8">
      <c r="A11" s="12" t="s">
        <v>381</v>
      </c>
      <c r="B11" s="12" t="s">
        <v>28</v>
      </c>
      <c r="C11" s="10">
        <v>2015</v>
      </c>
      <c r="G11" s="12" t="s">
        <v>586</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6"/>
  <sheetViews>
    <sheetView tabSelected="1" view="pageBreakPreview" topLeftCell="A25" zoomScale="60" zoomScaleNormal="70" workbookViewId="0">
      <selection activeCell="E43" sqref="E43"/>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hidden="1" customWidth="1"/>
    <col min="10" max="10" width="22" style="9" hidden="1"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9" t="s">
        <v>553</v>
      </c>
      <c r="D6" s="17"/>
      <c r="E6" s="9"/>
      <c r="T6" s="9"/>
      <c r="V6" s="8"/>
    </row>
    <row r="7" spans="2:22" ht="21" customHeight="1">
      <c r="B7" s="537"/>
      <c r="C7" s="17"/>
      <c r="D7" s="17"/>
      <c r="E7" s="9"/>
      <c r="T7" s="9"/>
      <c r="V7" s="8"/>
    </row>
    <row r="8" spans="2:22" ht="24.75" customHeight="1">
      <c r="B8" s="119" t="s">
        <v>240</v>
      </c>
      <c r="C8" s="191"/>
      <c r="D8" s="601"/>
      <c r="E8" s="9"/>
      <c r="T8" s="9"/>
      <c r="V8" s="8"/>
    </row>
    <row r="9" spans="2:22" ht="41.25" customHeight="1">
      <c r="B9" s="551" t="s">
        <v>522</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558</v>
      </c>
      <c r="C11" s="567"/>
      <c r="D11" s="567"/>
      <c r="E11" s="567"/>
      <c r="F11" s="567"/>
      <c r="G11" s="567"/>
      <c r="H11" s="567"/>
      <c r="T11" s="550"/>
      <c r="U11" s="550"/>
    </row>
    <row r="12" spans="2:22" s="32" customFormat="1" ht="18.75" customHeight="1">
      <c r="B12" s="544"/>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751" t="s">
        <v>696</v>
      </c>
      <c r="E14" s="132"/>
      <c r="F14" s="126" t="s">
        <v>550</v>
      </c>
      <c r="H14" s="542" t="s">
        <v>695</v>
      </c>
      <c r="J14" s="126" t="s">
        <v>517</v>
      </c>
      <c r="L14" s="134"/>
      <c r="N14" s="105"/>
      <c r="Q14" s="101"/>
      <c r="R14" s="98"/>
    </row>
    <row r="15" spans="2:22" ht="26.25" customHeight="1" thickBot="1">
      <c r="B15" s="126" t="s">
        <v>426</v>
      </c>
      <c r="C15" s="108"/>
      <c r="D15" s="751" t="s">
        <v>697</v>
      </c>
      <c r="F15" s="126" t="s">
        <v>416</v>
      </c>
      <c r="G15" s="129"/>
      <c r="H15" s="542" t="s">
        <v>683</v>
      </c>
      <c r="I15" s="17"/>
      <c r="J15" s="126" t="s">
        <v>518</v>
      </c>
      <c r="L15" s="134"/>
      <c r="M15" s="105"/>
      <c r="Q15" s="110"/>
      <c r="R15" s="98"/>
    </row>
    <row r="16" spans="2:22" ht="28.5" customHeight="1" thickBot="1">
      <c r="B16" s="126" t="s">
        <v>456</v>
      </c>
      <c r="C16" s="108"/>
      <c r="D16" s="752" t="s">
        <v>698</v>
      </c>
      <c r="E16" s="105"/>
      <c r="F16" s="126" t="s">
        <v>436</v>
      </c>
      <c r="G16" s="127"/>
      <c r="H16" s="543" t="s">
        <v>182</v>
      </c>
      <c r="I16" s="105"/>
      <c r="K16" s="197"/>
      <c r="L16" s="197"/>
      <c r="M16" s="197"/>
      <c r="N16" s="197"/>
      <c r="Q16" s="117"/>
      <c r="R16" s="98"/>
    </row>
    <row r="17" spans="1:21" ht="29.25" customHeight="1" thickBot="1">
      <c r="B17" s="126" t="s">
        <v>423</v>
      </c>
      <c r="C17" s="108"/>
      <c r="D17" s="134">
        <v>54719.842225467823</v>
      </c>
      <c r="E17" s="123"/>
      <c r="F17" s="126" t="s">
        <v>437</v>
      </c>
      <c r="G17" s="603" t="s">
        <v>364</v>
      </c>
      <c r="H17" s="244">
        <f>SUM(R52,R55,R58,R61,R64,R67)</f>
        <v>140977.64385258176</v>
      </c>
      <c r="I17" s="17"/>
      <c r="K17" s="197"/>
      <c r="L17" s="197"/>
      <c r="M17" s="197"/>
      <c r="N17" s="197"/>
      <c r="P17" s="101"/>
      <c r="Q17" s="101"/>
      <c r="R17" s="98"/>
    </row>
    <row r="18" spans="1:21" ht="27.75" customHeight="1" thickBot="1">
      <c r="E18" s="9"/>
      <c r="F18" s="126" t="s">
        <v>438</v>
      </c>
      <c r="G18" s="603" t="s">
        <v>365</v>
      </c>
      <c r="H18" s="133">
        <f>-SUM(R53,R56,R59,R62,R65,R68)</f>
        <v>67548.122600000002</v>
      </c>
      <c r="I18" s="17"/>
      <c r="J18" s="117"/>
      <c r="K18" s="117"/>
      <c r="L18" s="117"/>
      <c r="M18" s="117"/>
      <c r="N18" s="117"/>
      <c r="P18" s="117"/>
      <c r="Q18" s="117"/>
      <c r="R18" s="98"/>
    </row>
    <row r="19" spans="1:21" ht="27.75" customHeight="1" thickBot="1">
      <c r="E19" s="9"/>
      <c r="F19" s="126" t="s">
        <v>410</v>
      </c>
      <c r="G19" s="603" t="s">
        <v>366</v>
      </c>
      <c r="H19" s="190">
        <f>R82</f>
        <v>3415.696563599261</v>
      </c>
      <c r="I19" s="17"/>
      <c r="J19" s="117"/>
      <c r="P19" s="117"/>
      <c r="Q19" s="117"/>
      <c r="R19" s="98"/>
    </row>
    <row r="20" spans="1:21" ht="27.75" customHeight="1">
      <c r="C20" s="32"/>
      <c r="D20" s="32"/>
      <c r="E20" s="32"/>
      <c r="F20" s="126" t="s">
        <v>512</v>
      </c>
      <c r="G20" s="603" t="s">
        <v>451</v>
      </c>
      <c r="H20" s="190">
        <f>H17-H18+H19</f>
        <v>76845.21781618103</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18" t="s">
        <v>639</v>
      </c>
      <c r="C24" s="818"/>
      <c r="D24" s="818"/>
      <c r="E24" s="818"/>
      <c r="F24" s="818"/>
      <c r="G24" s="818"/>
    </row>
    <row r="25" spans="1:21" ht="14.25" customHeight="1">
      <c r="A25" s="28"/>
      <c r="B25" s="548"/>
      <c r="C25" s="548"/>
      <c r="D25" s="538"/>
      <c r="E25" s="538"/>
      <c r="F25" s="538"/>
      <c r="G25" s="548"/>
    </row>
    <row r="26" spans="1:21" s="17" customFormat="1" ht="27" customHeight="1">
      <c r="B26" s="848" t="s">
        <v>509</v>
      </c>
      <c r="C26" s="849"/>
      <c r="D26" s="135" t="s">
        <v>41</v>
      </c>
      <c r="E26" s="136" t="s">
        <v>569</v>
      </c>
      <c r="F26" s="136" t="s">
        <v>410</v>
      </c>
      <c r="G26" s="137" t="s">
        <v>411</v>
      </c>
      <c r="T26" s="138"/>
      <c r="U26" s="138"/>
    </row>
    <row r="27" spans="1:21" ht="20.25" customHeight="1">
      <c r="B27" s="844" t="s">
        <v>29</v>
      </c>
      <c r="C27" s="845"/>
      <c r="D27" s="638" t="s">
        <v>27</v>
      </c>
      <c r="E27" s="140">
        <f>SUM(D52:D80)</f>
        <v>36136.298047204342</v>
      </c>
      <c r="F27" s="141">
        <f>SUM(D82)</f>
        <v>1680.9401308291222</v>
      </c>
      <c r="G27" s="140">
        <f>E27+F27</f>
        <v>37817.238178033462</v>
      </c>
    </row>
    <row r="28" spans="1:21" ht="20.25" customHeight="1">
      <c r="B28" s="844" t="s">
        <v>373</v>
      </c>
      <c r="C28" s="845"/>
      <c r="D28" s="638" t="s">
        <v>27</v>
      </c>
      <c r="E28" s="142">
        <f>SUM(E52:E80)</f>
        <v>63066.343178008763</v>
      </c>
      <c r="F28" s="143">
        <f>E82</f>
        <v>2933.6360634970406</v>
      </c>
      <c r="G28" s="142">
        <f>E28+F28</f>
        <v>65999.979241505804</v>
      </c>
    </row>
    <row r="29" spans="1:21" ht="20.25" customHeight="1">
      <c r="B29" s="844" t="s">
        <v>374</v>
      </c>
      <c r="C29" s="845"/>
      <c r="D29" s="638" t="s">
        <v>28</v>
      </c>
      <c r="E29" s="142">
        <f>SUM(F52:F80)</f>
        <v>-22762.835172631334</v>
      </c>
      <c r="F29" s="143">
        <f>F82</f>
        <v>-1058.8512161135677</v>
      </c>
      <c r="G29" s="142">
        <f t="shared" ref="G29:G32" si="0">E29+F29</f>
        <v>-23821.6863887449</v>
      </c>
    </row>
    <row r="30" spans="1:21" ht="20.25" customHeight="1">
      <c r="B30" s="844" t="s">
        <v>684</v>
      </c>
      <c r="C30" s="845"/>
      <c r="D30" s="638" t="s">
        <v>28</v>
      </c>
      <c r="E30" s="142">
        <f>SUM(G52:G80)</f>
        <v>-2955.0135999999998</v>
      </c>
      <c r="F30" s="143">
        <f>G82</f>
        <v>-137.45738262666674</v>
      </c>
      <c r="G30" s="142">
        <f t="shared" si="0"/>
        <v>-3092.4709826266667</v>
      </c>
    </row>
    <row r="31" spans="1:21" ht="20.25" customHeight="1">
      <c r="B31" s="844" t="s">
        <v>32</v>
      </c>
      <c r="C31" s="845"/>
      <c r="D31" s="638" t="s">
        <v>694</v>
      </c>
      <c r="E31" s="142">
        <f>SUM(H52:H80)</f>
        <v>-55.2712</v>
      </c>
      <c r="F31" s="143">
        <f>H82</f>
        <v>-2.5710319866666671</v>
      </c>
      <c r="G31" s="142">
        <f>E31+F31</f>
        <v>-57.842231986666668</v>
      </c>
    </row>
    <row r="32" spans="1:21" ht="20.25" hidden="1" customHeight="1">
      <c r="B32" s="844"/>
      <c r="C32" s="845"/>
      <c r="D32" s="638"/>
      <c r="E32" s="142">
        <f>SUM(I52:I81)</f>
        <v>0</v>
      </c>
      <c r="F32" s="143">
        <f>I82</f>
        <v>0</v>
      </c>
      <c r="G32" s="142">
        <f t="shared" si="0"/>
        <v>0</v>
      </c>
    </row>
    <row r="33" spans="2:22" ht="20.25" hidden="1" customHeight="1">
      <c r="B33" s="844"/>
      <c r="C33" s="845"/>
      <c r="D33" s="638"/>
      <c r="E33" s="142">
        <f>SUM(J52:J81)</f>
        <v>0</v>
      </c>
      <c r="F33" s="143">
        <f>J82</f>
        <v>0</v>
      </c>
      <c r="G33" s="142">
        <f>E33+F33</f>
        <v>0</v>
      </c>
    </row>
    <row r="34" spans="2:22" ht="20.25" hidden="1" customHeight="1">
      <c r="B34" s="844"/>
      <c r="C34" s="845"/>
      <c r="D34" s="638"/>
      <c r="E34" s="142">
        <f>SUM(K52:K81)</f>
        <v>0</v>
      </c>
      <c r="F34" s="143">
        <f>K82</f>
        <v>0</v>
      </c>
      <c r="G34" s="142">
        <f t="shared" ref="G34:G40" si="1">E34+F34</f>
        <v>0</v>
      </c>
    </row>
    <row r="35" spans="2:22" ht="20.25" hidden="1" customHeight="1">
      <c r="B35" s="844"/>
      <c r="C35" s="845"/>
      <c r="D35" s="638"/>
      <c r="E35" s="142">
        <f>SUM(L52:L81)</f>
        <v>0</v>
      </c>
      <c r="F35" s="143">
        <f>L82</f>
        <v>0</v>
      </c>
      <c r="G35" s="142">
        <f t="shared" si="1"/>
        <v>0</v>
      </c>
    </row>
    <row r="36" spans="2:22" ht="20.25" hidden="1" customHeight="1">
      <c r="B36" s="844"/>
      <c r="C36" s="845"/>
      <c r="D36" s="638"/>
      <c r="E36" s="142">
        <f>SUM(M52:M81)</f>
        <v>0</v>
      </c>
      <c r="F36" s="143">
        <f>M82</f>
        <v>0</v>
      </c>
      <c r="G36" s="142">
        <f t="shared" si="1"/>
        <v>0</v>
      </c>
    </row>
    <row r="37" spans="2:22" ht="20.25" hidden="1" customHeight="1">
      <c r="B37" s="844"/>
      <c r="C37" s="845"/>
      <c r="D37" s="638"/>
      <c r="E37" s="142">
        <f>SUM(N52:N81)</f>
        <v>0</v>
      </c>
      <c r="F37" s="143">
        <f>N82</f>
        <v>0</v>
      </c>
      <c r="G37" s="142">
        <f t="shared" si="1"/>
        <v>0</v>
      </c>
    </row>
    <row r="38" spans="2:22" ht="20.25" hidden="1" customHeight="1">
      <c r="B38" s="844"/>
      <c r="C38" s="845"/>
      <c r="D38" s="638"/>
      <c r="E38" s="142">
        <f>SUM(O52:O81)</f>
        <v>0</v>
      </c>
      <c r="F38" s="143">
        <f>O82</f>
        <v>0</v>
      </c>
      <c r="G38" s="142">
        <f t="shared" si="1"/>
        <v>0</v>
      </c>
    </row>
    <row r="39" spans="2:22" ht="20.25" hidden="1" customHeight="1">
      <c r="B39" s="844"/>
      <c r="C39" s="845"/>
      <c r="D39" s="638"/>
      <c r="E39" s="142">
        <f>SUM(P52:P81)</f>
        <v>0</v>
      </c>
      <c r="F39" s="143">
        <f>P82</f>
        <v>0</v>
      </c>
      <c r="G39" s="142">
        <f t="shared" si="1"/>
        <v>0</v>
      </c>
    </row>
    <row r="40" spans="2:22" ht="20.25" hidden="1" customHeight="1">
      <c r="B40" s="844"/>
      <c r="C40" s="845"/>
      <c r="D40" s="639"/>
      <c r="E40" s="144">
        <f>SUM(Q52:Q81)</f>
        <v>0</v>
      </c>
      <c r="F40" s="145">
        <f>Q82</f>
        <v>0</v>
      </c>
      <c r="G40" s="144">
        <f t="shared" si="1"/>
        <v>0</v>
      </c>
    </row>
    <row r="41" spans="2:22" s="8" customFormat="1" ht="21" customHeight="1">
      <c r="B41" s="846" t="s">
        <v>26</v>
      </c>
      <c r="C41" s="847"/>
      <c r="D41" s="139"/>
      <c r="E41" s="146">
        <f>SUM(E27:E40)</f>
        <v>73429.521252581748</v>
      </c>
      <c r="F41" s="146">
        <f>SUM(F27:F40)</f>
        <v>3415.696563599261</v>
      </c>
      <c r="G41" s="146">
        <f>SUM(G27:G40)</f>
        <v>76845.21781618103</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7"/>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hidden="1" customHeight="1">
      <c r="B46" s="818" t="s">
        <v>615</v>
      </c>
      <c r="C46" s="818"/>
      <c r="D46" s="818"/>
      <c r="E46" s="818"/>
      <c r="F46" s="818"/>
      <c r="G46" s="818"/>
      <c r="H46" s="818"/>
      <c r="I46" s="818"/>
      <c r="J46" s="818"/>
      <c r="K46" s="818"/>
      <c r="L46" s="818"/>
      <c r="M46" s="617"/>
      <c r="N46" s="107"/>
      <c r="O46" s="107"/>
      <c r="P46" s="107"/>
      <c r="Q46" s="107"/>
      <c r="R46" s="107"/>
      <c r="T46" s="37"/>
      <c r="U46" s="19"/>
      <c r="V46" s="38"/>
    </row>
    <row r="47" spans="2:22" s="28" customFormat="1" ht="48" hidden="1" customHeight="1">
      <c r="B47" s="818" t="s">
        <v>568</v>
      </c>
      <c r="C47" s="818"/>
      <c r="D47" s="818"/>
      <c r="E47" s="818"/>
      <c r="F47" s="818"/>
      <c r="G47" s="818"/>
      <c r="H47" s="818"/>
      <c r="I47" s="818"/>
      <c r="J47" s="818"/>
      <c r="K47" s="818"/>
      <c r="L47" s="818"/>
      <c r="M47" s="617"/>
      <c r="N47" s="107"/>
      <c r="O47" s="107"/>
      <c r="P47" s="107"/>
      <c r="Q47" s="107"/>
      <c r="R47" s="107"/>
      <c r="T47" s="37"/>
      <c r="U47" s="19"/>
      <c r="V47" s="38"/>
    </row>
    <row r="48" spans="2:22" s="28" customFormat="1" ht="26.25" hidden="1" customHeight="1">
      <c r="B48" s="818" t="s">
        <v>624</v>
      </c>
      <c r="C48" s="818"/>
      <c r="D48" s="818"/>
      <c r="E48" s="818"/>
      <c r="F48" s="818"/>
      <c r="G48" s="818"/>
      <c r="H48" s="818"/>
      <c r="I48" s="818"/>
      <c r="J48" s="818"/>
      <c r="K48" s="818"/>
      <c r="L48" s="818"/>
      <c r="M48" s="617"/>
      <c r="N48" s="107"/>
      <c r="O48" s="107"/>
      <c r="P48" s="107"/>
      <c r="Q48" s="107"/>
      <c r="R48" s="107"/>
      <c r="T48" s="37"/>
      <c r="U48" s="19"/>
      <c r="V48" s="38"/>
    </row>
    <row r="49" spans="2:22" ht="15" customHeight="1">
      <c r="B49" s="613"/>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GS&gt;50 kW</v>
      </c>
      <c r="G50" s="137" t="str">
        <f>IF($B30&lt;&gt;"",$B30,"")</f>
        <v>Streetlights</v>
      </c>
      <c r="H50" s="137" t="str">
        <f>IF($B31&lt;&gt;"",$B31,"")</f>
        <v>Unmetered Scattered Load</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5"/>
      <c r="C51" s="576"/>
      <c r="D51" s="576" t="str">
        <f>D27</f>
        <v>kWh</v>
      </c>
      <c r="E51" s="576" t="str">
        <f>D28</f>
        <v>kWh</v>
      </c>
      <c r="F51" s="576" t="str">
        <f>D29</f>
        <v>kW</v>
      </c>
      <c r="G51" s="576" t="str">
        <f>D30</f>
        <v>kW</v>
      </c>
      <c r="H51" s="576" t="str">
        <f>D31</f>
        <v>KWh</v>
      </c>
      <c r="I51" s="576">
        <f>D32</f>
        <v>0</v>
      </c>
      <c r="J51" s="576">
        <f>D33</f>
        <v>0</v>
      </c>
      <c r="K51" s="576">
        <f>D34</f>
        <v>0</v>
      </c>
      <c r="L51" s="576">
        <f>D35</f>
        <v>0</v>
      </c>
      <c r="M51" s="576">
        <f>D36</f>
        <v>0</v>
      </c>
      <c r="N51" s="576">
        <f>D37</f>
        <v>0</v>
      </c>
      <c r="O51" s="576">
        <f>D38</f>
        <v>0</v>
      </c>
      <c r="P51" s="576">
        <f>D39</f>
        <v>0</v>
      </c>
      <c r="Q51" s="576">
        <f>D40</f>
        <v>0</v>
      </c>
      <c r="R51" s="577"/>
      <c r="U51" s="149"/>
    </row>
    <row r="52" spans="2:22" s="17" customFormat="1">
      <c r="B52" s="150" t="s">
        <v>143</v>
      </c>
      <c r="C52" s="151"/>
      <c r="D52" s="152">
        <v>0</v>
      </c>
      <c r="E52" s="152">
        <v>0</v>
      </c>
      <c r="F52" s="152">
        <v>0</v>
      </c>
      <c r="G52" s="152">
        <v>0</v>
      </c>
      <c r="H52" s="152">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v>0</v>
      </c>
      <c r="E53" s="158">
        <v>0</v>
      </c>
      <c r="F53" s="158">
        <v>0</v>
      </c>
      <c r="G53" s="158">
        <v>0</v>
      </c>
      <c r="H53" s="158">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5" t="s">
        <v>67</v>
      </c>
      <c r="C54" s="621"/>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2">
        <v>0</v>
      </c>
      <c r="E55" s="152">
        <v>0</v>
      </c>
      <c r="F55" s="152">
        <v>0</v>
      </c>
      <c r="G55" s="152">
        <v>0</v>
      </c>
      <c r="H55" s="152">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v>0</v>
      </c>
      <c r="E56" s="158">
        <v>0</v>
      </c>
      <c r="F56" s="158">
        <v>0</v>
      </c>
      <c r="G56" s="158">
        <v>0</v>
      </c>
      <c r="H56" s="158">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5" t="s">
        <v>67</v>
      </c>
      <c r="C57" s="621"/>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2">
        <v>0</v>
      </c>
      <c r="E58" s="152">
        <v>0</v>
      </c>
      <c r="F58" s="152">
        <v>0</v>
      </c>
      <c r="G58" s="152">
        <v>0</v>
      </c>
      <c r="H58" s="152">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v>0</v>
      </c>
      <c r="E59" s="158">
        <v>0</v>
      </c>
      <c r="F59" s="158">
        <v>0</v>
      </c>
      <c r="G59" s="158">
        <v>0</v>
      </c>
      <c r="H59" s="158">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5" t="s">
        <v>67</v>
      </c>
      <c r="C60" s="621"/>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2">
        <v>0</v>
      </c>
      <c r="E61" s="152">
        <v>0</v>
      </c>
      <c r="F61" s="152">
        <v>0</v>
      </c>
      <c r="G61" s="152">
        <v>0</v>
      </c>
      <c r="H61" s="152">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v>0</v>
      </c>
      <c r="E62" s="158">
        <v>0</v>
      </c>
      <c r="F62" s="158">
        <v>0</v>
      </c>
      <c r="G62" s="158">
        <v>0</v>
      </c>
      <c r="H62" s="158">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5" t="s">
        <v>67</v>
      </c>
      <c r="C63" s="621"/>
      <c r="D63" s="162"/>
      <c r="E63" s="162"/>
      <c r="F63" s="162"/>
      <c r="G63" s="162"/>
      <c r="H63" s="162"/>
      <c r="I63" s="162"/>
      <c r="J63" s="162"/>
      <c r="K63" s="163"/>
      <c r="L63" s="163"/>
      <c r="M63" s="163"/>
      <c r="N63" s="163"/>
      <c r="O63" s="163"/>
      <c r="P63" s="163"/>
      <c r="Q63" s="163"/>
      <c r="R63" s="164"/>
      <c r="U63" s="161"/>
      <c r="V63" s="155"/>
    </row>
    <row r="64" spans="2:22" s="165" customFormat="1">
      <c r="B64" s="156" t="s">
        <v>94</v>
      </c>
      <c r="C64" s="535"/>
      <c r="D64" s="152">
        <v>0</v>
      </c>
      <c r="E64" s="152">
        <v>0</v>
      </c>
      <c r="F64" s="152">
        <v>0</v>
      </c>
      <c r="G64" s="152">
        <v>0</v>
      </c>
      <c r="H64" s="152">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0</v>
      </c>
      <c r="U64" s="154"/>
      <c r="V64" s="155"/>
    </row>
    <row r="65" spans="2:22" s="165" customFormat="1">
      <c r="B65" s="156" t="s">
        <v>93</v>
      </c>
      <c r="C65" s="157"/>
      <c r="D65" s="158">
        <v>0</v>
      </c>
      <c r="E65" s="158">
        <v>0</v>
      </c>
      <c r="F65" s="158">
        <v>0</v>
      </c>
      <c r="G65" s="158">
        <v>0</v>
      </c>
      <c r="H65" s="158">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5" t="s">
        <v>67</v>
      </c>
      <c r="C66" s="621"/>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LRAM'!Y391</f>
        <v>58866.848747204342</v>
      </c>
      <c r="E67" s="158">
        <f>'5.  2015-2020 LRAM'!Z391</f>
        <v>70506.607678008761</v>
      </c>
      <c r="F67" s="158">
        <f>'5.  2015-2020 LRAM'!AA391</f>
        <v>11604.187427368668</v>
      </c>
      <c r="G67" s="158">
        <f>'5.  2015-2020 LRAM'!AB391</f>
        <v>0</v>
      </c>
      <c r="H67" s="158">
        <f>'5.  2015-2020 LRAM'!AC391</f>
        <v>0</v>
      </c>
      <c r="I67" s="158">
        <f>'5.  2015-2020 LRAM'!AD391</f>
        <v>0</v>
      </c>
      <c r="J67" s="158">
        <f>'5.  2015-2020 LRAM'!AE391</f>
        <v>0</v>
      </c>
      <c r="K67" s="158">
        <f>'5.  2015-2020 LRAM'!AF391</f>
        <v>0</v>
      </c>
      <c r="L67" s="158">
        <f>'5.  2015-2020 LRAM'!AG391</f>
        <v>0</v>
      </c>
      <c r="M67" s="158">
        <f>'5.  2015-2020 LRAM'!AH391</f>
        <v>0</v>
      </c>
      <c r="N67" s="158">
        <f>'5.  2015-2020 LRAM'!AI391</f>
        <v>0</v>
      </c>
      <c r="O67" s="158">
        <f>'5.  2015-2020 LRAM'!AJ391</f>
        <v>0</v>
      </c>
      <c r="P67" s="158">
        <f>'5.  2015-2020 LRAM'!AK391</f>
        <v>0</v>
      </c>
      <c r="Q67" s="158">
        <f>'5.  2015-2020 LRAM'!AL391</f>
        <v>0</v>
      </c>
      <c r="R67" s="159">
        <f>SUM(D67:Q67)</f>
        <v>140977.64385258176</v>
      </c>
      <c r="U67" s="154"/>
      <c r="V67" s="155"/>
    </row>
    <row r="68" spans="2:22" s="165" customFormat="1">
      <c r="B68" s="156" t="s">
        <v>225</v>
      </c>
      <c r="C68" s="157"/>
      <c r="D68" s="158">
        <f>-'5.  2015-2020 LRAM'!Y392</f>
        <v>-22730.550699999996</v>
      </c>
      <c r="E68" s="158">
        <f>-'5.  2015-2020 LRAM'!Z392</f>
        <v>-7440.2645000000002</v>
      </c>
      <c r="F68" s="158">
        <f>-'5.  2015-2020 LRAM'!AA392</f>
        <v>-34367.022600000004</v>
      </c>
      <c r="G68" s="158">
        <f>-'5.  2015-2020 LRAM'!AB392</f>
        <v>-2955.0135999999998</v>
      </c>
      <c r="H68" s="158">
        <f>-'5.  2015-2020 LRAM'!AC392</f>
        <v>-55.2712</v>
      </c>
      <c r="I68" s="158">
        <f>-'5.  2015-2020 LRAM'!AD392</f>
        <v>0</v>
      </c>
      <c r="J68" s="158">
        <f>-'5.  2015-2020 LRAM'!AE392</f>
        <v>0</v>
      </c>
      <c r="K68" s="158">
        <f>-'5.  2015-2020 LRAM'!AF392</f>
        <v>0</v>
      </c>
      <c r="L68" s="158">
        <f>-'5.  2015-2020 LRAM'!AG392</f>
        <v>0</v>
      </c>
      <c r="M68" s="158">
        <f>-'5.  2015-2020 LRAM'!AH392</f>
        <v>0</v>
      </c>
      <c r="N68" s="158">
        <f>-'5.  2015-2020 LRAM'!AI392</f>
        <v>0</v>
      </c>
      <c r="O68" s="158">
        <f>-'5.  2015-2020 LRAM'!AJ392</f>
        <v>0</v>
      </c>
      <c r="P68" s="158">
        <f>-'5.  2015-2020 LRAM'!AK392</f>
        <v>0</v>
      </c>
      <c r="Q68" s="158">
        <f>-'5.  2015-2020 LRAM'!AL392</f>
        <v>0</v>
      </c>
      <c r="R68" s="159">
        <f>SUM(D68:Q68)</f>
        <v>-67548.122600000002</v>
      </c>
      <c r="S68" s="160"/>
      <c r="U68" s="154"/>
      <c r="V68" s="155"/>
    </row>
    <row r="69" spans="2:22" s="138" customFormat="1">
      <c r="B69" s="625" t="s">
        <v>67</v>
      </c>
      <c r="C69" s="621"/>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5"/>
      <c r="D70" s="152">
        <v>0</v>
      </c>
      <c r="E70" s="152">
        <v>0</v>
      </c>
      <c r="F70" s="152">
        <v>0</v>
      </c>
      <c r="G70" s="152">
        <v>0</v>
      </c>
      <c r="H70" s="152">
        <v>0</v>
      </c>
      <c r="I70" s="158">
        <f>'5.  2015-2020 LRAM'!AD575</f>
        <v>0</v>
      </c>
      <c r="J70" s="158">
        <f>'5.  2015-2020 LRAM'!AE575</f>
        <v>0</v>
      </c>
      <c r="K70" s="158">
        <f>'5.  2015-2020 LRAM'!AF575</f>
        <v>0</v>
      </c>
      <c r="L70" s="158">
        <f>'5.  2015-2020 LRAM'!AG575</f>
        <v>0</v>
      </c>
      <c r="M70" s="158">
        <f>'5.  2015-2020 LRAM'!AH575</f>
        <v>0</v>
      </c>
      <c r="N70" s="158">
        <f>'5.  2015-2020 LRAM'!AI575</f>
        <v>0</v>
      </c>
      <c r="O70" s="158">
        <f>'5.  2015-2020 LRAM'!AJ575</f>
        <v>0</v>
      </c>
      <c r="P70" s="158">
        <f>'5.  2015-2020 LRAM'!AK575</f>
        <v>0</v>
      </c>
      <c r="Q70" s="158">
        <f>'5.  2015-2020 LRAM'!AL575</f>
        <v>0</v>
      </c>
      <c r="R70" s="159">
        <f>SUM(D70:Q70)</f>
        <v>0</v>
      </c>
      <c r="U70" s="154"/>
      <c r="V70" s="155"/>
    </row>
    <row r="71" spans="2:22" s="165" customFormat="1" hidden="1">
      <c r="B71" s="156" t="s">
        <v>227</v>
      </c>
      <c r="C71" s="157"/>
      <c r="D71" s="158">
        <v>0</v>
      </c>
      <c r="E71" s="158">
        <v>0</v>
      </c>
      <c r="F71" s="158">
        <v>0</v>
      </c>
      <c r="G71" s="158">
        <v>0</v>
      </c>
      <c r="H71" s="158">
        <v>0</v>
      </c>
      <c r="I71" s="158">
        <f>-'5.  2015-2020 LRAM'!AD576</f>
        <v>0</v>
      </c>
      <c r="J71" s="158">
        <f>-'5.  2015-2020 LRAM'!AE576</f>
        <v>0</v>
      </c>
      <c r="K71" s="158">
        <f>-'5.  2015-2020 LRAM'!AF576</f>
        <v>0</v>
      </c>
      <c r="L71" s="158">
        <f>-'5.  2015-2020 LRAM'!AG576</f>
        <v>0</v>
      </c>
      <c r="M71" s="158">
        <f>-'5.  2015-2020 LRAM'!AH576</f>
        <v>0</v>
      </c>
      <c r="N71" s="158">
        <f>-'5.  2015-2020 LRAM'!AI576</f>
        <v>0</v>
      </c>
      <c r="O71" s="158">
        <f>-'5.  2015-2020 LRAM'!AJ576</f>
        <v>0</v>
      </c>
      <c r="P71" s="158">
        <f>-'5.  2015-2020 LRAM'!AK576</f>
        <v>0</v>
      </c>
      <c r="Q71" s="158">
        <f>-'5.  2015-2020 LRAM'!AL576</f>
        <v>0</v>
      </c>
      <c r="R71" s="159">
        <f>SUM(D71:Q71)</f>
        <v>0</v>
      </c>
      <c r="S71" s="160"/>
      <c r="U71" s="154"/>
      <c r="V71" s="155"/>
    </row>
    <row r="72" spans="2:22" s="138" customFormat="1" hidden="1">
      <c r="B72" s="625" t="s">
        <v>67</v>
      </c>
      <c r="C72" s="621"/>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5"/>
      <c r="D73" s="152">
        <v>0</v>
      </c>
      <c r="E73" s="152">
        <v>0</v>
      </c>
      <c r="F73" s="152">
        <v>0</v>
      </c>
      <c r="G73" s="152">
        <v>0</v>
      </c>
      <c r="H73" s="152">
        <v>0</v>
      </c>
      <c r="I73" s="158">
        <f>'5.  2015-2020 LRAM'!AD759</f>
        <v>0</v>
      </c>
      <c r="J73" s="158">
        <f>'5.  2015-2020 LRAM'!AE759</f>
        <v>0</v>
      </c>
      <c r="K73" s="158">
        <f>'5.  2015-2020 LRAM'!AF759</f>
        <v>0</v>
      </c>
      <c r="L73" s="158">
        <f>'5.  2015-2020 LRAM'!AG759</f>
        <v>0</v>
      </c>
      <c r="M73" s="158">
        <f>'5.  2015-2020 LRAM'!AH759</f>
        <v>0</v>
      </c>
      <c r="N73" s="158">
        <f>'5.  2015-2020 LRAM'!AI759</f>
        <v>0</v>
      </c>
      <c r="O73" s="158">
        <f>'5.  2015-2020 LRAM'!AJ759</f>
        <v>0</v>
      </c>
      <c r="P73" s="158">
        <f>'5.  2015-2020 LRAM'!AK759</f>
        <v>0</v>
      </c>
      <c r="Q73" s="158">
        <f>'5.  2015-2020 LRAM'!AL759</f>
        <v>0</v>
      </c>
      <c r="R73" s="159">
        <f>SUM(D73:Q73)</f>
        <v>0</v>
      </c>
      <c r="U73" s="154"/>
      <c r="V73" s="155"/>
    </row>
    <row r="74" spans="2:22" s="165" customFormat="1" ht="16.5" hidden="1" customHeight="1">
      <c r="B74" s="156" t="s">
        <v>229</v>
      </c>
      <c r="C74" s="157"/>
      <c r="D74" s="158">
        <v>0</v>
      </c>
      <c r="E74" s="158">
        <v>0</v>
      </c>
      <c r="F74" s="158">
        <v>0</v>
      </c>
      <c r="G74" s="158">
        <v>0</v>
      </c>
      <c r="H74" s="158">
        <v>0</v>
      </c>
      <c r="I74" s="158">
        <f>-'5.  2015-2020 LRAM'!AD760</f>
        <v>0</v>
      </c>
      <c r="J74" s="158">
        <f>-'5.  2015-2020 LRAM'!AE760</f>
        <v>0</v>
      </c>
      <c r="K74" s="158">
        <f>-'5.  2015-2020 LRAM'!AF760</f>
        <v>0</v>
      </c>
      <c r="L74" s="158">
        <f>-'5.  2015-2020 LRAM'!AG760</f>
        <v>0</v>
      </c>
      <c r="M74" s="158">
        <f>-'5.  2015-2020 LRAM'!AH760</f>
        <v>0</v>
      </c>
      <c r="N74" s="158">
        <f>-'5.  2015-2020 LRAM'!AI760</f>
        <v>0</v>
      </c>
      <c r="O74" s="158">
        <f>-'5.  2015-2020 LRAM'!AJ760</f>
        <v>0</v>
      </c>
      <c r="P74" s="158">
        <f>-'5.  2015-2020 LRAM'!AK760</f>
        <v>0</v>
      </c>
      <c r="Q74" s="158">
        <f>-'5.  2015-2020 LRAM'!AL760</f>
        <v>0</v>
      </c>
      <c r="R74" s="159">
        <f>SUM(D74:Q74)</f>
        <v>0</v>
      </c>
      <c r="S74" s="160"/>
      <c r="U74" s="154"/>
      <c r="V74" s="155"/>
    </row>
    <row r="75" spans="2:22" s="138" customFormat="1" hidden="1">
      <c r="B75" s="625" t="s">
        <v>67</v>
      </c>
      <c r="C75" s="621"/>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LRAM'!Y943</f>
        <v>0</v>
      </c>
      <c r="E76" s="158">
        <f>'5.  2015-2020 LRAM'!Z943</f>
        <v>0</v>
      </c>
      <c r="F76" s="158">
        <f>'5.  2015-2020 LRAM'!AA943</f>
        <v>0</v>
      </c>
      <c r="G76" s="158">
        <f>'5.  2015-2020 LRAM'!AB943</f>
        <v>0</v>
      </c>
      <c r="H76" s="158">
        <f>'5.  2015-2020 LRAM'!AC943</f>
        <v>0</v>
      </c>
      <c r="I76" s="158">
        <f>'5.  2015-2020 LRAM'!AD943</f>
        <v>0</v>
      </c>
      <c r="J76" s="158">
        <f>'5.  2015-2020 LRAM'!AE943</f>
        <v>0</v>
      </c>
      <c r="K76" s="158">
        <f>'5.  2015-2020 LRAM'!AF943</f>
        <v>0</v>
      </c>
      <c r="L76" s="158">
        <f>'5.  2015-2020 LRAM'!AG943</f>
        <v>0</v>
      </c>
      <c r="M76" s="158">
        <f>'5.  2015-2020 LRAM'!AH943</f>
        <v>0</v>
      </c>
      <c r="N76" s="158">
        <f>'5.  2015-2020 LRAM'!AI943</f>
        <v>0</v>
      </c>
      <c r="O76" s="158">
        <f>'5.  2015-2020 LRAM'!AJ943</f>
        <v>0</v>
      </c>
      <c r="P76" s="158">
        <f>'5.  2015-2020 LRAM'!AK943</f>
        <v>0</v>
      </c>
      <c r="Q76" s="158">
        <f>'5.  2015-2020 LRAM'!AL943</f>
        <v>0</v>
      </c>
      <c r="R76" s="159">
        <f>SUM(D76:Q76)</f>
        <v>0</v>
      </c>
      <c r="U76" s="154"/>
      <c r="V76" s="155"/>
    </row>
    <row r="77" spans="2:22" s="165" customFormat="1" hidden="1">
      <c r="B77" s="156" t="s">
        <v>231</v>
      </c>
      <c r="C77" s="157"/>
      <c r="D77" s="158">
        <f>-'5.  2015-2020 LRAM'!Y944</f>
        <v>0</v>
      </c>
      <c r="E77" s="158">
        <f>-'5.  2015-2020 LRAM'!Z944</f>
        <v>0</v>
      </c>
      <c r="F77" s="158">
        <f>-'5.  2015-2020 LRAM'!AA944</f>
        <v>0</v>
      </c>
      <c r="G77" s="158">
        <f>-'5.  2015-2020 LRAM'!AB944</f>
        <v>0</v>
      </c>
      <c r="H77" s="158">
        <f>-'5.  2015-2020 LRAM'!AC944</f>
        <v>0</v>
      </c>
      <c r="I77" s="158">
        <f>-'5.  2015-2020 LRAM'!AD944</f>
        <v>0</v>
      </c>
      <c r="J77" s="158">
        <f>-'5.  2015-2020 LRAM'!AE944</f>
        <v>0</v>
      </c>
      <c r="K77" s="158">
        <f>-'5.  2015-2020 LRAM'!AF944</f>
        <v>0</v>
      </c>
      <c r="L77" s="158">
        <f>-'5.  2015-2020 LRAM'!AG944</f>
        <v>0</v>
      </c>
      <c r="M77" s="158">
        <f>-'5.  2015-2020 LRAM'!AH944</f>
        <v>0</v>
      </c>
      <c r="N77" s="158">
        <f>-'5.  2015-2020 LRAM'!AI944</f>
        <v>0</v>
      </c>
      <c r="O77" s="158">
        <f>-'5.  2015-2020 LRAM'!AJ944</f>
        <v>0</v>
      </c>
      <c r="P77" s="158">
        <f>-'5.  2015-2020 LRAM'!AK944</f>
        <v>0</v>
      </c>
      <c r="Q77" s="158">
        <f>-'5.  2015-2020 LRAM'!AL944</f>
        <v>0</v>
      </c>
      <c r="R77" s="159">
        <f>SUM(D77:Q77)</f>
        <v>0</v>
      </c>
      <c r="S77" s="160"/>
      <c r="U77" s="154"/>
      <c r="V77" s="155"/>
    </row>
    <row r="78" spans="2:22" s="138" customFormat="1" hidden="1">
      <c r="B78" s="625" t="s">
        <v>67</v>
      </c>
      <c r="C78" s="621"/>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5"/>
      <c r="D79" s="158">
        <f>'5.  2015-2020 LRAM'!Y1127</f>
        <v>0</v>
      </c>
      <c r="E79" s="158">
        <f>'5.  2015-2020 LRAM'!Z1127</f>
        <v>0</v>
      </c>
      <c r="F79" s="158">
        <f>'5.  2015-2020 LRAM'!AA1127</f>
        <v>0</v>
      </c>
      <c r="G79" s="158">
        <f>'5.  2015-2020 LRAM'!AB1127</f>
        <v>0</v>
      </c>
      <c r="H79" s="158">
        <f>'5.  2015-2020 LRAM'!AC1127</f>
        <v>0</v>
      </c>
      <c r="I79" s="158">
        <f>'5.  2015-2020 LRAM'!AD1127</f>
        <v>0</v>
      </c>
      <c r="J79" s="158">
        <f>'5.  2015-2020 LRAM'!AE1127</f>
        <v>0</v>
      </c>
      <c r="K79" s="158">
        <f>'5.  2015-2020 LRAM'!AF1127</f>
        <v>0</v>
      </c>
      <c r="L79" s="158">
        <f>'5.  2015-2020 LRAM'!AG1127</f>
        <v>0</v>
      </c>
      <c r="M79" s="158">
        <f>'5.  2015-2020 LRAM'!AH1127</f>
        <v>0</v>
      </c>
      <c r="N79" s="158">
        <f>'5.  2015-2020 LRAM'!AI1127</f>
        <v>0</v>
      </c>
      <c r="O79" s="158">
        <f>'5.  2015-2020 LRAM'!AJ1127</f>
        <v>0</v>
      </c>
      <c r="P79" s="158">
        <f>'5.  2015-2020 LRAM'!AK1127</f>
        <v>0</v>
      </c>
      <c r="Q79" s="158">
        <f>'5.  2015-2020 LRAM'!AL1127</f>
        <v>0</v>
      </c>
      <c r="R79" s="159">
        <f>SUM(D79:Q79)</f>
        <v>0</v>
      </c>
      <c r="U79" s="154"/>
      <c r="V79" s="155"/>
    </row>
    <row r="80" spans="2:22" s="165" customFormat="1" hidden="1">
      <c r="B80" s="156" t="s">
        <v>233</v>
      </c>
      <c r="C80" s="157"/>
      <c r="D80" s="158">
        <f>-'5.  2015-2020 LRAM'!Y1128</f>
        <v>0</v>
      </c>
      <c r="E80" s="158">
        <f>-'5.  2015-2020 LRAM'!Z1128</f>
        <v>0</v>
      </c>
      <c r="F80" s="158">
        <f>-'5.  2015-2020 LRAM'!AA1128</f>
        <v>0</v>
      </c>
      <c r="G80" s="158">
        <f>-'5.  2015-2020 LRAM'!AB1128</f>
        <v>0</v>
      </c>
      <c r="H80" s="158">
        <f>-'5.  2015-2020 LRAM'!AC1128</f>
        <v>0</v>
      </c>
      <c r="I80" s="158">
        <f>-'5.  2015-2020 LRAM'!AD1128</f>
        <v>0</v>
      </c>
      <c r="J80" s="158">
        <f>-'5.  2015-2020 LRAM'!AE1128</f>
        <v>0</v>
      </c>
      <c r="K80" s="158">
        <f>-'5.  2015-2020 LRAM'!AF1128</f>
        <v>0</v>
      </c>
      <c r="L80" s="158">
        <f>-'5.  2015-2020 LRAM'!AG1128</f>
        <v>0</v>
      </c>
      <c r="M80" s="158">
        <f>-'5.  2015-2020 LRAM'!AH1128</f>
        <v>0</v>
      </c>
      <c r="N80" s="158">
        <f>-'5.  2015-2020 LRAM'!AI1128</f>
        <v>0</v>
      </c>
      <c r="O80" s="158">
        <f>-'5.  2015-2020 LRAM'!AJ1128</f>
        <v>0</v>
      </c>
      <c r="P80" s="158">
        <f>-'5.  2015-2020 LRAM'!AK1128</f>
        <v>0</v>
      </c>
      <c r="Q80" s="158">
        <f>-'5.  2015-2020 LRAM'!AL1128</f>
        <v>0</v>
      </c>
      <c r="R80" s="159">
        <f>SUM(D80:Q80)</f>
        <v>0</v>
      </c>
      <c r="S80" s="160"/>
      <c r="U80" s="154"/>
      <c r="V80" s="155"/>
    </row>
    <row r="81" spans="2:22" s="138" customFormat="1" hidden="1">
      <c r="B81" s="625" t="s">
        <v>67</v>
      </c>
      <c r="C81" s="621"/>
      <c r="D81" s="162"/>
      <c r="E81" s="162"/>
      <c r="F81" s="162"/>
      <c r="G81" s="162"/>
      <c r="H81" s="162"/>
      <c r="I81" s="162"/>
      <c r="J81" s="162"/>
      <c r="K81" s="163"/>
      <c r="L81" s="163"/>
      <c r="M81" s="163"/>
      <c r="N81" s="163"/>
      <c r="O81" s="163"/>
      <c r="P81" s="163"/>
      <c r="Q81" s="163"/>
      <c r="R81" s="164"/>
      <c r="U81" s="161"/>
      <c r="V81" s="155"/>
    </row>
    <row r="82" spans="2:22" s="17" customFormat="1" ht="20.25" customHeight="1">
      <c r="B82" s="622" t="s">
        <v>43</v>
      </c>
      <c r="C82" s="621"/>
      <c r="D82" s="679">
        <f>'6.  Carrying Charges'!I147</f>
        <v>1680.9401308291222</v>
      </c>
      <c r="E82" s="679">
        <f>'6.  Carrying Charges'!J147</f>
        <v>2933.6360634970406</v>
      </c>
      <c r="F82" s="679">
        <f>'6.  Carrying Charges'!K147</f>
        <v>-1058.8512161135677</v>
      </c>
      <c r="G82" s="679">
        <f>'6.  Carrying Charges'!L147</f>
        <v>-137.45738262666674</v>
      </c>
      <c r="H82" s="679">
        <f>'6.  Carrying Charges'!M147</f>
        <v>-2.5710319866666671</v>
      </c>
      <c r="I82" s="679">
        <f>'6.  Carrying Charges'!N102</f>
        <v>0</v>
      </c>
      <c r="J82" s="679">
        <f>'6.  Carrying Charges'!O102</f>
        <v>0</v>
      </c>
      <c r="K82" s="679">
        <f>'6.  Carrying Charges'!P102</f>
        <v>0</v>
      </c>
      <c r="L82" s="679">
        <f>'6.  Carrying Charges'!Q102</f>
        <v>0</v>
      </c>
      <c r="M82" s="679">
        <f>'6.  Carrying Charges'!R102</f>
        <v>0</v>
      </c>
      <c r="N82" s="679">
        <f>'6.  Carrying Charges'!S102</f>
        <v>0</v>
      </c>
      <c r="O82" s="679">
        <f>'6.  Carrying Charges'!T102</f>
        <v>0</v>
      </c>
      <c r="P82" s="679">
        <f>'6.  Carrying Charges'!U102</f>
        <v>0</v>
      </c>
      <c r="Q82" s="679">
        <f>'6.  Carrying Charges'!V102</f>
        <v>0</v>
      </c>
      <c r="R82" s="680">
        <f>SUM(D82:Q82)</f>
        <v>3415.696563599261</v>
      </c>
      <c r="U82" s="154"/>
      <c r="V82" s="155"/>
    </row>
    <row r="83" spans="2:22" s="165" customFormat="1" ht="21.75" customHeight="1">
      <c r="B83" s="623" t="s">
        <v>241</v>
      </c>
      <c r="C83" s="624"/>
      <c r="D83" s="623">
        <f>SUM(D52:D75)+D82</f>
        <v>37817.238178033462</v>
      </c>
      <c r="E83" s="623">
        <f>SUM(E52:E75)+E82</f>
        <v>65999.979241505804</v>
      </c>
      <c r="F83" s="623">
        <f>SUM(F52:F75)+F82</f>
        <v>-23821.6863887449</v>
      </c>
      <c r="G83" s="623">
        <f>SUM(G52:G75)+G82</f>
        <v>-3092.4709826266667</v>
      </c>
      <c r="H83" s="623">
        <f>SUM(H52:H75)+H82</f>
        <v>-57.842231986666668</v>
      </c>
      <c r="I83" s="623">
        <f t="shared" ref="I83:Q83" si="2">SUM(I52:I69)+I82</f>
        <v>0</v>
      </c>
      <c r="J83" s="623">
        <f t="shared" si="2"/>
        <v>0</v>
      </c>
      <c r="K83" s="623">
        <f t="shared" si="2"/>
        <v>0</v>
      </c>
      <c r="L83" s="623">
        <f t="shared" si="2"/>
        <v>0</v>
      </c>
      <c r="M83" s="623">
        <f t="shared" si="2"/>
        <v>0</v>
      </c>
      <c r="N83" s="623">
        <f t="shared" si="2"/>
        <v>0</v>
      </c>
      <c r="O83" s="623">
        <f t="shared" si="2"/>
        <v>0</v>
      </c>
      <c r="P83" s="623">
        <f t="shared" si="2"/>
        <v>0</v>
      </c>
      <c r="Q83" s="623">
        <f t="shared" si="2"/>
        <v>0</v>
      </c>
      <c r="R83" s="623">
        <f>SUM(R52:R69)+R82</f>
        <v>76845.21781618103</v>
      </c>
      <c r="U83" s="154"/>
      <c r="V83" s="155"/>
    </row>
    <row r="84" spans="2:22" ht="20.25" customHeight="1">
      <c r="B84" s="455" t="s">
        <v>538</v>
      </c>
      <c r="C84" s="602"/>
      <c r="D84" s="601"/>
      <c r="E84" s="601"/>
      <c r="F84" s="601"/>
      <c r="G84" s="601"/>
      <c r="H84" s="601"/>
      <c r="I84" s="601"/>
      <c r="J84" s="601"/>
      <c r="K84" s="601"/>
      <c r="L84" s="601"/>
      <c r="M84" s="601"/>
      <c r="N84" s="601"/>
      <c r="O84" s="601"/>
      <c r="P84" s="601"/>
      <c r="Q84" s="601"/>
      <c r="R84" s="601"/>
      <c r="V84" s="13"/>
    </row>
    <row r="85" spans="2:22" ht="20.25" customHeight="1">
      <c r="B85" s="620"/>
      <c r="C85" s="68"/>
      <c r="E85" s="9"/>
      <c r="V85" s="13"/>
    </row>
    <row r="86" spans="2:22" ht="15">
      <c r="E86" s="9"/>
    </row>
    <row r="87" spans="2:22" ht="21" hidden="1" customHeight="1">
      <c r="B87" s="120" t="s">
        <v>539</v>
      </c>
      <c r="F87" s="589"/>
    </row>
    <row r="88" spans="2:22" s="549" customFormat="1" ht="27.75" hidden="1" customHeight="1">
      <c r="B88" s="570" t="s">
        <v>559</v>
      </c>
      <c r="C88" s="566"/>
      <c r="D88" s="566"/>
      <c r="E88" s="573"/>
      <c r="F88" s="566"/>
      <c r="G88" s="566"/>
      <c r="H88" s="566"/>
      <c r="I88" s="566"/>
      <c r="J88" s="566"/>
      <c r="T88" s="550"/>
      <c r="U88" s="550"/>
    </row>
    <row r="89" spans="2:22" ht="11.25" hidden="1" customHeight="1">
      <c r="B89" s="112"/>
    </row>
    <row r="90" spans="2:22" s="562" customFormat="1" ht="25.5" hidden="1" customHeight="1">
      <c r="B90" s="564"/>
      <c r="C90" s="560">
        <v>2011</v>
      </c>
      <c r="D90" s="560">
        <v>2012</v>
      </c>
      <c r="E90" s="560">
        <v>2013</v>
      </c>
      <c r="F90" s="560">
        <v>2014</v>
      </c>
      <c r="G90" s="560">
        <v>2015</v>
      </c>
      <c r="H90" s="560">
        <v>2016</v>
      </c>
      <c r="I90" s="560">
        <v>2017</v>
      </c>
      <c r="J90" s="560">
        <v>2018</v>
      </c>
      <c r="K90" s="560">
        <v>2019</v>
      </c>
      <c r="L90" s="560">
        <v>2020</v>
      </c>
      <c r="M90" s="561" t="s">
        <v>26</v>
      </c>
      <c r="T90" s="563"/>
      <c r="U90" s="563"/>
    </row>
    <row r="91" spans="2:22" s="92" customFormat="1" ht="23.25" hidden="1" customHeight="1">
      <c r="B91" s="200">
        <v>2011</v>
      </c>
      <c r="C91" s="555">
        <f>'4.  2011-2014 LRAM'!AM131</f>
        <v>9244.9669652246484</v>
      </c>
      <c r="D91" s="556">
        <f>SUM('4.  2011-2014 LRAM'!Y259:AL259)</f>
        <v>9256.729708014409</v>
      </c>
      <c r="E91" s="556">
        <f>SUM('4.  2011-2014 LRAM'!Y388:AL388)</f>
        <v>9690.2931107264467</v>
      </c>
      <c r="F91" s="557">
        <f>SUM('4.  2011-2014 LRAM'!Y517:AL517)</f>
        <v>9851.9720558461122</v>
      </c>
      <c r="G91" s="557">
        <f>SUM('5.  2015-2020 LRAM'!Y199:AL199)</f>
        <v>9389.4754856566033</v>
      </c>
      <c r="H91" s="556">
        <f>SUM('5.  2015-2020 LRAM'!Y385:AL385)</f>
        <v>7925.644270104588</v>
      </c>
      <c r="I91" s="557">
        <f>SUM('5.  2015-2020 LRAM'!Y568:AL568)</f>
        <v>5914.2674687928411</v>
      </c>
      <c r="J91" s="556">
        <f>SUM('5.  2015-2020 LRAM'!Y751:AL751)</f>
        <v>5211.6115828638231</v>
      </c>
      <c r="K91" s="556">
        <f>SUM('5.  2015-2020 LRAM'!Y934:AL934)</f>
        <v>0</v>
      </c>
      <c r="L91" s="556">
        <f>SUM('5.  2015-2020 LRAM'!Y1117:AL1117)</f>
        <v>0</v>
      </c>
      <c r="M91" s="556">
        <f>SUM(C91:L91)</f>
        <v>66484.960647229469</v>
      </c>
      <c r="T91" s="199"/>
      <c r="U91" s="199"/>
    </row>
    <row r="92" spans="2:22" s="92" customFormat="1" ht="23.25" hidden="1" customHeight="1">
      <c r="B92" s="200">
        <v>2012</v>
      </c>
      <c r="C92" s="558"/>
      <c r="D92" s="557">
        <f>SUM('4.  2011-2014 LRAM'!Y260:AL260)</f>
        <v>19092.144128927968</v>
      </c>
      <c r="E92" s="556">
        <f>SUM('4.  2011-2014 LRAM'!Y389:AL389)</f>
        <v>19800.193507441854</v>
      </c>
      <c r="F92" s="557">
        <f>SUM('4.  2011-2014 LRAM'!Y518:AL518)</f>
        <v>22436.908561039458</v>
      </c>
      <c r="G92" s="557">
        <f>SUM('5.  2015-2020 LRAM'!Y200:AL200)</f>
        <v>21100.484744945374</v>
      </c>
      <c r="H92" s="556">
        <f>SUM('5.  2015-2020 LRAM'!Y386:AL386)</f>
        <v>20618.192450250866</v>
      </c>
      <c r="I92" s="557">
        <f>SUM('5.  2015-2020 LRAM'!Y569:AL569)</f>
        <v>18267.061270741797</v>
      </c>
      <c r="J92" s="556">
        <f>SUM('5.  2015-2020 LRAM'!Y752:AL752)</f>
        <v>17550.130990760834</v>
      </c>
      <c r="K92" s="556">
        <f>SUM('5.  2015-2020 LRAM'!Y935:AL935)</f>
        <v>0</v>
      </c>
      <c r="L92" s="556">
        <f>SUM('5.  2015-2020 LRAM'!Y1118:AL1118)</f>
        <v>0</v>
      </c>
      <c r="M92" s="556">
        <f>SUM(D92:L92)</f>
        <v>138865.11565410814</v>
      </c>
      <c r="T92" s="199"/>
      <c r="U92" s="199"/>
    </row>
    <row r="93" spans="2:22" s="92" customFormat="1" ht="23.25" hidden="1" customHeight="1">
      <c r="B93" s="200">
        <v>2013</v>
      </c>
      <c r="C93" s="559"/>
      <c r="D93" s="559"/>
      <c r="E93" s="557">
        <f>SUM('4.  2011-2014 LRAM'!Y390:AL390)</f>
        <v>19458.491601667793</v>
      </c>
      <c r="F93" s="557">
        <f>SUM('4.  2011-2014 LRAM'!Y519:AL519)</f>
        <v>21869.118430028284</v>
      </c>
      <c r="G93" s="557">
        <f>SUM('5.  2015-2020 LRAM'!Y201:AL201)</f>
        <v>21667.034881278854</v>
      </c>
      <c r="H93" s="556">
        <f>SUM('5.  2015-2020 LRAM'!Y387:AL387)</f>
        <v>20088.031335389078</v>
      </c>
      <c r="I93" s="557">
        <f>SUM('5.  2015-2020 LRAM'!Y570:AL570)</f>
        <v>17925.777483748894</v>
      </c>
      <c r="J93" s="556">
        <f>SUM('5.  2015-2020 LRAM'!Y753:AL753)</f>
        <v>17140.138383714562</v>
      </c>
      <c r="K93" s="556">
        <f>SUM('5.  2015-2020 LRAM'!Y936:AL936)</f>
        <v>0</v>
      </c>
      <c r="L93" s="556">
        <f>SUM('5.  2015-2020 LRAM'!Y1119:AL1119)</f>
        <v>0</v>
      </c>
      <c r="M93" s="556">
        <f>SUM(C93:L93)</f>
        <v>118148.59211582749</v>
      </c>
      <c r="T93" s="199"/>
      <c r="U93" s="199"/>
    </row>
    <row r="94" spans="2:22" s="92" customFormat="1" ht="23.25" hidden="1" customHeight="1">
      <c r="B94" s="200">
        <v>2014</v>
      </c>
      <c r="C94" s="559"/>
      <c r="D94" s="559"/>
      <c r="E94" s="559"/>
      <c r="F94" s="557">
        <f>SUM('4.  2011-2014 LRAM'!Y520:AL520)</f>
        <v>33623.917604630478</v>
      </c>
      <c r="G94" s="557">
        <f>SUM('5.  2015-2020 LRAM'!Y202:AL202)</f>
        <v>32616.644552784208</v>
      </c>
      <c r="H94" s="556">
        <f>SUM('5.  2015-2020 LRAM'!Y388:AL388)</f>
        <v>26428.348103604498</v>
      </c>
      <c r="I94" s="557">
        <f>SUM('5.  2015-2020 LRAM'!Y571:AL571)</f>
        <v>23074.955225433245</v>
      </c>
      <c r="J94" s="556">
        <f>SUM('5.  2015-2020 LRAM'!Y754:AL754)</f>
        <v>18855.333538309082</v>
      </c>
      <c r="K94" s="556">
        <f>SUM('5.  2015-2020 LRAM'!Y937:AL937)</f>
        <v>0</v>
      </c>
      <c r="L94" s="556">
        <f>SUM('5.  2015-2020 LRAM'!Y1120:AL1120)</f>
        <v>0</v>
      </c>
      <c r="M94" s="556">
        <f>SUM(F94:L94)</f>
        <v>134599.1990247615</v>
      </c>
      <c r="T94" s="199"/>
      <c r="U94" s="199"/>
    </row>
    <row r="95" spans="2:22" s="92" customFormat="1" ht="23.25" hidden="1" customHeight="1">
      <c r="B95" s="200">
        <v>2015</v>
      </c>
      <c r="C95" s="559"/>
      <c r="D95" s="559"/>
      <c r="E95" s="559"/>
      <c r="F95" s="559"/>
      <c r="G95" s="557">
        <f>SUM('5.  2015-2020 LRAM'!Y203:AL203)</f>
        <v>26364.771610266485</v>
      </c>
      <c r="H95" s="556">
        <f>SUM('5.  2015-2020 LRAM'!Y389:AL389)</f>
        <v>24820.021574722407</v>
      </c>
      <c r="I95" s="557">
        <f>SUM('5.  2015-2020 LRAM'!Y572:AL572)</f>
        <v>22264.278426896475</v>
      </c>
      <c r="J95" s="556">
        <f>SUM('5.  2015-2020 LRAM'!Y755:AL755)</f>
        <v>20019.327886224233</v>
      </c>
      <c r="K95" s="556">
        <f>SUM('5.  2015-2020 LRAM'!Y938:AL938)</f>
        <v>0</v>
      </c>
      <c r="L95" s="556">
        <f>SUM('5.  2015-2020 LRAM'!Y1121:AL1121)</f>
        <v>0</v>
      </c>
      <c r="M95" s="556">
        <f>SUM(G95:L95)</f>
        <v>93468.399498109589</v>
      </c>
      <c r="T95" s="199"/>
      <c r="U95" s="199"/>
    </row>
    <row r="96" spans="2:22" s="92" customFormat="1" ht="23.25" hidden="1" customHeight="1">
      <c r="B96" s="200">
        <v>2016</v>
      </c>
      <c r="C96" s="559"/>
      <c r="D96" s="559"/>
      <c r="E96" s="559"/>
      <c r="F96" s="559"/>
      <c r="G96" s="559"/>
      <c r="H96" s="556">
        <f>SUM('5.  2015-2020 LRAM'!Y390:AL390)</f>
        <v>41097.406118510335</v>
      </c>
      <c r="I96" s="557">
        <f>SUM('5.  2015-2020 LRAM'!Y573:AL573)</f>
        <v>28561.677106211588</v>
      </c>
      <c r="J96" s="556">
        <f>SUM('5.  2015-2020 LRAM'!Y756:AL756)</f>
        <v>21064.929317273825</v>
      </c>
      <c r="K96" s="556">
        <f>SUM('5.  2015-2020 LRAM'!Y939:AL939)</f>
        <v>0</v>
      </c>
      <c r="L96" s="556">
        <f>SUM('5.  2015-2020 LRAM'!Y1122:AL1122)</f>
        <v>0</v>
      </c>
      <c r="M96" s="556">
        <f>SUM(H96:L96)</f>
        <v>90724.012541995748</v>
      </c>
      <c r="T96" s="199"/>
      <c r="U96" s="199"/>
    </row>
    <row r="97" spans="2:21" s="92" customFormat="1" ht="23.25" hidden="1" customHeight="1">
      <c r="B97" s="200">
        <v>2017</v>
      </c>
      <c r="C97" s="559"/>
      <c r="D97" s="559"/>
      <c r="E97" s="559"/>
      <c r="F97" s="559"/>
      <c r="G97" s="559"/>
      <c r="H97" s="559"/>
      <c r="I97" s="556">
        <f>SUM('5.  2015-2020 LRAM'!Y574:AL574)</f>
        <v>104640.22467515952</v>
      </c>
      <c r="J97" s="556">
        <f>SUM('5.  2015-2020 LRAM'!Y757:AL757)</f>
        <v>80587.283146155169</v>
      </c>
      <c r="K97" s="556">
        <f>SUM('5.  2015-2020 LRAM'!Y940:AL940)</f>
        <v>0</v>
      </c>
      <c r="L97" s="556">
        <f>SUM('5.  2015-2020 LRAM'!Y1123:AL1123)</f>
        <v>0</v>
      </c>
      <c r="M97" s="556">
        <f>SUM(I97:L97)</f>
        <v>185227.50782131468</v>
      </c>
      <c r="T97" s="199"/>
      <c r="U97" s="199"/>
    </row>
    <row r="98" spans="2:21" s="92" customFormat="1" ht="23.25" hidden="1" customHeight="1">
      <c r="B98" s="200">
        <v>2018</v>
      </c>
      <c r="C98" s="559"/>
      <c r="D98" s="559"/>
      <c r="E98" s="559"/>
      <c r="F98" s="559"/>
      <c r="G98" s="559"/>
      <c r="H98" s="559"/>
      <c r="I98" s="559"/>
      <c r="J98" s="556">
        <f>SUM('5.  2015-2020 LRAM'!Y758:AL758)</f>
        <v>4815.6126224489599</v>
      </c>
      <c r="K98" s="556">
        <f>SUM('5.  2015-2020 LRAM'!Y941:AL941)</f>
        <v>0</v>
      </c>
      <c r="L98" s="556">
        <f>SUM('5.  2015-2020 LRAM'!Y1124:AL1124)</f>
        <v>0</v>
      </c>
      <c r="M98" s="556">
        <f>SUM(J98:L98)</f>
        <v>4815.6126224489599</v>
      </c>
      <c r="T98" s="199"/>
      <c r="U98" s="199"/>
    </row>
    <row r="99" spans="2:21" s="92" customFormat="1" ht="23.25" hidden="1" customHeight="1">
      <c r="B99" s="200">
        <v>2019</v>
      </c>
      <c r="C99" s="559"/>
      <c r="D99" s="559"/>
      <c r="E99" s="559"/>
      <c r="F99" s="559"/>
      <c r="G99" s="559"/>
      <c r="H99" s="559"/>
      <c r="I99" s="559"/>
      <c r="J99" s="559"/>
      <c r="K99" s="556">
        <f>SUM('5.  2015-2020 LRAM'!Y942:AL942)</f>
        <v>0</v>
      </c>
      <c r="L99" s="556">
        <f>SUM('5.  2015-2020 LRAM'!Y1125:AL1125)</f>
        <v>0</v>
      </c>
      <c r="M99" s="556">
        <f>SUM(K99:L99)</f>
        <v>0</v>
      </c>
      <c r="T99" s="199"/>
      <c r="U99" s="199"/>
    </row>
    <row r="100" spans="2:21" s="92" customFormat="1" ht="23.25" hidden="1" customHeight="1">
      <c r="B100" s="200">
        <v>2020</v>
      </c>
      <c r="C100" s="559"/>
      <c r="D100" s="559"/>
      <c r="E100" s="559"/>
      <c r="F100" s="559"/>
      <c r="G100" s="559"/>
      <c r="H100" s="559"/>
      <c r="I100" s="559"/>
      <c r="J100" s="559"/>
      <c r="K100" s="559"/>
      <c r="L100" s="558">
        <f>SUM('5.  2015-2020 LRAM'!Y1126:AL1126)</f>
        <v>0</v>
      </c>
      <c r="M100" s="558">
        <f>L100</f>
        <v>0</v>
      </c>
      <c r="T100" s="199"/>
      <c r="U100" s="199"/>
    </row>
    <row r="101" spans="2:21" s="198" customFormat="1" ht="24" hidden="1" customHeight="1">
      <c r="B101" s="571" t="s">
        <v>521</v>
      </c>
      <c r="C101" s="555">
        <f>C91</f>
        <v>9244.9669652246484</v>
      </c>
      <c r="D101" s="556">
        <f>D91+D92</f>
        <v>28348.873836942377</v>
      </c>
      <c r="E101" s="556">
        <f>E91+E92+E93</f>
        <v>48948.978219836092</v>
      </c>
      <c r="F101" s="556">
        <f>F91+F92+F93+F94</f>
        <v>87781.916651544336</v>
      </c>
      <c r="G101" s="556">
        <f>G91+G92+G93+G94+G95</f>
        <v>111138.41127493152</v>
      </c>
      <c r="H101" s="556">
        <f>H91+H92+H93+H94+H95+H96</f>
        <v>140977.64385258179</v>
      </c>
      <c r="I101" s="556">
        <f>I91+I92+I93+I94+I95+I96+I97</f>
        <v>220648.24165698438</v>
      </c>
      <c r="J101" s="556">
        <f>J91+J92+J93+J94+J95+J96+J97+J98</f>
        <v>185244.3674677505</v>
      </c>
      <c r="K101" s="556">
        <f>K91+K92+K93+K94+K95+K96+K97+K98+K99</f>
        <v>0</v>
      </c>
      <c r="L101" s="556">
        <f>SUM(L91:L100)</f>
        <v>0</v>
      </c>
      <c r="M101" s="556">
        <f>SUM(M91:M100)</f>
        <v>832333.39992579562</v>
      </c>
      <c r="T101" s="201"/>
      <c r="U101" s="201"/>
    </row>
    <row r="102" spans="2:21" s="27" customFormat="1" ht="24.75" hidden="1" customHeight="1">
      <c r="B102" s="572" t="s">
        <v>520</v>
      </c>
      <c r="C102" s="554">
        <f>'4.  2011-2014 LRAM'!AM132</f>
        <v>0</v>
      </c>
      <c r="D102" s="554">
        <f>'4.  2011-2014 LRAM'!AM262</f>
        <v>0</v>
      </c>
      <c r="E102" s="554">
        <f>'4.  2011-2014 LRAM'!AM392</f>
        <v>61929.956399999995</v>
      </c>
      <c r="F102" s="554">
        <f>'4.  2011-2014 LRAM'!AM522</f>
        <v>69920.1446</v>
      </c>
      <c r="G102" s="554">
        <f>'5.  2015-2020 LRAM'!AM205</f>
        <v>70517.137900000002</v>
      </c>
      <c r="H102" s="554">
        <f>'5.  2015-2020 LRAM'!AM392</f>
        <v>67548.122600000002</v>
      </c>
      <c r="I102" s="554">
        <f>'5.  2015-2020 LRAM'!AM576</f>
        <v>61939.65159999999</v>
      </c>
      <c r="J102" s="554">
        <f>'5.  2015-2020 LRAM'!AM760</f>
        <v>55801.156200000005</v>
      </c>
      <c r="K102" s="554">
        <f>'5.  2015-2020 LRAM'!AM944</f>
        <v>0</v>
      </c>
      <c r="L102" s="554">
        <f>'5.  2015-2020 LRAM'!AM1128</f>
        <v>0</v>
      </c>
      <c r="M102" s="556">
        <f>SUM(C102:L102)</f>
        <v>387656.16930000001</v>
      </c>
      <c r="T102" s="91"/>
      <c r="U102" s="91"/>
    </row>
    <row r="103" spans="2:21" ht="24.75" hidden="1" customHeight="1">
      <c r="B103" s="572" t="s">
        <v>43</v>
      </c>
      <c r="C103" s="554">
        <f>'6.  Carrying Charges'!W27</f>
        <v>0</v>
      </c>
      <c r="D103" s="554">
        <f>'6.  Carrying Charges'!W42</f>
        <v>0</v>
      </c>
      <c r="E103" s="554">
        <f>'6.  Carrying Charges'!W57</f>
        <v>0</v>
      </c>
      <c r="F103" s="554">
        <f>'6.  Carrying Charges'!W72</f>
        <v>0</v>
      </c>
      <c r="G103" s="554">
        <f>'6.  Carrying Charges'!W87</f>
        <v>0</v>
      </c>
      <c r="H103" s="554">
        <f>'6.  Carrying Charges'!W102</f>
        <v>370.20716964843308</v>
      </c>
      <c r="I103" s="554">
        <f>'6.  Carrying Charges'!W117</f>
        <v>1251.3614246794145</v>
      </c>
      <c r="J103" s="554">
        <f>'6.  Carrying Charges'!W132</f>
        <v>2618.9862580087502</v>
      </c>
      <c r="K103" s="554">
        <f>'6.  Carrying Charges'!W147</f>
        <v>3415.6965635992638</v>
      </c>
      <c r="L103" s="554">
        <f>'6.  Carrying Charges'!W162</f>
        <v>3415.6965635992638</v>
      </c>
      <c r="M103" s="556">
        <f>SUM(C103:L103)</f>
        <v>11071.947979535125</v>
      </c>
    </row>
    <row r="104" spans="2:21" ht="23.25" hidden="1" customHeight="1">
      <c r="B104" s="571" t="s">
        <v>26</v>
      </c>
      <c r="C104" s="554">
        <f>C101-C102+C103</f>
        <v>9244.9669652246484</v>
      </c>
      <c r="D104" s="554">
        <f t="shared" ref="D104:J104" si="3">D101-D102+D103</f>
        <v>28348.873836942377</v>
      </c>
      <c r="E104" s="554">
        <f t="shared" si="3"/>
        <v>-12980.978180163904</v>
      </c>
      <c r="F104" s="554">
        <f t="shared" si="3"/>
        <v>17861.772051544336</v>
      </c>
      <c r="G104" s="554">
        <f t="shared" si="3"/>
        <v>40621.273374931523</v>
      </c>
      <c r="H104" s="554">
        <f t="shared" si="3"/>
        <v>73799.728422230226</v>
      </c>
      <c r="I104" s="554">
        <f t="shared" si="3"/>
        <v>159959.9514816638</v>
      </c>
      <c r="J104" s="554">
        <f t="shared" si="3"/>
        <v>132062.19752575926</v>
      </c>
      <c r="K104" s="554">
        <f>K101-K102+K103</f>
        <v>3415.6965635992638</v>
      </c>
      <c r="L104" s="554">
        <f>L101-L102+L103</f>
        <v>3415.6965635992638</v>
      </c>
      <c r="M104" s="554">
        <f>M101-M102+M103</f>
        <v>455749.17860533076</v>
      </c>
    </row>
    <row r="105" spans="2:21" hidden="1"/>
    <row r="106" spans="2:21">
      <c r="B106" s="589" t="s">
        <v>528</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505" right="0.70866141732283505" top="0.74803149606299202" bottom="0.74803149606299202" header="0.31496062992126" footer="0.31496062992126"/>
  <pageSetup scale="52" fitToHeight="2" orientation="landscape" r:id="rId1"/>
  <headerFooter>
    <oddFooter>&amp;R&amp;P of &amp;N</oddFooter>
  </headerFooter>
  <rowBreaks count="1" manualBreakCount="1">
    <brk id="4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25" zoomScale="85" zoomScaleNormal="85" workbookViewId="0"/>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172</v>
      </c>
      <c r="C14" s="128" t="s">
        <v>176</v>
      </c>
    </row>
    <row r="15" spans="2:3" ht="26.25" customHeight="1" thickBot="1">
      <c r="C15" s="130" t="s">
        <v>408</v>
      </c>
    </row>
    <row r="16" spans="2:3" ht="27" customHeight="1" thickBot="1">
      <c r="C16" s="569" t="s">
        <v>553</v>
      </c>
    </row>
    <row r="19" spans="2:8" ht="15.75">
      <c r="B19" s="537" t="s">
        <v>621</v>
      </c>
    </row>
    <row r="20" spans="2:8" ht="13.5" customHeight="1"/>
    <row r="21" spans="2:8" ht="57.75" customHeight="1">
      <c r="B21" s="818" t="s">
        <v>638</v>
      </c>
      <c r="C21" s="818"/>
      <c r="D21" s="818"/>
      <c r="E21" s="818"/>
      <c r="F21" s="818"/>
      <c r="G21" s="818"/>
      <c r="H21" s="818"/>
    </row>
    <row r="23" spans="2:8" s="609" customFormat="1" ht="15.75">
      <c r="B23" s="619" t="s">
        <v>548</v>
      </c>
      <c r="C23" s="619" t="s">
        <v>563</v>
      </c>
      <c r="D23" s="619" t="s">
        <v>547</v>
      </c>
      <c r="E23" s="854" t="s">
        <v>34</v>
      </c>
      <c r="F23" s="855"/>
      <c r="G23" s="854" t="s">
        <v>546</v>
      </c>
      <c r="H23" s="855"/>
    </row>
    <row r="24" spans="2:8">
      <c r="B24" s="608">
        <v>1</v>
      </c>
      <c r="C24" s="644"/>
      <c r="D24" s="607"/>
      <c r="E24" s="850"/>
      <c r="F24" s="851"/>
      <c r="G24" s="852"/>
      <c r="H24" s="853"/>
    </row>
    <row r="25" spans="2:8">
      <c r="B25" s="608">
        <v>2</v>
      </c>
      <c r="C25" s="644"/>
      <c r="D25" s="607"/>
      <c r="E25" s="850"/>
      <c r="F25" s="851"/>
      <c r="G25" s="852"/>
      <c r="H25" s="853"/>
    </row>
    <row r="26" spans="2:8">
      <c r="B26" s="608">
        <v>3</v>
      </c>
      <c r="C26" s="644"/>
      <c r="D26" s="607"/>
      <c r="E26" s="850"/>
      <c r="F26" s="851"/>
      <c r="G26" s="852"/>
      <c r="H26" s="853"/>
    </row>
    <row r="27" spans="2:8">
      <c r="B27" s="608">
        <v>4</v>
      </c>
      <c r="C27" s="644"/>
      <c r="D27" s="607"/>
      <c r="E27" s="850"/>
      <c r="F27" s="851"/>
      <c r="G27" s="852"/>
      <c r="H27" s="853"/>
    </row>
    <row r="28" spans="2:8">
      <c r="B28" s="608">
        <v>5</v>
      </c>
      <c r="C28" s="644"/>
      <c r="D28" s="607"/>
      <c r="E28" s="850"/>
      <c r="F28" s="851"/>
      <c r="G28" s="852"/>
      <c r="H28" s="853"/>
    </row>
    <row r="29" spans="2:8">
      <c r="B29" s="608">
        <v>6</v>
      </c>
      <c r="C29" s="644"/>
      <c r="D29" s="607"/>
      <c r="E29" s="850"/>
      <c r="F29" s="851"/>
      <c r="G29" s="852"/>
      <c r="H29" s="853"/>
    </row>
    <row r="30" spans="2:8">
      <c r="B30" s="608">
        <v>7</v>
      </c>
      <c r="C30" s="644"/>
      <c r="D30" s="607"/>
      <c r="E30" s="850"/>
      <c r="F30" s="851"/>
      <c r="G30" s="852"/>
      <c r="H30" s="853"/>
    </row>
    <row r="31" spans="2:8">
      <c r="B31" s="608">
        <v>8</v>
      </c>
      <c r="C31" s="644"/>
      <c r="D31" s="607"/>
      <c r="E31" s="850"/>
      <c r="F31" s="851"/>
      <c r="G31" s="852"/>
      <c r="H31" s="853"/>
    </row>
    <row r="32" spans="2:8">
      <c r="B32" s="608">
        <v>9</v>
      </c>
      <c r="C32" s="644"/>
      <c r="D32" s="607"/>
      <c r="E32" s="850"/>
      <c r="F32" s="851"/>
      <c r="G32" s="852"/>
      <c r="H32" s="853"/>
    </row>
    <row r="33" spans="2:8">
      <c r="B33" s="608">
        <v>10</v>
      </c>
      <c r="C33" s="644"/>
      <c r="D33" s="607"/>
      <c r="E33" s="850"/>
      <c r="F33" s="851"/>
      <c r="G33" s="852"/>
      <c r="H33" s="853"/>
    </row>
    <row r="34" spans="2:8">
      <c r="B34" s="608" t="s">
        <v>482</v>
      </c>
      <c r="C34" s="644"/>
      <c r="D34" s="607"/>
      <c r="E34" s="850"/>
      <c r="F34" s="851"/>
      <c r="G34" s="852"/>
      <c r="H34" s="853"/>
    </row>
    <row r="36" spans="2:8" ht="30.75" customHeight="1">
      <c r="B36" s="537" t="s">
        <v>616</v>
      </c>
    </row>
    <row r="37" spans="2:8" ht="23.25" customHeight="1">
      <c r="B37" s="568" t="s">
        <v>622</v>
      </c>
      <c r="C37" s="605"/>
      <c r="D37" s="605"/>
      <c r="E37" s="605"/>
      <c r="F37" s="605"/>
      <c r="G37" s="605"/>
      <c r="H37" s="605"/>
    </row>
    <row r="39" spans="2:8" s="92" customFormat="1" ht="15.75">
      <c r="B39" s="619" t="s">
        <v>548</v>
      </c>
      <c r="C39" s="619" t="s">
        <v>563</v>
      </c>
      <c r="D39" s="619" t="s">
        <v>547</v>
      </c>
      <c r="E39" s="854" t="s">
        <v>34</v>
      </c>
      <c r="F39" s="855"/>
      <c r="G39" s="854" t="s">
        <v>546</v>
      </c>
      <c r="H39" s="855"/>
    </row>
    <row r="40" spans="2:8">
      <c r="B40" s="608">
        <v>1</v>
      </c>
      <c r="C40" s="644"/>
      <c r="D40" s="607"/>
      <c r="E40" s="850"/>
      <c r="F40" s="851"/>
      <c r="G40" s="852"/>
      <c r="H40" s="853"/>
    </row>
    <row r="41" spans="2:8">
      <c r="B41" s="608">
        <v>2</v>
      </c>
      <c r="C41" s="644"/>
      <c r="D41" s="607"/>
      <c r="E41" s="850"/>
      <c r="F41" s="851"/>
      <c r="G41" s="852"/>
      <c r="H41" s="853"/>
    </row>
    <row r="42" spans="2:8">
      <c r="B42" s="608">
        <v>3</v>
      </c>
      <c r="C42" s="644"/>
      <c r="D42" s="607"/>
      <c r="E42" s="850"/>
      <c r="F42" s="851"/>
      <c r="G42" s="852"/>
      <c r="H42" s="853"/>
    </row>
    <row r="43" spans="2:8">
      <c r="B43" s="608">
        <v>4</v>
      </c>
      <c r="C43" s="644"/>
      <c r="D43" s="607"/>
      <c r="E43" s="850"/>
      <c r="F43" s="851"/>
      <c r="G43" s="852"/>
      <c r="H43" s="853"/>
    </row>
    <row r="44" spans="2:8">
      <c r="B44" s="608">
        <v>5</v>
      </c>
      <c r="C44" s="644"/>
      <c r="D44" s="607"/>
      <c r="E44" s="850"/>
      <c r="F44" s="851"/>
      <c r="G44" s="852"/>
      <c r="H44" s="853"/>
    </row>
    <row r="45" spans="2:8">
      <c r="B45" s="608">
        <v>6</v>
      </c>
      <c r="C45" s="644"/>
      <c r="D45" s="607"/>
      <c r="E45" s="850"/>
      <c r="F45" s="851"/>
      <c r="G45" s="852"/>
      <c r="H45" s="853"/>
    </row>
    <row r="46" spans="2:8">
      <c r="B46" s="608">
        <v>7</v>
      </c>
      <c r="C46" s="644"/>
      <c r="D46" s="607"/>
      <c r="E46" s="850"/>
      <c r="F46" s="851"/>
      <c r="G46" s="852"/>
      <c r="H46" s="853"/>
    </row>
    <row r="47" spans="2:8">
      <c r="B47" s="608">
        <v>8</v>
      </c>
      <c r="C47" s="644"/>
      <c r="D47" s="607"/>
      <c r="E47" s="850"/>
      <c r="F47" s="851"/>
      <c r="G47" s="852"/>
      <c r="H47" s="853"/>
    </row>
    <row r="48" spans="2:8">
      <c r="B48" s="608">
        <v>9</v>
      </c>
      <c r="C48" s="644"/>
      <c r="D48" s="607"/>
      <c r="E48" s="850"/>
      <c r="F48" s="851"/>
      <c r="G48" s="852"/>
      <c r="H48" s="853"/>
    </row>
    <row r="49" spans="2:8">
      <c r="B49" s="608">
        <v>10</v>
      </c>
      <c r="C49" s="644"/>
      <c r="D49" s="607"/>
      <c r="E49" s="850"/>
      <c r="F49" s="851"/>
      <c r="G49" s="852"/>
      <c r="H49" s="853"/>
    </row>
    <row r="50" spans="2:8">
      <c r="B50" s="608" t="s">
        <v>482</v>
      </c>
      <c r="C50" s="644"/>
      <c r="D50" s="607"/>
      <c r="E50" s="850"/>
      <c r="F50" s="851"/>
      <c r="G50" s="852"/>
      <c r="H50" s="85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10" zoomScale="90" zoomScaleNormal="90" workbookViewId="0">
      <selection activeCell="D60" sqref="D6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9" t="s">
        <v>553</v>
      </c>
      <c r="P7" s="107"/>
      <c r="Q7" s="107"/>
    </row>
    <row r="8" spans="2:17" s="106" customFormat="1" ht="30" customHeight="1">
      <c r="D8" s="574"/>
      <c r="P8" s="107"/>
      <c r="Q8" s="107"/>
    </row>
    <row r="9" spans="2:17" s="2" customFormat="1" ht="24.75" customHeight="1">
      <c r="B9" s="120" t="s">
        <v>413</v>
      </c>
      <c r="C9" s="17"/>
      <c r="D9" s="457">
        <v>2013</v>
      </c>
    </row>
    <row r="10" spans="2:17" s="17" customFormat="1" ht="16.5" customHeight="1"/>
    <row r="11" spans="2:17" s="17" customFormat="1" ht="36.75" customHeight="1">
      <c r="B11" s="856" t="s">
        <v>565</v>
      </c>
      <c r="C11" s="856"/>
      <c r="D11" s="856"/>
      <c r="E11" s="856"/>
      <c r="F11" s="856"/>
      <c r="G11" s="856"/>
      <c r="H11" s="856"/>
      <c r="I11" s="856"/>
      <c r="J11" s="856"/>
      <c r="K11" s="856"/>
      <c r="L11" s="856"/>
      <c r="M11" s="856"/>
      <c r="N11" s="614"/>
      <c r="O11" s="614"/>
      <c r="P11" s="614"/>
      <c r="Q11" s="614"/>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GS&gt;50 kW</v>
      </c>
      <c r="G13" s="245" t="str">
        <f>'1.  LRAMVA Summary'!G50</f>
        <v>Streetlights</v>
      </c>
      <c r="H13" s="245" t="str">
        <f>'1.  LRAMVA Summary'!H50</f>
        <v>Unmetered Scattered Load</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8"/>
      <c r="D14" s="579" t="str">
        <f>'1.  LRAMVA Summary'!D51</f>
        <v>kWh</v>
      </c>
      <c r="E14" s="579" t="str">
        <f>'1.  LRAMVA Summary'!E51</f>
        <v>kWh</v>
      </c>
      <c r="F14" s="579" t="str">
        <f>'1.  LRAMVA Summary'!F51</f>
        <v>kW</v>
      </c>
      <c r="G14" s="579" t="str">
        <f>'1.  LRAMVA Summary'!G51</f>
        <v>kW</v>
      </c>
      <c r="H14" s="579" t="str">
        <f>'1.  LRAMVA Summary'!H51</f>
        <v>KWh</v>
      </c>
      <c r="I14" s="579">
        <f>'1.  LRAMVA Summary'!I51</f>
        <v>0</v>
      </c>
      <c r="J14" s="579">
        <f>'1.  LRAMVA Summary'!J51</f>
        <v>0</v>
      </c>
      <c r="K14" s="579">
        <f>'1.  LRAMVA Summary'!K51</f>
        <v>0</v>
      </c>
      <c r="L14" s="579">
        <f>'1.  LRAMVA Summary'!L51</f>
        <v>0</v>
      </c>
      <c r="M14" s="579">
        <f>'1.  LRAMVA Summary'!M51</f>
        <v>0</v>
      </c>
      <c r="N14" s="579">
        <f>'1.  LRAMVA Summary'!N51</f>
        <v>0</v>
      </c>
      <c r="O14" s="579">
        <f>'1.  LRAMVA Summary'!O51</f>
        <v>0</v>
      </c>
      <c r="P14" s="579">
        <f>'1.  LRAMVA Summary'!P51</f>
        <v>0</v>
      </c>
      <c r="Q14" s="580">
        <f>'1.  LRAMVA Summary'!Q51</f>
        <v>0</v>
      </c>
    </row>
    <row r="15" spans="2:17" s="458" customFormat="1" ht="15.75" customHeight="1">
      <c r="B15" s="463" t="s">
        <v>27</v>
      </c>
      <c r="C15" s="626">
        <f>SUM(D15:Q15)</f>
        <v>3264017</v>
      </c>
      <c r="D15" s="750">
        <v>1345003</v>
      </c>
      <c r="E15" s="750">
        <v>543085</v>
      </c>
      <c r="F15" s="750">
        <v>1346579</v>
      </c>
      <c r="G15" s="750">
        <v>24666</v>
      </c>
      <c r="H15" s="750">
        <v>4684</v>
      </c>
      <c r="I15" s="453"/>
      <c r="J15" s="453"/>
      <c r="K15" s="453"/>
      <c r="L15" s="453"/>
      <c r="M15" s="453"/>
      <c r="N15" s="453"/>
      <c r="O15" s="453"/>
      <c r="P15" s="454"/>
      <c r="Q15" s="454"/>
    </row>
    <row r="16" spans="2:17" s="458" customFormat="1" ht="15.75" customHeight="1">
      <c r="B16" s="463" t="s">
        <v>28</v>
      </c>
      <c r="C16" s="626">
        <f>SUM(D16:Q16)</f>
        <v>10867</v>
      </c>
      <c r="D16" s="454">
        <v>0</v>
      </c>
      <c r="E16" s="454">
        <v>0</v>
      </c>
      <c r="F16" s="454">
        <v>10671</v>
      </c>
      <c r="G16" s="454">
        <v>196</v>
      </c>
      <c r="H16" s="454"/>
      <c r="I16" s="452"/>
      <c r="J16" s="452"/>
      <c r="K16" s="454"/>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1345003</v>
      </c>
      <c r="E18" s="194">
        <f t="shared" si="0"/>
        <v>543085</v>
      </c>
      <c r="F18" s="194">
        <f>IF(F14="kw",HLOOKUP(F14,F14:F16,3,FALSE),HLOOKUP(F14,F14:F16,2,FALSE))</f>
        <v>10671</v>
      </c>
      <c r="G18" s="194">
        <f t="shared" ref="G18:Q18" si="1">IF(G14="kw",HLOOKUP(G14,G14:G16,3,FALSE),HLOOKUP(G14,G14:G16,2,FALSE))</f>
        <v>196</v>
      </c>
      <c r="H18" s="194">
        <f t="shared" si="1"/>
        <v>4684</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c r="D20" s="456"/>
    </row>
    <row r="21" spans="2:17" s="440" customFormat="1" ht="21" customHeight="1">
      <c r="B21" s="462" t="s">
        <v>368</v>
      </c>
      <c r="C21" s="455" t="s">
        <v>693</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856" t="s">
        <v>564</v>
      </c>
      <c r="C26" s="856"/>
      <c r="D26" s="856"/>
      <c r="E26" s="856"/>
      <c r="F26" s="856"/>
      <c r="G26" s="856"/>
      <c r="H26" s="856"/>
      <c r="I26" s="856"/>
      <c r="J26" s="856"/>
      <c r="K26" s="856"/>
      <c r="L26" s="856"/>
      <c r="M26" s="856"/>
      <c r="N26" s="614"/>
      <c r="O26" s="614"/>
      <c r="P26" s="614"/>
      <c r="Q26" s="614"/>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GS&gt;50 kW</v>
      </c>
      <c r="G28" s="245" t="str">
        <f>'1.  LRAMVA Summary'!G50</f>
        <v>Streetlights</v>
      </c>
      <c r="H28" s="245" t="str">
        <f>'1.  LRAMVA Summary'!H50</f>
        <v>Unmetered Scattered Load</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8"/>
      <c r="D29" s="579" t="str">
        <f>'1.  LRAMVA Summary'!D51</f>
        <v>kWh</v>
      </c>
      <c r="E29" s="579" t="str">
        <f>'1.  LRAMVA Summary'!E51</f>
        <v>kWh</v>
      </c>
      <c r="F29" s="579" t="str">
        <f>'1.  LRAMVA Summary'!F51</f>
        <v>kW</v>
      </c>
      <c r="G29" s="579" t="str">
        <f>'1.  LRAMVA Summary'!G51</f>
        <v>kW</v>
      </c>
      <c r="H29" s="579" t="str">
        <f>'1.  LRAMVA Summary'!H51</f>
        <v>KWh</v>
      </c>
      <c r="I29" s="579">
        <f>'1.  LRAMVA Summary'!I51</f>
        <v>0</v>
      </c>
      <c r="J29" s="579">
        <f>'1.  LRAMVA Summary'!J51</f>
        <v>0</v>
      </c>
      <c r="K29" s="579">
        <f>'1.  LRAMVA Summary'!K51</f>
        <v>0</v>
      </c>
      <c r="L29" s="579">
        <f>'1.  LRAMVA Summary'!L51</f>
        <v>0</v>
      </c>
      <c r="M29" s="579">
        <f>'1.  LRAMVA Summary'!M51</f>
        <v>0</v>
      </c>
      <c r="N29" s="579">
        <f>'1.  LRAMVA Summary'!N51</f>
        <v>0</v>
      </c>
      <c r="O29" s="579">
        <f>'1.  LRAMVA Summary'!O51</f>
        <v>0</v>
      </c>
      <c r="P29" s="579">
        <f>'1.  LRAMVA Summary'!P51</f>
        <v>0</v>
      </c>
      <c r="Q29" s="580">
        <f>'1.  LRAMVA Summary'!Q51</f>
        <v>0</v>
      </c>
    </row>
    <row r="30" spans="2:17" s="458" customFormat="1" ht="15.75" customHeight="1">
      <c r="B30" s="463" t="s">
        <v>27</v>
      </c>
      <c r="C30" s="626">
        <f>SUM(D30:Q30)</f>
        <v>0</v>
      </c>
      <c r="D30" s="464"/>
      <c r="E30" s="464"/>
      <c r="F30" s="464"/>
      <c r="G30" s="464"/>
      <c r="H30" s="464"/>
      <c r="I30" s="464"/>
      <c r="J30" s="464"/>
      <c r="K30" s="464"/>
      <c r="L30" s="464"/>
      <c r="M30" s="464"/>
      <c r="N30" s="464"/>
      <c r="O30" s="464"/>
      <c r="P30" s="464"/>
      <c r="Q30" s="454"/>
    </row>
    <row r="31" spans="2:17" s="465" customFormat="1" ht="15" customHeight="1">
      <c r="B31" s="463" t="s">
        <v>28</v>
      </c>
      <c r="C31" s="626">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415</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56" t="s">
        <v>614</v>
      </c>
      <c r="C40" s="856"/>
      <c r="D40" s="856"/>
      <c r="E40" s="856"/>
      <c r="F40" s="856"/>
      <c r="G40" s="856"/>
      <c r="H40" s="856"/>
      <c r="I40" s="856"/>
      <c r="J40" s="856"/>
      <c r="K40" s="856"/>
      <c r="L40" s="856"/>
      <c r="M40" s="856"/>
      <c r="N40" s="614"/>
      <c r="O40" s="614"/>
      <c r="P40" s="614"/>
      <c r="Q40" s="614"/>
    </row>
    <row r="41" spans="2:32" s="2" customFormat="1" ht="16.5" customHeight="1">
      <c r="B41" s="10"/>
      <c r="C41" s="10"/>
      <c r="D41" s="22"/>
      <c r="E41" s="20"/>
      <c r="F41" s="20"/>
      <c r="G41" s="20"/>
      <c r="R41" s="20"/>
    </row>
    <row r="42" spans="2:32" s="17" customFormat="1" ht="56.25" customHeight="1">
      <c r="B42" s="245" t="s">
        <v>235</v>
      </c>
      <c r="C42" s="245" t="s">
        <v>611</v>
      </c>
      <c r="D42" s="245" t="str">
        <f>'1.  LRAMVA Summary'!D50</f>
        <v>Residential</v>
      </c>
      <c r="E42" s="245" t="str">
        <f>'1.  LRAMVA Summary'!E50</f>
        <v>GS&lt;50 kW</v>
      </c>
      <c r="F42" s="245" t="str">
        <f>'1.  LRAMVA Summary'!F50</f>
        <v>GS&gt;50 kW</v>
      </c>
      <c r="G42" s="245" t="str">
        <f>'1.  LRAMVA Summary'!G50</f>
        <v>Streetlights</v>
      </c>
      <c r="H42" s="245" t="str">
        <f>'1.  LRAMVA Summary'!H50</f>
        <v>Unmetered Scattered Load</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1"/>
      <c r="C43" s="582"/>
      <c r="D43" s="583" t="str">
        <f>'1.  LRAMVA Summary'!D51</f>
        <v>kWh</v>
      </c>
      <c r="E43" s="583" t="str">
        <f>'1.  LRAMVA Summary'!E51</f>
        <v>kWh</v>
      </c>
      <c r="F43" s="583" t="str">
        <f>'1.  LRAMVA Summary'!F51</f>
        <v>kW</v>
      </c>
      <c r="G43" s="583" t="str">
        <f>'1.  LRAMVA Summary'!G51</f>
        <v>kW</v>
      </c>
      <c r="H43" s="583" t="str">
        <f>'1.  LRAMVA Summary'!H51</f>
        <v>KWh</v>
      </c>
      <c r="I43" s="583">
        <f>'1.  LRAMVA Summary'!I51</f>
        <v>0</v>
      </c>
      <c r="J43" s="583">
        <f>'1.  LRAMVA Summary'!J51</f>
        <v>0</v>
      </c>
      <c r="K43" s="583">
        <f>'1.  LRAMVA Summary'!K51</f>
        <v>0</v>
      </c>
      <c r="L43" s="583">
        <f>'1.  LRAMVA Summary'!L51</f>
        <v>0</v>
      </c>
      <c r="M43" s="583">
        <f>'1.  LRAMVA Summary'!M51</f>
        <v>0</v>
      </c>
      <c r="N43" s="583">
        <f>'1.  LRAMVA Summary'!N51</f>
        <v>0</v>
      </c>
      <c r="O43" s="583">
        <f>'1.  LRAMVA Summary'!O51</f>
        <v>0</v>
      </c>
      <c r="P43" s="583">
        <f>'1.  LRAMVA Summary'!P51</f>
        <v>0</v>
      </c>
      <c r="Q43" s="584">
        <f>'1.  LRAMVA Summary'!Q51</f>
        <v>0</v>
      </c>
      <c r="R43" s="171"/>
    </row>
    <row r="44" spans="2:32" s="17" customFormat="1" ht="15.75">
      <c r="B44" s="172">
        <v>2011</v>
      </c>
      <c r="C44" s="534"/>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4"/>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4">
        <v>2013</v>
      </c>
      <c r="D46" s="192">
        <f t="shared" ref="D46:Q46" si="5">IF(ISBLANK($C$46),0,IF($C$46=$D$9,HLOOKUP(D43,D14:D18,5,FALSE),HLOOKUP(D43,D29:D33,5,FALSE)))</f>
        <v>1345003</v>
      </c>
      <c r="E46" s="192">
        <f t="shared" si="5"/>
        <v>543085</v>
      </c>
      <c r="F46" s="192">
        <f t="shared" si="5"/>
        <v>10671</v>
      </c>
      <c r="G46" s="192">
        <f t="shared" si="5"/>
        <v>196</v>
      </c>
      <c r="H46" s="192">
        <f t="shared" si="5"/>
        <v>4684</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4">
        <v>2013</v>
      </c>
      <c r="D47" s="192">
        <f t="shared" ref="D47:Q47" si="6">IF(ISBLANK($C$47),0,IF($C$47=$D$9,HLOOKUP(D43,D14:D18,5,FALSE),HLOOKUP(D43,D29:D33,5,FALSE)))</f>
        <v>1345003</v>
      </c>
      <c r="E47" s="192">
        <f t="shared" si="6"/>
        <v>543085</v>
      </c>
      <c r="F47" s="192">
        <f t="shared" si="6"/>
        <v>10671</v>
      </c>
      <c r="G47" s="192">
        <f t="shared" si="6"/>
        <v>196</v>
      </c>
      <c r="H47" s="192">
        <f t="shared" si="6"/>
        <v>4684</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4">
        <v>2013</v>
      </c>
      <c r="D48" s="192">
        <f t="shared" ref="D48:Q48" si="7">IF(ISBLANK($C$48),0,IF($C$48=$D$9,HLOOKUP(D43,D14:D18,5,FALSE),HLOOKUP(D43,D29:D33,5,FALSE)))</f>
        <v>1345003</v>
      </c>
      <c r="E48" s="192">
        <f t="shared" si="7"/>
        <v>543085</v>
      </c>
      <c r="F48" s="192">
        <f t="shared" si="7"/>
        <v>10671</v>
      </c>
      <c r="G48" s="192">
        <f t="shared" si="7"/>
        <v>196</v>
      </c>
      <c r="H48" s="192">
        <f t="shared" si="7"/>
        <v>4684</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4">
        <v>2013</v>
      </c>
      <c r="D49" s="192">
        <f t="shared" ref="D49:Q49" si="8">IF(ISBLANK($C$49),0,IF($C$49=$D$9,HLOOKUP(D43,D14:D18,5,FALSE),HLOOKUP(D43,D29:D33,5,FALSE)))</f>
        <v>1345003</v>
      </c>
      <c r="E49" s="192">
        <f t="shared" si="8"/>
        <v>543085</v>
      </c>
      <c r="F49" s="192">
        <f t="shared" si="8"/>
        <v>10671</v>
      </c>
      <c r="G49" s="192">
        <f t="shared" si="8"/>
        <v>196</v>
      </c>
      <c r="H49" s="192">
        <f t="shared" si="8"/>
        <v>4684</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c r="B50" s="173">
        <v>2017</v>
      </c>
      <c r="C50" s="534">
        <v>2013</v>
      </c>
      <c r="D50" s="192">
        <f t="shared" ref="D50:Q50" si="9">IF(ISBLANK($C$50),0,IF($C$50=$D$9,HLOOKUP(D43,D14:D18,5,FALSE),HLOOKUP(D43,D29:D33,5,FALSE)))</f>
        <v>1345003</v>
      </c>
      <c r="E50" s="192">
        <f t="shared" si="9"/>
        <v>543085</v>
      </c>
      <c r="F50" s="192">
        <f t="shared" si="9"/>
        <v>10671</v>
      </c>
      <c r="G50" s="192">
        <f t="shared" si="9"/>
        <v>196</v>
      </c>
      <c r="H50" s="192">
        <f t="shared" si="9"/>
        <v>4684</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c r="B51" s="173">
        <v>2018</v>
      </c>
      <c r="C51" s="534">
        <v>2013</v>
      </c>
      <c r="D51" s="192">
        <f t="shared" ref="D51:Q51" si="10">IF(ISBLANK($C$51),0,IF($C$51=$D$9,HLOOKUP(D43,D14:D18,5,FALSE),HLOOKUP(D43,D29:D33,5,FALSE)))</f>
        <v>1345003</v>
      </c>
      <c r="E51" s="192">
        <f t="shared" si="10"/>
        <v>543085</v>
      </c>
      <c r="F51" s="192">
        <f t="shared" si="10"/>
        <v>10671</v>
      </c>
      <c r="G51" s="192">
        <f t="shared" si="10"/>
        <v>196</v>
      </c>
      <c r="H51" s="192">
        <f t="shared" si="10"/>
        <v>4684</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4"/>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4"/>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538</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90" zoomScaleNormal="90" workbookViewId="0">
      <pane ySplit="14" topLeftCell="A15" activePane="bottomLeft" state="frozen"/>
      <selection pane="bottomLeft" activeCell="F59" sqref="F59"/>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62" t="s">
        <v>172</v>
      </c>
      <c r="C4" s="87" t="s">
        <v>176</v>
      </c>
      <c r="D4" s="87"/>
      <c r="E4" s="50"/>
    </row>
    <row r="5" spans="1:26" s="18" customFormat="1" ht="26.25" hidden="1" customHeight="1" outlineLevel="1" thickBot="1">
      <c r="A5" s="4"/>
      <c r="B5" s="862"/>
      <c r="C5" s="88" t="s">
        <v>173</v>
      </c>
      <c r="D5" s="88"/>
      <c r="E5" s="50"/>
    </row>
    <row r="6" spans="1:26" ht="26.25" hidden="1" customHeight="1" outlineLevel="1" thickBot="1">
      <c r="B6" s="862"/>
      <c r="C6" s="865" t="s">
        <v>553</v>
      </c>
      <c r="D6" s="86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529</v>
      </c>
      <c r="C8" s="594" t="s">
        <v>484</v>
      </c>
      <c r="D8" s="593"/>
      <c r="M8" s="6"/>
      <c r="N8" s="6"/>
      <c r="O8" s="6"/>
      <c r="P8" s="6"/>
      <c r="Q8" s="6"/>
      <c r="R8" s="6"/>
      <c r="S8" s="6"/>
      <c r="T8" s="6"/>
      <c r="U8" s="6"/>
      <c r="V8" s="6"/>
      <c r="W8" s="6"/>
      <c r="X8" s="6"/>
      <c r="Y8" s="6"/>
      <c r="Z8" s="6"/>
    </row>
    <row r="9" spans="1:26" s="18" customFormat="1" ht="19.5" hidden="1" customHeight="1" outlineLevel="1">
      <c r="A9" s="4"/>
      <c r="B9" s="540"/>
      <c r="C9" s="594" t="s">
        <v>530</v>
      </c>
      <c r="D9" s="593"/>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52"/>
    </row>
    <row r="12" spans="1:26" ht="58.5" customHeight="1">
      <c r="B12" s="860" t="s">
        <v>623</v>
      </c>
      <c r="C12" s="860"/>
      <c r="D12" s="860"/>
      <c r="E12" s="860"/>
      <c r="F12" s="860"/>
      <c r="G12" s="860"/>
      <c r="H12" s="860"/>
      <c r="I12" s="860"/>
      <c r="J12" s="860"/>
      <c r="K12" s="860"/>
      <c r="L12" s="860"/>
      <c r="M12" s="860"/>
      <c r="N12" s="860"/>
      <c r="O12" s="86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3"/>
      <c r="C14" s="471" t="s">
        <v>41</v>
      </c>
      <c r="D14" s="472" t="s">
        <v>699</v>
      </c>
      <c r="E14" s="472" t="s">
        <v>700</v>
      </c>
      <c r="F14" s="472" t="s">
        <v>701</v>
      </c>
      <c r="G14" s="472" t="s">
        <v>702</v>
      </c>
      <c r="H14" s="472" t="s">
        <v>703</v>
      </c>
      <c r="I14" s="472" t="s">
        <v>704</v>
      </c>
      <c r="J14" s="472" t="s">
        <v>705</v>
      </c>
      <c r="K14" s="472" t="s">
        <v>706</v>
      </c>
      <c r="L14" s="472" t="s">
        <v>682</v>
      </c>
      <c r="M14" s="472" t="s">
        <v>570</v>
      </c>
      <c r="N14" s="472" t="s">
        <v>571</v>
      </c>
      <c r="O14" s="472" t="s">
        <v>572</v>
      </c>
      <c r="P14" s="7"/>
    </row>
    <row r="15" spans="1:26" s="7" customFormat="1" ht="18.75" customHeight="1">
      <c r="B15" s="473" t="s">
        <v>189</v>
      </c>
      <c r="C15" s="863"/>
      <c r="D15" s="474">
        <v>2010</v>
      </c>
      <c r="E15" s="474">
        <v>2011</v>
      </c>
      <c r="F15" s="474">
        <v>2012</v>
      </c>
      <c r="G15" s="474">
        <v>2013</v>
      </c>
      <c r="H15" s="474">
        <v>2014</v>
      </c>
      <c r="I15" s="474">
        <v>2015</v>
      </c>
      <c r="J15" s="474">
        <v>2016</v>
      </c>
      <c r="K15" s="474">
        <v>2017</v>
      </c>
      <c r="L15" s="474">
        <v>2018</v>
      </c>
      <c r="M15" s="474">
        <v>2019</v>
      </c>
      <c r="N15" s="474">
        <v>2020</v>
      </c>
      <c r="O15" s="475">
        <v>2021</v>
      </c>
    </row>
    <row r="16" spans="1:26" s="113" customFormat="1" ht="18" customHeight="1">
      <c r="B16" s="476" t="s">
        <v>561</v>
      </c>
      <c r="C16" s="858"/>
      <c r="D16" s="477">
        <v>0</v>
      </c>
      <c r="E16" s="477">
        <v>4</v>
      </c>
      <c r="F16" s="477">
        <v>4</v>
      </c>
      <c r="G16" s="477">
        <v>9</v>
      </c>
      <c r="H16" s="477">
        <v>4</v>
      </c>
      <c r="I16" s="477">
        <v>4</v>
      </c>
      <c r="J16" s="477">
        <v>4</v>
      </c>
      <c r="K16" s="477">
        <v>4</v>
      </c>
      <c r="L16" s="477">
        <v>4</v>
      </c>
      <c r="M16" s="477"/>
      <c r="N16" s="477"/>
      <c r="O16" s="478"/>
    </row>
    <row r="17" spans="1:15" s="113" customFormat="1" ht="17.25" customHeight="1">
      <c r="B17" s="479" t="s">
        <v>562</v>
      </c>
      <c r="C17" s="864"/>
      <c r="D17" s="114">
        <f>12-D16</f>
        <v>12</v>
      </c>
      <c r="E17" s="114">
        <f>12-E16</f>
        <v>8</v>
      </c>
      <c r="F17" s="114">
        <f t="shared" ref="F17:K17" si="0">12-F16</f>
        <v>8</v>
      </c>
      <c r="G17" s="114">
        <f t="shared" si="0"/>
        <v>3</v>
      </c>
      <c r="H17" s="114">
        <f t="shared" si="0"/>
        <v>8</v>
      </c>
      <c r="I17" s="114">
        <f t="shared" si="0"/>
        <v>8</v>
      </c>
      <c r="J17" s="114">
        <f t="shared" si="0"/>
        <v>8</v>
      </c>
      <c r="K17" s="114">
        <f t="shared" si="0"/>
        <v>8</v>
      </c>
      <c r="L17" s="114">
        <f t="shared" ref="L17:O17" si="1">12-L16</f>
        <v>8</v>
      </c>
      <c r="M17" s="114">
        <f t="shared" si="1"/>
        <v>12</v>
      </c>
      <c r="N17" s="114">
        <f t="shared" si="1"/>
        <v>12</v>
      </c>
      <c r="O17" s="115">
        <f t="shared" si="1"/>
        <v>12</v>
      </c>
    </row>
    <row r="18" spans="1:15" s="7" customFormat="1" ht="17.25" customHeight="1">
      <c r="B18" s="480" t="str">
        <f>'1.  LRAMVA Summary'!B27</f>
        <v>Residential</v>
      </c>
      <c r="C18" s="857" t="str">
        <f>'2. LRAMVA Threshold'!D43</f>
        <v>kWh</v>
      </c>
      <c r="D18" s="47">
        <v>1.78E-2</v>
      </c>
      <c r="E18" s="47">
        <v>1.6899999999999998E-2</v>
      </c>
      <c r="F18" s="47">
        <v>1.7000000000000001E-2</v>
      </c>
      <c r="G18" s="47">
        <v>1.9300000000000001E-2</v>
      </c>
      <c r="H18" s="47">
        <v>1.9599999999999999E-2</v>
      </c>
      <c r="I18" s="47">
        <v>1.9900000000000001E-2</v>
      </c>
      <c r="J18" s="47">
        <v>1.52E-2</v>
      </c>
      <c r="K18" s="47">
        <v>1.03E-2</v>
      </c>
      <c r="L18" s="47">
        <v>5.3E-3</v>
      </c>
      <c r="M18" s="47"/>
      <c r="N18" s="47"/>
      <c r="O18" s="71"/>
    </row>
    <row r="19" spans="1:15" s="7" customFormat="1" ht="15" hidden="1" customHeight="1" outlineLevel="1">
      <c r="B19" s="536" t="s">
        <v>513</v>
      </c>
      <c r="C19" s="858"/>
      <c r="D19" s="47"/>
      <c r="E19" s="47">
        <v>-1E-4</v>
      </c>
      <c r="F19" s="47">
        <v>-2.0000000000000001E-4</v>
      </c>
      <c r="G19" s="47"/>
      <c r="H19" s="47"/>
      <c r="I19" s="47"/>
      <c r="J19" s="47">
        <f>0.12/750</f>
        <v>1.5999999999999999E-4</v>
      </c>
      <c r="K19" s="47">
        <f>0.12/750</f>
        <v>1.5999999999999999E-4</v>
      </c>
      <c r="L19" s="47">
        <f>0.11/690</f>
        <v>1.5942028985507247E-4</v>
      </c>
      <c r="M19" s="47"/>
      <c r="N19" s="47"/>
      <c r="O19" s="71"/>
    </row>
    <row r="20" spans="1:15" s="7" customFormat="1" ht="15" hidden="1" customHeight="1" outlineLevel="1">
      <c r="B20" s="536" t="s">
        <v>514</v>
      </c>
      <c r="C20" s="858"/>
      <c r="D20" s="47"/>
      <c r="E20" s="47"/>
      <c r="F20" s="47"/>
      <c r="G20" s="47">
        <f>0.98/2000</f>
        <v>4.8999999999999998E-4</v>
      </c>
      <c r="H20" s="47"/>
      <c r="I20" s="47"/>
      <c r="J20" s="47"/>
      <c r="K20" s="47"/>
      <c r="L20" s="47"/>
      <c r="M20" s="47"/>
      <c r="N20" s="47"/>
      <c r="O20" s="71"/>
    </row>
    <row r="21" spans="1:15" s="7" customFormat="1" ht="15" hidden="1" customHeight="1" outlineLevel="1">
      <c r="B21" s="536" t="s">
        <v>492</v>
      </c>
      <c r="C21" s="858"/>
      <c r="D21" s="47"/>
      <c r="E21" s="47"/>
      <c r="F21" s="47"/>
      <c r="G21" s="47"/>
      <c r="H21" s="47"/>
      <c r="I21" s="47"/>
      <c r="J21" s="47"/>
      <c r="K21" s="47"/>
      <c r="L21" s="47"/>
      <c r="M21" s="47"/>
      <c r="N21" s="47"/>
      <c r="O21" s="71"/>
    </row>
    <row r="22" spans="1:15" s="7" customFormat="1" ht="14.25" customHeight="1" collapsed="1">
      <c r="B22" s="536" t="s">
        <v>515</v>
      </c>
      <c r="C22" s="859"/>
      <c r="D22" s="67">
        <f>SUM(D18:D21)</f>
        <v>1.78E-2</v>
      </c>
      <c r="E22" s="67">
        <f>SUM(E18:E21)</f>
        <v>1.6799999999999999E-2</v>
      </c>
      <c r="F22" s="67">
        <f>SUM(F18:F21)</f>
        <v>1.6800000000000002E-2</v>
      </c>
      <c r="G22" s="67">
        <f t="shared" ref="G22:L22" si="2">SUM(G18:G21)</f>
        <v>1.9790000000000002E-2</v>
      </c>
      <c r="H22" s="67">
        <f t="shared" si="2"/>
        <v>1.9599999999999999E-2</v>
      </c>
      <c r="I22" s="67">
        <f t="shared" si="2"/>
        <v>1.9900000000000001E-2</v>
      </c>
      <c r="J22" s="67">
        <f t="shared" si="2"/>
        <v>1.536E-2</v>
      </c>
      <c r="K22" s="67">
        <f t="shared" si="2"/>
        <v>1.0460000000000001E-2</v>
      </c>
      <c r="L22" s="67">
        <f t="shared" si="2"/>
        <v>5.4594202898550727E-3</v>
      </c>
      <c r="M22" s="67">
        <f t="shared" ref="M22:N22" si="3">SUM(M18:M21)</f>
        <v>0</v>
      </c>
      <c r="N22" s="67">
        <f t="shared" si="3"/>
        <v>0</v>
      </c>
      <c r="O22" s="78"/>
    </row>
    <row r="23" spans="1:15" s="65" customFormat="1">
      <c r="A23" s="64"/>
      <c r="B23" s="492" t="s">
        <v>516</v>
      </c>
      <c r="C23" s="482"/>
      <c r="D23" s="483"/>
      <c r="E23" s="484">
        <f>ROUND(SUM(D22*E16+E22*E17)/12,4)</f>
        <v>1.7100000000000001E-2</v>
      </c>
      <c r="F23" s="484">
        <f>ROUND(SUM(E22*F16+F22*F17)/12,4)</f>
        <v>1.6799999999999999E-2</v>
      </c>
      <c r="G23" s="484">
        <f>ROUND(SUM(F22*G16+G22*G17)/12,4)</f>
        <v>1.7500000000000002E-2</v>
      </c>
      <c r="H23" s="484">
        <f>ROUND(SUM(G22*H16+H22*H17)/12,4)</f>
        <v>1.9699999999999999E-2</v>
      </c>
      <c r="I23" s="484">
        <f>ROUND(SUM(H22*I16+I22*I17)/12,4)</f>
        <v>1.9800000000000002E-2</v>
      </c>
      <c r="J23" s="484">
        <f t="shared" ref="J23:L23" si="4">ROUND(SUM(I22*J16+J22*J17)/12,4)</f>
        <v>1.6899999999999998E-2</v>
      </c>
      <c r="K23" s="484">
        <f t="shared" si="4"/>
        <v>1.21E-2</v>
      </c>
      <c r="L23" s="484">
        <f t="shared" si="4"/>
        <v>7.1000000000000004E-3</v>
      </c>
      <c r="M23" s="484">
        <f t="shared" ref="M23:N23" si="5">ROUND(SUM(L22*M16+M22*M17)/12,4)</f>
        <v>0</v>
      </c>
      <c r="N23" s="484">
        <f t="shared" si="5"/>
        <v>0</v>
      </c>
      <c r="O23" s="485"/>
    </row>
    <row r="24" spans="1:15" s="65" customFormat="1">
      <c r="A24" s="64"/>
      <c r="B24" s="481"/>
      <c r="C24" s="486"/>
      <c r="D24" s="483"/>
      <c r="E24" s="484"/>
      <c r="F24" s="484"/>
      <c r="G24" s="484"/>
      <c r="H24" s="484"/>
      <c r="I24" s="484"/>
      <c r="J24" s="484"/>
      <c r="K24" s="484"/>
      <c r="L24" s="487"/>
      <c r="M24" s="487"/>
      <c r="N24" s="487"/>
      <c r="O24" s="485"/>
    </row>
    <row r="25" spans="1:15" s="65" customFormat="1" ht="15.75" customHeight="1">
      <c r="A25" s="64"/>
      <c r="B25" s="604" t="str">
        <f>'1.  LRAMVA Summary'!B28</f>
        <v>GS&lt;50 kW</v>
      </c>
      <c r="C25" s="857" t="str">
        <f>'2. LRAMVA Threshold'!E43</f>
        <v>kWh</v>
      </c>
      <c r="D25" s="47">
        <v>1.12E-2</v>
      </c>
      <c r="E25" s="47">
        <v>1.12E-2</v>
      </c>
      <c r="F25" s="47">
        <v>1.1299999999999999E-2</v>
      </c>
      <c r="G25" s="47">
        <v>1.3100000000000001E-2</v>
      </c>
      <c r="H25" s="47">
        <v>1.3299999999999999E-2</v>
      </c>
      <c r="I25" s="47">
        <v>1.35E-2</v>
      </c>
      <c r="J25" s="47">
        <v>1.37E-2</v>
      </c>
      <c r="K25" s="47">
        <v>1.3899999999999999E-2</v>
      </c>
      <c r="L25" s="47">
        <v>1.4E-2</v>
      </c>
      <c r="M25" s="47"/>
      <c r="N25" s="47"/>
      <c r="O25" s="71"/>
    </row>
    <row r="26" spans="1:15" s="18" customFormat="1" hidden="1" outlineLevel="1">
      <c r="A26" s="4"/>
      <c r="B26" s="536" t="s">
        <v>513</v>
      </c>
      <c r="C26" s="858"/>
      <c r="D26" s="47"/>
      <c r="E26" s="47">
        <v>-1E-4</v>
      </c>
      <c r="F26" s="47">
        <v>-1E-4</v>
      </c>
      <c r="G26" s="47"/>
      <c r="H26" s="47"/>
      <c r="I26" s="47"/>
      <c r="J26" s="47">
        <v>1E-4</v>
      </c>
      <c r="K26" s="47">
        <v>1E-4</v>
      </c>
      <c r="L26" s="47">
        <v>1E-4</v>
      </c>
      <c r="M26" s="47"/>
      <c r="N26" s="47"/>
      <c r="O26" s="71"/>
    </row>
    <row r="27" spans="1:15" s="18" customFormat="1" hidden="1" outlineLevel="1">
      <c r="A27" s="4"/>
      <c r="B27" s="536" t="s">
        <v>514</v>
      </c>
      <c r="C27" s="858"/>
      <c r="D27" s="47"/>
      <c r="E27" s="47"/>
      <c r="F27" s="47"/>
      <c r="G27" s="47">
        <f>0.98/2000</f>
        <v>4.8999999999999998E-4</v>
      </c>
      <c r="H27" s="47"/>
      <c r="I27" s="47"/>
      <c r="J27" s="47"/>
      <c r="K27" s="47"/>
      <c r="L27" s="47"/>
      <c r="M27" s="47"/>
      <c r="N27" s="47"/>
      <c r="O27" s="71"/>
    </row>
    <row r="28" spans="1:15" s="18" customFormat="1" hidden="1" outlineLevel="1">
      <c r="A28" s="4"/>
      <c r="B28" s="536" t="s">
        <v>492</v>
      </c>
      <c r="C28" s="858"/>
      <c r="D28" s="47"/>
      <c r="E28" s="47"/>
      <c r="F28" s="47"/>
      <c r="G28" s="47"/>
      <c r="H28" s="47"/>
      <c r="I28" s="47"/>
      <c r="J28" s="47"/>
      <c r="K28" s="47"/>
      <c r="L28" s="47"/>
      <c r="M28" s="47"/>
      <c r="N28" s="47"/>
      <c r="O28" s="71"/>
    </row>
    <row r="29" spans="1:15" s="18" customFormat="1" collapsed="1">
      <c r="A29" s="4"/>
      <c r="B29" s="536" t="s">
        <v>515</v>
      </c>
      <c r="C29" s="859"/>
      <c r="D29" s="67">
        <f>SUM(D25:D28)</f>
        <v>1.12E-2</v>
      </c>
      <c r="E29" s="67">
        <f t="shared" ref="E29:L29" si="6">SUM(E25:E28)</f>
        <v>1.11E-2</v>
      </c>
      <c r="F29" s="67">
        <f t="shared" si="6"/>
        <v>1.12E-2</v>
      </c>
      <c r="G29" s="67">
        <f t="shared" si="6"/>
        <v>1.3590000000000001E-2</v>
      </c>
      <c r="H29" s="67">
        <f t="shared" si="6"/>
        <v>1.3299999999999999E-2</v>
      </c>
      <c r="I29" s="67">
        <f t="shared" si="6"/>
        <v>1.35E-2</v>
      </c>
      <c r="J29" s="67">
        <f t="shared" si="6"/>
        <v>1.38E-2</v>
      </c>
      <c r="K29" s="67">
        <f t="shared" si="6"/>
        <v>1.3999999999999999E-2</v>
      </c>
      <c r="L29" s="67">
        <f t="shared" si="6"/>
        <v>1.41E-2</v>
      </c>
      <c r="M29" s="67">
        <f t="shared" ref="M29:N29" si="7">SUM(M25:M28)</f>
        <v>0</v>
      </c>
      <c r="N29" s="67">
        <f t="shared" si="7"/>
        <v>0</v>
      </c>
      <c r="O29" s="78"/>
    </row>
    <row r="30" spans="1:15" s="18" customFormat="1">
      <c r="A30" s="4"/>
      <c r="B30" s="492" t="s">
        <v>516</v>
      </c>
      <c r="C30" s="488"/>
      <c r="D30" s="73"/>
      <c r="E30" s="484">
        <f>ROUND(SUM(D29*E16+E29*E17)/12,4)</f>
        <v>1.11E-2</v>
      </c>
      <c r="F30" s="484">
        <f t="shared" ref="F30:L30" si="8">ROUND(SUM(E29*F16+F29*F17)/12,4)</f>
        <v>1.12E-2</v>
      </c>
      <c r="G30" s="484">
        <f t="shared" si="8"/>
        <v>1.18E-2</v>
      </c>
      <c r="H30" s="484">
        <f t="shared" si="8"/>
        <v>1.34E-2</v>
      </c>
      <c r="I30" s="484">
        <f t="shared" si="8"/>
        <v>1.34E-2</v>
      </c>
      <c r="J30" s="484">
        <f>ROUND(SUM(I29*J16+J29*J17)/12,4)</f>
        <v>1.37E-2</v>
      </c>
      <c r="K30" s="484">
        <f t="shared" si="8"/>
        <v>1.3899999999999999E-2</v>
      </c>
      <c r="L30" s="484">
        <f t="shared" si="8"/>
        <v>1.41E-2</v>
      </c>
      <c r="M30" s="484">
        <f t="shared" ref="M30:N30" si="9">ROUND(SUM(L29*M16+M29*M17)/12,4)</f>
        <v>0</v>
      </c>
      <c r="N30" s="484">
        <f t="shared" si="9"/>
        <v>0</v>
      </c>
      <c r="O30" s="489"/>
    </row>
    <row r="31" spans="1:15" s="18" customFormat="1">
      <c r="A31" s="4"/>
      <c r="B31" s="481"/>
      <c r="C31" s="490"/>
      <c r="D31" s="491"/>
      <c r="E31" s="491"/>
      <c r="F31" s="491"/>
      <c r="G31" s="491"/>
      <c r="H31" s="491"/>
      <c r="I31" s="491"/>
      <c r="J31" s="491"/>
      <c r="K31" s="491"/>
      <c r="L31" s="491"/>
      <c r="M31" s="491"/>
      <c r="N31" s="487"/>
      <c r="O31" s="489"/>
    </row>
    <row r="32" spans="1:15" s="66" customFormat="1">
      <c r="B32" s="604" t="str">
        <f>'1.  LRAMVA Summary'!B29</f>
        <v>GS&gt;50 kW</v>
      </c>
      <c r="C32" s="857" t="str">
        <f>'2. LRAMVA Threshold'!F43</f>
        <v>kW</v>
      </c>
      <c r="D32" s="47">
        <v>2.2848999999999999</v>
      </c>
      <c r="E32" s="47">
        <v>2.6221999999999999</v>
      </c>
      <c r="F32" s="47">
        <v>2.64</v>
      </c>
      <c r="G32" s="47">
        <v>3.085</v>
      </c>
      <c r="H32" s="47">
        <v>3.1282000000000001</v>
      </c>
      <c r="I32" s="47">
        <v>3.1688999999999998</v>
      </c>
      <c r="J32" s="47">
        <v>3.2259000000000002</v>
      </c>
      <c r="K32" s="47">
        <v>3.2824</v>
      </c>
      <c r="L32" s="47">
        <v>3.3169</v>
      </c>
      <c r="M32" s="47"/>
      <c r="N32" s="47"/>
      <c r="O32" s="71"/>
    </row>
    <row r="33" spans="1:15" s="18" customFormat="1" hidden="1" outlineLevel="1">
      <c r="A33" s="4"/>
      <c r="B33" s="536" t="s">
        <v>513</v>
      </c>
      <c r="C33" s="858"/>
      <c r="D33" s="47"/>
      <c r="E33" s="47">
        <v>-8.6E-3</v>
      </c>
      <c r="F33" s="47">
        <v>-2.4E-2</v>
      </c>
      <c r="G33" s="47"/>
      <c r="H33" s="47"/>
      <c r="I33" s="47"/>
      <c r="J33" s="47">
        <v>2.06E-2</v>
      </c>
      <c r="K33" s="47">
        <v>2.01E-2</v>
      </c>
      <c r="L33" s="47">
        <v>1.9099999999999999E-2</v>
      </c>
      <c r="M33" s="47"/>
      <c r="N33" s="47"/>
      <c r="O33" s="71"/>
    </row>
    <row r="34" spans="1:15" s="18" customFormat="1" hidden="1" outlineLevel="1">
      <c r="A34" s="4"/>
      <c r="B34" s="536" t="s">
        <v>514</v>
      </c>
      <c r="C34" s="858"/>
      <c r="D34" s="47"/>
      <c r="E34" s="47"/>
      <c r="F34" s="47"/>
      <c r="G34" s="47">
        <f>2.21/250</f>
        <v>8.8400000000000006E-3</v>
      </c>
      <c r="H34" s="47"/>
      <c r="I34" s="47"/>
      <c r="J34" s="47"/>
      <c r="K34" s="47"/>
      <c r="L34" s="47"/>
      <c r="M34" s="47"/>
      <c r="N34" s="47"/>
      <c r="O34" s="71"/>
    </row>
    <row r="35" spans="1:15" s="18" customFormat="1" hidden="1" outlineLevel="1">
      <c r="A35" s="4"/>
      <c r="B35" s="536" t="s">
        <v>492</v>
      </c>
      <c r="C35" s="858"/>
      <c r="D35" s="47"/>
      <c r="E35" s="47"/>
      <c r="F35" s="47"/>
      <c r="G35" s="47"/>
      <c r="H35" s="47"/>
      <c r="I35" s="47"/>
      <c r="J35" s="47"/>
      <c r="K35" s="47"/>
      <c r="L35" s="47"/>
      <c r="M35" s="47"/>
      <c r="N35" s="47"/>
      <c r="O35" s="71"/>
    </row>
    <row r="36" spans="1:15" s="18" customFormat="1" collapsed="1">
      <c r="A36" s="4"/>
      <c r="B36" s="536" t="s">
        <v>515</v>
      </c>
      <c r="C36" s="859"/>
      <c r="D36" s="67">
        <f>SUM(D32:D35)</f>
        <v>2.2848999999999999</v>
      </c>
      <c r="E36" s="67">
        <f>SUM(E32:E35)</f>
        <v>2.6135999999999999</v>
      </c>
      <c r="F36" s="67">
        <f t="shared" ref="F36:L36" si="10">SUM(F32:F35)</f>
        <v>2.6160000000000001</v>
      </c>
      <c r="G36" s="67">
        <f t="shared" si="10"/>
        <v>3.0938400000000001</v>
      </c>
      <c r="H36" s="67">
        <f t="shared" si="10"/>
        <v>3.1282000000000001</v>
      </c>
      <c r="I36" s="67">
        <f t="shared" si="10"/>
        <v>3.1688999999999998</v>
      </c>
      <c r="J36" s="67">
        <f t="shared" si="10"/>
        <v>3.2465000000000002</v>
      </c>
      <c r="K36" s="67">
        <f t="shared" si="10"/>
        <v>3.3024999999999998</v>
      </c>
      <c r="L36" s="67">
        <f t="shared" si="10"/>
        <v>3.3359999999999999</v>
      </c>
      <c r="M36" s="67">
        <f t="shared" ref="M36" si="11">SUM(M32:M35)</f>
        <v>0</v>
      </c>
      <c r="N36" s="67">
        <f>SUM(N32:N35)</f>
        <v>0</v>
      </c>
      <c r="O36" s="78"/>
    </row>
    <row r="37" spans="1:15" s="18" customFormat="1">
      <c r="A37" s="4"/>
      <c r="B37" s="492" t="s">
        <v>516</v>
      </c>
      <c r="C37" s="488"/>
      <c r="D37" s="73"/>
      <c r="E37" s="484">
        <f t="shared" ref="E37:L37" si="12">ROUND(SUM(D36*E16+E36*E17)/12,4)</f>
        <v>2.504</v>
      </c>
      <c r="F37" s="484">
        <f t="shared" si="12"/>
        <v>2.6152000000000002</v>
      </c>
      <c r="G37" s="484">
        <f t="shared" si="12"/>
        <v>2.7355</v>
      </c>
      <c r="H37" s="484">
        <f t="shared" si="12"/>
        <v>3.1166999999999998</v>
      </c>
      <c r="I37" s="484">
        <f t="shared" si="12"/>
        <v>3.1553</v>
      </c>
      <c r="J37" s="484">
        <f t="shared" si="12"/>
        <v>3.2206000000000001</v>
      </c>
      <c r="K37" s="484">
        <f t="shared" si="12"/>
        <v>3.2837999999999998</v>
      </c>
      <c r="L37" s="484">
        <f t="shared" si="12"/>
        <v>3.3248000000000002</v>
      </c>
      <c r="M37" s="484">
        <f t="shared" ref="M37:N37" si="13">ROUND(SUM(L36*M16+M36*M17)/12,4)</f>
        <v>0</v>
      </c>
      <c r="N37" s="484">
        <f t="shared" si="13"/>
        <v>0</v>
      </c>
      <c r="O37" s="489"/>
    </row>
    <row r="38" spans="1:15" s="72" customFormat="1" ht="15.75" customHeight="1">
      <c r="B38" s="492"/>
      <c r="C38" s="488"/>
      <c r="D38" s="73"/>
      <c r="E38" s="73"/>
      <c r="F38" s="73"/>
      <c r="G38" s="73"/>
      <c r="H38" s="73"/>
      <c r="I38" s="73"/>
      <c r="J38" s="73"/>
      <c r="K38" s="73"/>
      <c r="L38" s="487"/>
      <c r="M38" s="487"/>
      <c r="N38" s="487"/>
      <c r="O38" s="493"/>
    </row>
    <row r="39" spans="1:15" s="66" customFormat="1">
      <c r="A39" s="64"/>
      <c r="B39" s="604" t="str">
        <f>'1.  LRAMVA Summary'!B30</f>
        <v>Streetlights</v>
      </c>
      <c r="C39" s="857" t="str">
        <f>'2. LRAMVA Threshold'!G43</f>
        <v>kW</v>
      </c>
      <c r="D39" s="47">
        <v>11.224</v>
      </c>
      <c r="E39" s="47">
        <v>13.9108</v>
      </c>
      <c r="F39" s="47">
        <v>14.0054</v>
      </c>
      <c r="G39" s="47">
        <v>14.3874</v>
      </c>
      <c r="H39" s="47">
        <v>14.588800000000001</v>
      </c>
      <c r="I39" s="47">
        <v>14.778499999999999</v>
      </c>
      <c r="J39" s="47">
        <v>15.044499999999999</v>
      </c>
      <c r="K39" s="47">
        <v>15.3078</v>
      </c>
      <c r="L39" s="47">
        <v>15.468500000000001</v>
      </c>
      <c r="M39" s="47"/>
      <c r="N39" s="47"/>
      <c r="O39" s="71"/>
    </row>
    <row r="40" spans="1:15" s="18" customFormat="1" hidden="1" outlineLevel="1">
      <c r="A40" s="4"/>
      <c r="B40" s="536" t="s">
        <v>513</v>
      </c>
      <c r="C40" s="858"/>
      <c r="D40" s="47"/>
      <c r="E40" s="47">
        <v>-8.9899999999999994E-2</v>
      </c>
      <c r="F40" s="47">
        <v>-0.2505</v>
      </c>
      <c r="G40" s="47"/>
      <c r="H40" s="47"/>
      <c r="I40" s="47"/>
      <c r="J40" s="47">
        <v>0.1812</v>
      </c>
      <c r="K40" s="47">
        <v>0.18079999999999999</v>
      </c>
      <c r="L40" s="47">
        <v>0.19059999999999999</v>
      </c>
      <c r="M40" s="47"/>
      <c r="N40" s="47"/>
      <c r="O40" s="71"/>
    </row>
    <row r="41" spans="1:15" s="18" customFormat="1" hidden="1" outlineLevel="1">
      <c r="A41" s="4"/>
      <c r="B41" s="536" t="s">
        <v>514</v>
      </c>
      <c r="C41" s="858"/>
      <c r="D41" s="47"/>
      <c r="E41" s="47"/>
      <c r="F41" s="47"/>
      <c r="G41" s="47">
        <f>0.06/250</f>
        <v>2.3999999999999998E-4</v>
      </c>
      <c r="H41" s="47"/>
      <c r="I41" s="47"/>
      <c r="J41" s="47"/>
      <c r="K41" s="47"/>
      <c r="L41" s="47"/>
      <c r="M41" s="47"/>
      <c r="N41" s="47"/>
      <c r="O41" s="71"/>
    </row>
    <row r="42" spans="1:15" s="18" customFormat="1" hidden="1" outlineLevel="1">
      <c r="A42" s="4"/>
      <c r="B42" s="536" t="s">
        <v>492</v>
      </c>
      <c r="C42" s="858"/>
      <c r="D42" s="47"/>
      <c r="E42" s="47"/>
      <c r="F42" s="47"/>
      <c r="G42" s="47"/>
      <c r="H42" s="47"/>
      <c r="I42" s="47"/>
      <c r="J42" s="47"/>
      <c r="K42" s="47"/>
      <c r="L42" s="47"/>
      <c r="M42" s="47"/>
      <c r="N42" s="47"/>
      <c r="O42" s="71"/>
    </row>
    <row r="43" spans="1:15" s="18" customFormat="1" collapsed="1">
      <c r="A43" s="4"/>
      <c r="B43" s="536" t="s">
        <v>515</v>
      </c>
      <c r="C43" s="859"/>
      <c r="D43" s="67">
        <f>SUM(D39:D42)</f>
        <v>11.224</v>
      </c>
      <c r="E43" s="67">
        <f t="shared" ref="E43:L43" si="14">SUM(E39:E42)</f>
        <v>13.8209</v>
      </c>
      <c r="F43" s="67">
        <f t="shared" si="14"/>
        <v>13.754899999999999</v>
      </c>
      <c r="G43" s="67">
        <f t="shared" si="14"/>
        <v>14.387639999999999</v>
      </c>
      <c r="H43" s="67">
        <f t="shared" si="14"/>
        <v>14.588800000000001</v>
      </c>
      <c r="I43" s="67">
        <f t="shared" si="14"/>
        <v>14.778499999999999</v>
      </c>
      <c r="J43" s="67">
        <f t="shared" si="14"/>
        <v>15.2257</v>
      </c>
      <c r="K43" s="67">
        <f t="shared" si="14"/>
        <v>15.4886</v>
      </c>
      <c r="L43" s="67">
        <f t="shared" si="14"/>
        <v>15.6591</v>
      </c>
      <c r="M43" s="67">
        <f t="shared" ref="M43:N43" si="15">SUM(M39:M42)</f>
        <v>0</v>
      </c>
      <c r="N43" s="67">
        <f t="shared" si="15"/>
        <v>0</v>
      </c>
      <c r="O43" s="78"/>
    </row>
    <row r="44" spans="1:15" s="14" customFormat="1">
      <c r="A44" s="74"/>
      <c r="B44" s="492" t="s">
        <v>516</v>
      </c>
      <c r="C44" s="488"/>
      <c r="D44" s="73"/>
      <c r="E44" s="484">
        <f t="shared" ref="E44:L44" si="16">ROUND(SUM(D43*E16+E43*E17)/12,4)</f>
        <v>12.955299999999999</v>
      </c>
      <c r="F44" s="484">
        <f t="shared" si="16"/>
        <v>13.776899999999999</v>
      </c>
      <c r="G44" s="484">
        <f t="shared" si="16"/>
        <v>13.9131</v>
      </c>
      <c r="H44" s="484">
        <f t="shared" si="16"/>
        <v>14.521699999999999</v>
      </c>
      <c r="I44" s="484">
        <f t="shared" si="16"/>
        <v>14.715299999999999</v>
      </c>
      <c r="J44" s="484">
        <f t="shared" si="16"/>
        <v>15.076599999999999</v>
      </c>
      <c r="K44" s="484">
        <f t="shared" si="16"/>
        <v>15.401</v>
      </c>
      <c r="L44" s="484">
        <f t="shared" si="16"/>
        <v>15.6023</v>
      </c>
      <c r="M44" s="484">
        <f t="shared" ref="M44:N44" si="17">ROUND(SUM(L43*M16+M43*M17)/12,4)</f>
        <v>0</v>
      </c>
      <c r="N44" s="484">
        <f t="shared" si="17"/>
        <v>0</v>
      </c>
      <c r="O44" s="489"/>
    </row>
    <row r="45" spans="1:15" s="72" customFormat="1" ht="14.25">
      <c r="A45" s="74"/>
      <c r="B45" s="492"/>
      <c r="C45" s="488"/>
      <c r="D45" s="73"/>
      <c r="E45" s="73"/>
      <c r="F45" s="73"/>
      <c r="G45" s="73"/>
      <c r="H45" s="73"/>
      <c r="I45" s="73"/>
      <c r="J45" s="73"/>
      <c r="K45" s="73"/>
      <c r="L45" s="487"/>
      <c r="M45" s="487"/>
      <c r="N45" s="487"/>
      <c r="O45" s="493"/>
    </row>
    <row r="46" spans="1:15" s="66" customFormat="1">
      <c r="A46" s="64"/>
      <c r="B46" s="604" t="str">
        <f>'1.  LRAMVA Summary'!B31</f>
        <v>Unmetered Scattered Load</v>
      </c>
      <c r="C46" s="857" t="str">
        <f>'2. LRAMVA Threshold'!H43</f>
        <v>KWh</v>
      </c>
      <c r="D46" s="47">
        <v>1.7600000000000001E-2</v>
      </c>
      <c r="E46" s="47">
        <v>1.7600000000000001E-2</v>
      </c>
      <c r="F46" s="47">
        <v>1.77E-2</v>
      </c>
      <c r="G46" s="47">
        <v>1.1299999999999999E-2</v>
      </c>
      <c r="H46" s="47">
        <v>1.15E-2</v>
      </c>
      <c r="I46" s="47">
        <v>1.1599999999999999E-2</v>
      </c>
      <c r="J46" s="47">
        <v>1.18E-2</v>
      </c>
      <c r="K46" s="47">
        <v>1.2E-2</v>
      </c>
      <c r="L46" s="47">
        <v>1.21E-2</v>
      </c>
      <c r="M46" s="47"/>
      <c r="N46" s="47"/>
      <c r="O46" s="71"/>
    </row>
    <row r="47" spans="1:15" s="18" customFormat="1" hidden="1" outlineLevel="1">
      <c r="A47" s="4"/>
      <c r="B47" s="536" t="s">
        <v>513</v>
      </c>
      <c r="C47" s="858"/>
      <c r="D47" s="47">
        <v>-2.3999999999999998E-3</v>
      </c>
      <c r="E47" s="47">
        <v>-1.6999999999999999E-3</v>
      </c>
      <c r="F47" s="47">
        <v>-1E-4</v>
      </c>
      <c r="G47" s="47"/>
      <c r="H47" s="47"/>
      <c r="I47" s="47"/>
      <c r="J47" s="47">
        <v>1E-4</v>
      </c>
      <c r="K47" s="47">
        <v>1E-4</v>
      </c>
      <c r="L47" s="47">
        <v>1E-4</v>
      </c>
      <c r="M47" s="47"/>
      <c r="N47" s="47"/>
      <c r="O47" s="71"/>
    </row>
    <row r="48" spans="1:15" s="18" customFormat="1" hidden="1" outlineLevel="1">
      <c r="A48" s="4"/>
      <c r="B48" s="536" t="s">
        <v>514</v>
      </c>
      <c r="C48" s="858"/>
      <c r="D48" s="47"/>
      <c r="E48" s="47"/>
      <c r="F48" s="47"/>
      <c r="G48" s="47">
        <f>-1.12/150</f>
        <v>-7.4666666666666675E-3</v>
      </c>
      <c r="H48" s="47"/>
      <c r="I48" s="47"/>
      <c r="J48" s="47"/>
      <c r="K48" s="47"/>
      <c r="L48" s="47"/>
      <c r="M48" s="47"/>
      <c r="N48" s="47"/>
      <c r="O48" s="71"/>
    </row>
    <row r="49" spans="1:15" s="18" customFormat="1" hidden="1" outlineLevel="1">
      <c r="A49" s="4"/>
      <c r="B49" s="536" t="s">
        <v>492</v>
      </c>
      <c r="C49" s="858"/>
      <c r="D49" s="47"/>
      <c r="E49" s="47"/>
      <c r="F49" s="47"/>
      <c r="G49" s="47"/>
      <c r="H49" s="47"/>
      <c r="I49" s="47"/>
      <c r="J49" s="47"/>
      <c r="K49" s="47"/>
      <c r="L49" s="47"/>
      <c r="M49" s="47"/>
      <c r="N49" s="47"/>
      <c r="O49" s="71"/>
    </row>
    <row r="50" spans="1:15" s="18" customFormat="1" collapsed="1">
      <c r="A50" s="4"/>
      <c r="B50" s="536" t="s">
        <v>515</v>
      </c>
      <c r="C50" s="859"/>
      <c r="D50" s="67">
        <f>SUM(D46:D49)</f>
        <v>1.5200000000000002E-2</v>
      </c>
      <c r="E50" s="67">
        <f t="shared" ref="E50:L50" si="18">SUM(E46:E49)</f>
        <v>1.5900000000000001E-2</v>
      </c>
      <c r="F50" s="67">
        <f t="shared" si="18"/>
        <v>1.7600000000000001E-2</v>
      </c>
      <c r="G50" s="67">
        <f t="shared" si="18"/>
        <v>3.8333333333333318E-3</v>
      </c>
      <c r="H50" s="67">
        <f t="shared" si="18"/>
        <v>1.15E-2</v>
      </c>
      <c r="I50" s="67">
        <f t="shared" si="18"/>
        <v>1.1599999999999999E-2</v>
      </c>
      <c r="J50" s="67">
        <f t="shared" si="18"/>
        <v>1.1899999999999999E-2</v>
      </c>
      <c r="K50" s="67">
        <f t="shared" si="18"/>
        <v>1.21E-2</v>
      </c>
      <c r="L50" s="67">
        <f t="shared" si="18"/>
        <v>1.2199999999999999E-2</v>
      </c>
      <c r="M50" s="67">
        <f t="shared" ref="M50:N50" si="19">SUM(M46:M49)</f>
        <v>0</v>
      </c>
      <c r="N50" s="67">
        <f t="shared" si="19"/>
        <v>0</v>
      </c>
      <c r="O50" s="78"/>
    </row>
    <row r="51" spans="1:15" s="14" customFormat="1">
      <c r="A51" s="74"/>
      <c r="B51" s="492" t="s">
        <v>516</v>
      </c>
      <c r="C51" s="488"/>
      <c r="D51" s="73"/>
      <c r="E51" s="484">
        <f t="shared" ref="E51:L51" si="20">ROUND(SUM(D50*E16+E50*E17)/12,4)</f>
        <v>1.5699999999999999E-2</v>
      </c>
      <c r="F51" s="484">
        <f t="shared" si="20"/>
        <v>1.7000000000000001E-2</v>
      </c>
      <c r="G51" s="484">
        <f t="shared" si="20"/>
        <v>1.4200000000000001E-2</v>
      </c>
      <c r="H51" s="484">
        <f t="shared" si="20"/>
        <v>8.8999999999999999E-3</v>
      </c>
      <c r="I51" s="484">
        <f t="shared" si="20"/>
        <v>1.1599999999999999E-2</v>
      </c>
      <c r="J51" s="484">
        <f t="shared" si="20"/>
        <v>1.18E-2</v>
      </c>
      <c r="K51" s="484">
        <f t="shared" si="20"/>
        <v>1.2E-2</v>
      </c>
      <c r="L51" s="484">
        <f t="shared" si="20"/>
        <v>1.2200000000000001E-2</v>
      </c>
      <c r="M51" s="484">
        <f t="shared" ref="M51:N51" si="21">ROUND(SUM(L50*M16+M50*M17)/12,4)</f>
        <v>0</v>
      </c>
      <c r="N51" s="484">
        <f t="shared" si="21"/>
        <v>0</v>
      </c>
      <c r="O51" s="489"/>
    </row>
    <row r="52" spans="1:15" s="72" customFormat="1" ht="14.25">
      <c r="A52" s="74"/>
      <c r="B52" s="492"/>
      <c r="C52" s="488"/>
      <c r="D52" s="73"/>
      <c r="E52" s="73"/>
      <c r="F52" s="73"/>
      <c r="G52" s="73"/>
      <c r="H52" s="73"/>
      <c r="I52" s="73"/>
      <c r="J52" s="73"/>
      <c r="K52" s="73"/>
      <c r="L52" s="494"/>
      <c r="M52" s="494"/>
      <c r="N52" s="494"/>
      <c r="O52" s="493"/>
    </row>
    <row r="53" spans="1:15" s="66" customFormat="1">
      <c r="A53" s="64"/>
      <c r="B53" s="604">
        <f>'1.  LRAMVA Summary'!B32</f>
        <v>0</v>
      </c>
      <c r="C53" s="857">
        <f>'2. LRAMVA Threshold'!I43</f>
        <v>0</v>
      </c>
      <c r="D53" s="47"/>
      <c r="E53" s="47"/>
      <c r="F53" s="47"/>
      <c r="G53" s="47"/>
      <c r="H53" s="47"/>
      <c r="I53" s="47"/>
      <c r="J53" s="47"/>
      <c r="K53" s="47"/>
      <c r="L53" s="47"/>
      <c r="M53" s="47"/>
      <c r="N53" s="47"/>
      <c r="O53" s="71"/>
    </row>
    <row r="54" spans="1:15" s="18" customFormat="1" hidden="1" outlineLevel="1">
      <c r="A54" s="4"/>
      <c r="B54" s="536" t="s">
        <v>513</v>
      </c>
      <c r="C54" s="858"/>
      <c r="D54" s="47"/>
      <c r="E54" s="47"/>
      <c r="F54" s="47"/>
      <c r="G54" s="47"/>
      <c r="H54" s="47"/>
      <c r="I54" s="47"/>
      <c r="J54" s="47"/>
      <c r="K54" s="47"/>
      <c r="L54" s="47"/>
      <c r="M54" s="47"/>
      <c r="N54" s="47"/>
      <c r="O54" s="71"/>
    </row>
    <row r="55" spans="1:15" s="18" customFormat="1" hidden="1" outlineLevel="1">
      <c r="A55" s="4"/>
      <c r="B55" s="536" t="s">
        <v>514</v>
      </c>
      <c r="C55" s="858"/>
      <c r="D55" s="47"/>
      <c r="E55" s="47"/>
      <c r="F55" s="47"/>
      <c r="G55" s="47"/>
      <c r="H55" s="47"/>
      <c r="I55" s="47"/>
      <c r="J55" s="47"/>
      <c r="K55" s="47"/>
      <c r="L55" s="47"/>
      <c r="M55" s="47"/>
      <c r="N55" s="47"/>
      <c r="O55" s="71"/>
    </row>
    <row r="56" spans="1:15" s="18" customFormat="1" hidden="1" outlineLevel="1">
      <c r="A56" s="4"/>
      <c r="B56" s="536" t="s">
        <v>492</v>
      </c>
      <c r="C56" s="858"/>
      <c r="D56" s="47"/>
      <c r="E56" s="47"/>
      <c r="F56" s="47"/>
      <c r="G56" s="47"/>
      <c r="H56" s="47"/>
      <c r="I56" s="47"/>
      <c r="J56" s="47"/>
      <c r="K56" s="47"/>
      <c r="L56" s="47"/>
      <c r="M56" s="47"/>
      <c r="N56" s="47"/>
      <c r="O56" s="71"/>
    </row>
    <row r="57" spans="1:15" s="18" customFormat="1" collapsed="1">
      <c r="A57" s="4"/>
      <c r="B57" s="536" t="s">
        <v>515</v>
      </c>
      <c r="C57" s="859"/>
      <c r="D57" s="67">
        <f>SUM(D53:D56)</f>
        <v>0</v>
      </c>
      <c r="E57" s="67">
        <f t="shared" ref="E57:L57" si="22">SUM(E53:E56)</f>
        <v>0</v>
      </c>
      <c r="F57" s="67">
        <f t="shared" si="22"/>
        <v>0</v>
      </c>
      <c r="G57" s="67">
        <f t="shared" si="22"/>
        <v>0</v>
      </c>
      <c r="H57" s="67">
        <f t="shared" si="22"/>
        <v>0</v>
      </c>
      <c r="I57" s="67">
        <f t="shared" si="22"/>
        <v>0</v>
      </c>
      <c r="J57" s="67">
        <f t="shared" si="22"/>
        <v>0</v>
      </c>
      <c r="K57" s="67">
        <f t="shared" si="22"/>
        <v>0</v>
      </c>
      <c r="L57" s="67">
        <f t="shared" si="22"/>
        <v>0</v>
      </c>
      <c r="M57" s="67">
        <f t="shared" ref="M57:N57" si="23">SUM(M53:M56)</f>
        <v>0</v>
      </c>
      <c r="N57" s="67">
        <f t="shared" si="23"/>
        <v>0</v>
      </c>
      <c r="O57" s="79"/>
    </row>
    <row r="58" spans="1:15" s="14" customFormat="1">
      <c r="A58" s="74"/>
      <c r="B58" s="492" t="s">
        <v>516</v>
      </c>
      <c r="C58" s="488"/>
      <c r="D58" s="73"/>
      <c r="E58" s="484">
        <f t="shared" ref="E58:L58" si="24">ROUND(SUM(D57*E16+E57*E17)/12,4)</f>
        <v>0</v>
      </c>
      <c r="F58" s="484">
        <f t="shared" si="24"/>
        <v>0</v>
      </c>
      <c r="G58" s="484">
        <f t="shared" si="24"/>
        <v>0</v>
      </c>
      <c r="H58" s="484">
        <f t="shared" si="24"/>
        <v>0</v>
      </c>
      <c r="I58" s="484">
        <f t="shared" si="24"/>
        <v>0</v>
      </c>
      <c r="J58" s="484">
        <f t="shared" si="24"/>
        <v>0</v>
      </c>
      <c r="K58" s="484">
        <f t="shared" si="24"/>
        <v>0</v>
      </c>
      <c r="L58" s="484">
        <f t="shared" si="24"/>
        <v>0</v>
      </c>
      <c r="M58" s="484">
        <f t="shared" ref="M58:N58" si="25">ROUND(SUM(L57*M16+M57*M17)/12,4)</f>
        <v>0</v>
      </c>
      <c r="N58" s="484">
        <f t="shared" si="25"/>
        <v>0</v>
      </c>
      <c r="O58" s="489"/>
    </row>
    <row r="59" spans="1:15" s="72" customFormat="1" ht="14.25">
      <c r="A59" s="74"/>
      <c r="B59" s="492"/>
      <c r="C59" s="488"/>
      <c r="D59" s="73"/>
      <c r="E59" s="73"/>
      <c r="F59" s="73"/>
      <c r="G59" s="73"/>
      <c r="H59" s="73"/>
      <c r="I59" s="73"/>
      <c r="J59" s="73"/>
      <c r="K59" s="73"/>
      <c r="L59" s="494"/>
      <c r="M59" s="494"/>
      <c r="N59" s="494"/>
      <c r="O59" s="493"/>
    </row>
    <row r="60" spans="1:15" s="66" customFormat="1">
      <c r="A60" s="64"/>
      <c r="B60" s="604">
        <f>'1.  LRAMVA Summary'!B33</f>
        <v>0</v>
      </c>
      <c r="C60" s="857">
        <f>'2. LRAMVA Threshold'!J43</f>
        <v>0</v>
      </c>
      <c r="D60" s="47"/>
      <c r="E60" s="47"/>
      <c r="F60" s="47"/>
      <c r="G60" s="47"/>
      <c r="H60" s="47"/>
      <c r="I60" s="47"/>
      <c r="J60" s="47"/>
      <c r="K60" s="47"/>
      <c r="L60" s="47"/>
      <c r="M60" s="47"/>
      <c r="N60" s="47"/>
      <c r="O60" s="71"/>
    </row>
    <row r="61" spans="1:15" s="18" customFormat="1" hidden="1" outlineLevel="1">
      <c r="A61" s="4"/>
      <c r="B61" s="536" t="s">
        <v>513</v>
      </c>
      <c r="C61" s="858"/>
      <c r="D61" s="47"/>
      <c r="E61" s="47"/>
      <c r="F61" s="47"/>
      <c r="G61" s="47"/>
      <c r="H61" s="47"/>
      <c r="I61" s="47"/>
      <c r="J61" s="47"/>
      <c r="K61" s="47"/>
      <c r="L61" s="47"/>
      <c r="M61" s="47"/>
      <c r="N61" s="47"/>
      <c r="O61" s="71"/>
    </row>
    <row r="62" spans="1:15" s="18" customFormat="1" hidden="1" outlineLevel="1">
      <c r="A62" s="4"/>
      <c r="B62" s="536" t="s">
        <v>514</v>
      </c>
      <c r="C62" s="858"/>
      <c r="D62" s="47"/>
      <c r="E62" s="47"/>
      <c r="F62" s="47"/>
      <c r="G62" s="47"/>
      <c r="H62" s="47"/>
      <c r="I62" s="47"/>
      <c r="J62" s="47"/>
      <c r="K62" s="47"/>
      <c r="L62" s="47"/>
      <c r="M62" s="47"/>
      <c r="N62" s="47"/>
      <c r="O62" s="71"/>
    </row>
    <row r="63" spans="1:15" s="18" customFormat="1" hidden="1" outlineLevel="1">
      <c r="A63" s="4"/>
      <c r="B63" s="536" t="s">
        <v>492</v>
      </c>
      <c r="C63" s="858"/>
      <c r="D63" s="47"/>
      <c r="E63" s="47"/>
      <c r="F63" s="47"/>
      <c r="G63" s="47"/>
      <c r="H63" s="47"/>
      <c r="I63" s="47"/>
      <c r="J63" s="47"/>
      <c r="K63" s="47"/>
      <c r="L63" s="47"/>
      <c r="M63" s="47"/>
      <c r="N63" s="47"/>
      <c r="O63" s="71"/>
    </row>
    <row r="64" spans="1:15" s="18" customFormat="1" collapsed="1">
      <c r="A64" s="4"/>
      <c r="B64" s="536" t="s">
        <v>515</v>
      </c>
      <c r="C64" s="859"/>
      <c r="D64" s="67">
        <f>SUM(D60:D63)</f>
        <v>0</v>
      </c>
      <c r="E64" s="67">
        <f t="shared" ref="E64:L64" si="26">SUM(E60:E63)</f>
        <v>0</v>
      </c>
      <c r="F64" s="67">
        <f t="shared" si="26"/>
        <v>0</v>
      </c>
      <c r="G64" s="67">
        <f t="shared" si="26"/>
        <v>0</v>
      </c>
      <c r="H64" s="67">
        <f t="shared" si="26"/>
        <v>0</v>
      </c>
      <c r="I64" s="67">
        <f t="shared" si="26"/>
        <v>0</v>
      </c>
      <c r="J64" s="67">
        <f t="shared" si="26"/>
        <v>0</v>
      </c>
      <c r="K64" s="67">
        <f t="shared" si="26"/>
        <v>0</v>
      </c>
      <c r="L64" s="67">
        <f t="shared" si="26"/>
        <v>0</v>
      </c>
      <c r="M64" s="67">
        <f t="shared" ref="M64:N64" si="27">SUM(M60:M63)</f>
        <v>0</v>
      </c>
      <c r="N64" s="67">
        <f t="shared" si="27"/>
        <v>0</v>
      </c>
      <c r="O64" s="79"/>
    </row>
    <row r="65" spans="1:15" s="14" customFormat="1">
      <c r="A65" s="74"/>
      <c r="B65" s="492" t="s">
        <v>516</v>
      </c>
      <c r="C65" s="488"/>
      <c r="D65" s="73"/>
      <c r="E65" s="484">
        <f t="shared" ref="E65:L65" si="28">ROUND(SUM(D64*E16+E64*E17)/12,4)</f>
        <v>0</v>
      </c>
      <c r="F65" s="484">
        <f t="shared" si="28"/>
        <v>0</v>
      </c>
      <c r="G65" s="484">
        <f t="shared" si="28"/>
        <v>0</v>
      </c>
      <c r="H65" s="484">
        <f t="shared" si="28"/>
        <v>0</v>
      </c>
      <c r="I65" s="484">
        <f>ROUND(SUM(H64*I16+I64*I17)/12,4)</f>
        <v>0</v>
      </c>
      <c r="J65" s="484">
        <f t="shared" si="28"/>
        <v>0</v>
      </c>
      <c r="K65" s="484">
        <f t="shared" si="28"/>
        <v>0</v>
      </c>
      <c r="L65" s="484">
        <f t="shared" si="28"/>
        <v>0</v>
      </c>
      <c r="M65" s="484">
        <f t="shared" ref="M65:N65" si="29">ROUND(SUM(L64*M16+M64*M17)/12,4)</f>
        <v>0</v>
      </c>
      <c r="N65" s="484">
        <f t="shared" si="29"/>
        <v>0</v>
      </c>
      <c r="O65" s="489"/>
    </row>
    <row r="66" spans="1:15" s="14" customFormat="1">
      <c r="A66" s="74"/>
      <c r="B66" s="75"/>
      <c r="C66" s="82"/>
      <c r="D66" s="73"/>
      <c r="E66" s="73"/>
      <c r="F66" s="73"/>
      <c r="G66" s="73"/>
      <c r="H66" s="73"/>
      <c r="I66" s="73"/>
      <c r="J66" s="73"/>
      <c r="K66" s="73"/>
      <c r="L66" s="487"/>
      <c r="M66" s="487"/>
      <c r="N66" s="487"/>
      <c r="O66" s="489"/>
    </row>
    <row r="67" spans="1:15" s="66" customFormat="1">
      <c r="A67" s="64"/>
      <c r="B67" s="604">
        <f>'1.  LRAMVA Summary'!B34</f>
        <v>0</v>
      </c>
      <c r="C67" s="857">
        <f>'2. LRAMVA Threshold'!K43</f>
        <v>0</v>
      </c>
      <c r="D67" s="47"/>
      <c r="E67" s="47"/>
      <c r="F67" s="47"/>
      <c r="G67" s="47"/>
      <c r="H67" s="47"/>
      <c r="I67" s="47"/>
      <c r="J67" s="47"/>
      <c r="K67" s="47"/>
      <c r="L67" s="47"/>
      <c r="M67" s="47"/>
      <c r="N67" s="47"/>
      <c r="O67" s="71"/>
    </row>
    <row r="68" spans="1:15" s="18" customFormat="1" hidden="1" outlineLevel="1">
      <c r="A68" s="4"/>
      <c r="B68" s="536" t="s">
        <v>513</v>
      </c>
      <c r="C68" s="858"/>
      <c r="D68" s="47"/>
      <c r="E68" s="47"/>
      <c r="F68" s="47"/>
      <c r="G68" s="47"/>
      <c r="H68" s="47"/>
      <c r="I68" s="47"/>
      <c r="J68" s="47"/>
      <c r="K68" s="47"/>
      <c r="L68" s="47"/>
      <c r="M68" s="47"/>
      <c r="N68" s="47"/>
      <c r="O68" s="71"/>
    </row>
    <row r="69" spans="1:15" s="18" customFormat="1" hidden="1" outlineLevel="1">
      <c r="A69" s="4"/>
      <c r="B69" s="536" t="s">
        <v>514</v>
      </c>
      <c r="C69" s="858"/>
      <c r="D69" s="47"/>
      <c r="E69" s="47"/>
      <c r="F69" s="47"/>
      <c r="G69" s="47"/>
      <c r="H69" s="47"/>
      <c r="I69" s="47"/>
      <c r="J69" s="47"/>
      <c r="K69" s="47"/>
      <c r="L69" s="47"/>
      <c r="M69" s="47"/>
      <c r="N69" s="47"/>
      <c r="O69" s="71"/>
    </row>
    <row r="70" spans="1:15" s="18" customFormat="1" hidden="1" outlineLevel="1">
      <c r="A70" s="4"/>
      <c r="B70" s="536" t="s">
        <v>492</v>
      </c>
      <c r="C70" s="858"/>
      <c r="D70" s="47"/>
      <c r="E70" s="47"/>
      <c r="F70" s="47"/>
      <c r="G70" s="47"/>
      <c r="H70" s="47"/>
      <c r="I70" s="47"/>
      <c r="J70" s="47"/>
      <c r="K70" s="47"/>
      <c r="L70" s="47"/>
      <c r="M70" s="47"/>
      <c r="N70" s="47"/>
      <c r="O70" s="71"/>
    </row>
    <row r="71" spans="1:15" s="18" customFormat="1" collapsed="1">
      <c r="A71" s="4"/>
      <c r="B71" s="536" t="s">
        <v>515</v>
      </c>
      <c r="C71" s="859"/>
      <c r="D71" s="67">
        <f>SUM(D67:D70)</f>
        <v>0</v>
      </c>
      <c r="E71" s="67">
        <f t="shared" ref="E71:L71" si="30">SUM(E67:E70)</f>
        <v>0</v>
      </c>
      <c r="F71" s="67">
        <f>SUM(F67:F70)</f>
        <v>0</v>
      </c>
      <c r="G71" s="67">
        <f t="shared" si="30"/>
        <v>0</v>
      </c>
      <c r="H71" s="67">
        <f t="shared" si="30"/>
        <v>0</v>
      </c>
      <c r="I71" s="67">
        <f t="shared" si="30"/>
        <v>0</v>
      </c>
      <c r="J71" s="67">
        <f t="shared" si="30"/>
        <v>0</v>
      </c>
      <c r="K71" s="67">
        <f t="shared" si="30"/>
        <v>0</v>
      </c>
      <c r="L71" s="67">
        <f t="shared" si="30"/>
        <v>0</v>
      </c>
      <c r="M71" s="67">
        <f t="shared" ref="M71:N71" si="31">SUM(M67:M70)</f>
        <v>0</v>
      </c>
      <c r="N71" s="67">
        <f t="shared" si="31"/>
        <v>0</v>
      </c>
      <c r="O71" s="79"/>
    </row>
    <row r="72" spans="1:15" s="14" customFormat="1">
      <c r="A72" s="74"/>
      <c r="B72" s="492" t="s">
        <v>516</v>
      </c>
      <c r="C72" s="488"/>
      <c r="D72" s="73"/>
      <c r="E72" s="484">
        <f t="shared" ref="E72:L72" si="32">ROUND(SUM(D71*E16+E71*E17)/12,4)</f>
        <v>0</v>
      </c>
      <c r="F72" s="484">
        <f t="shared" si="32"/>
        <v>0</v>
      </c>
      <c r="G72" s="484">
        <f t="shared" si="32"/>
        <v>0</v>
      </c>
      <c r="H72" s="484">
        <f t="shared" si="32"/>
        <v>0</v>
      </c>
      <c r="I72" s="484">
        <f t="shared" si="32"/>
        <v>0</v>
      </c>
      <c r="J72" s="484">
        <f t="shared" si="32"/>
        <v>0</v>
      </c>
      <c r="K72" s="484">
        <f t="shared" si="32"/>
        <v>0</v>
      </c>
      <c r="L72" s="484">
        <f t="shared" si="32"/>
        <v>0</v>
      </c>
      <c r="M72" s="484">
        <f t="shared" ref="M72:N72" si="33">ROUND(SUM(L71*M16+M71*M17)/12,4)</f>
        <v>0</v>
      </c>
      <c r="N72" s="484">
        <f t="shared" si="33"/>
        <v>0</v>
      </c>
      <c r="O72" s="489"/>
    </row>
    <row r="73" spans="1:15" s="14" customFormat="1">
      <c r="A73" s="74"/>
      <c r="B73" s="481"/>
      <c r="C73" s="488"/>
      <c r="D73" s="73"/>
      <c r="E73" s="484"/>
      <c r="F73" s="484"/>
      <c r="G73" s="484"/>
      <c r="H73" s="484"/>
      <c r="I73" s="484"/>
      <c r="J73" s="484"/>
      <c r="K73" s="484"/>
      <c r="L73" s="484"/>
      <c r="M73" s="484"/>
      <c r="N73" s="484"/>
      <c r="O73" s="489"/>
    </row>
    <row r="74" spans="1:15" s="66" customFormat="1">
      <c r="A74" s="64"/>
      <c r="B74" s="604">
        <f>'1.  LRAMVA Summary'!B35</f>
        <v>0</v>
      </c>
      <c r="C74" s="857">
        <f>'2. LRAMVA Threshold'!L43</f>
        <v>0</v>
      </c>
      <c r="D74" s="47"/>
      <c r="E74" s="47"/>
      <c r="F74" s="47"/>
      <c r="G74" s="47"/>
      <c r="H74" s="47"/>
      <c r="I74" s="47"/>
      <c r="J74" s="47"/>
      <c r="K74" s="47"/>
      <c r="L74" s="47"/>
      <c r="M74" s="47"/>
      <c r="N74" s="47"/>
      <c r="O74" s="71"/>
    </row>
    <row r="75" spans="1:15" s="18" customFormat="1" hidden="1" outlineLevel="1">
      <c r="A75" s="4"/>
      <c r="B75" s="536" t="s">
        <v>513</v>
      </c>
      <c r="C75" s="858"/>
      <c r="D75" s="47"/>
      <c r="E75" s="47"/>
      <c r="F75" s="47"/>
      <c r="G75" s="47"/>
      <c r="H75" s="47"/>
      <c r="I75" s="47"/>
      <c r="J75" s="47"/>
      <c r="K75" s="47"/>
      <c r="L75" s="47"/>
      <c r="M75" s="47"/>
      <c r="N75" s="47"/>
      <c r="O75" s="71"/>
    </row>
    <row r="76" spans="1:15" s="18" customFormat="1" hidden="1" outlineLevel="1">
      <c r="A76" s="4"/>
      <c r="B76" s="536" t="s">
        <v>514</v>
      </c>
      <c r="C76" s="858"/>
      <c r="D76" s="47"/>
      <c r="E76" s="47"/>
      <c r="F76" s="47"/>
      <c r="G76" s="47"/>
      <c r="H76" s="47"/>
      <c r="I76" s="47"/>
      <c r="J76" s="47"/>
      <c r="K76" s="47"/>
      <c r="L76" s="47"/>
      <c r="M76" s="47"/>
      <c r="N76" s="47"/>
      <c r="O76" s="71"/>
    </row>
    <row r="77" spans="1:15" s="18" customFormat="1" hidden="1" outlineLevel="1">
      <c r="A77" s="4"/>
      <c r="B77" s="536" t="s">
        <v>492</v>
      </c>
      <c r="C77" s="858"/>
      <c r="D77" s="47"/>
      <c r="E77" s="47"/>
      <c r="F77" s="47"/>
      <c r="G77" s="47"/>
      <c r="H77" s="47"/>
      <c r="I77" s="47"/>
      <c r="J77" s="47"/>
      <c r="K77" s="47"/>
      <c r="L77" s="47"/>
      <c r="M77" s="47"/>
      <c r="N77" s="47"/>
      <c r="O77" s="71"/>
    </row>
    <row r="78" spans="1:15" s="18" customFormat="1" collapsed="1">
      <c r="A78" s="4"/>
      <c r="B78" s="536" t="s">
        <v>515</v>
      </c>
      <c r="C78" s="859"/>
      <c r="D78" s="67">
        <f>SUM(D74:D77)</f>
        <v>0</v>
      </c>
      <c r="E78" s="67">
        <f>SUM(E74:E77)</f>
        <v>0</v>
      </c>
      <c r="F78" s="67">
        <f t="shared" ref="F78:N78" si="34">SUM(F74:F77)</f>
        <v>0</v>
      </c>
      <c r="G78" s="67">
        <f t="shared" si="34"/>
        <v>0</v>
      </c>
      <c r="H78" s="67">
        <f t="shared" si="34"/>
        <v>0</v>
      </c>
      <c r="I78" s="67">
        <f t="shared" si="34"/>
        <v>0</v>
      </c>
      <c r="J78" s="67">
        <f t="shared" si="34"/>
        <v>0</v>
      </c>
      <c r="K78" s="67">
        <f t="shared" si="34"/>
        <v>0</v>
      </c>
      <c r="L78" s="67">
        <f t="shared" si="34"/>
        <v>0</v>
      </c>
      <c r="M78" s="67">
        <f t="shared" si="34"/>
        <v>0</v>
      </c>
      <c r="N78" s="67">
        <f t="shared" si="34"/>
        <v>0</v>
      </c>
      <c r="O78" s="79"/>
    </row>
    <row r="79" spans="1:15" s="14" customFormat="1">
      <c r="A79" s="74"/>
      <c r="B79" s="492" t="s">
        <v>516</v>
      </c>
      <c r="C79" s="488"/>
      <c r="D79" s="73"/>
      <c r="E79" s="484">
        <f t="shared" ref="E79:N79" si="35">ROUND(SUM(D78*E16+E78*E17)/12,4)</f>
        <v>0</v>
      </c>
      <c r="F79" s="484">
        <f t="shared" si="35"/>
        <v>0</v>
      </c>
      <c r="G79" s="484">
        <f t="shared" si="35"/>
        <v>0</v>
      </c>
      <c r="H79" s="484">
        <f t="shared" si="35"/>
        <v>0</v>
      </c>
      <c r="I79" s="484">
        <f t="shared" si="35"/>
        <v>0</v>
      </c>
      <c r="J79" s="484">
        <f t="shared" si="35"/>
        <v>0</v>
      </c>
      <c r="K79" s="484">
        <f t="shared" si="35"/>
        <v>0</v>
      </c>
      <c r="L79" s="484">
        <f t="shared" si="35"/>
        <v>0</v>
      </c>
      <c r="M79" s="484">
        <f t="shared" si="35"/>
        <v>0</v>
      </c>
      <c r="N79" s="484">
        <f t="shared" si="35"/>
        <v>0</v>
      </c>
      <c r="O79" s="489"/>
    </row>
    <row r="80" spans="1:15" s="14" customFormat="1">
      <c r="A80" s="74"/>
      <c r="B80" s="481"/>
      <c r="C80" s="488"/>
      <c r="D80" s="73"/>
      <c r="E80" s="484"/>
      <c r="F80" s="484"/>
      <c r="G80" s="484"/>
      <c r="H80" s="484"/>
      <c r="I80" s="484"/>
      <c r="J80" s="484"/>
      <c r="K80" s="484"/>
      <c r="L80" s="484"/>
      <c r="M80" s="484"/>
      <c r="N80" s="484"/>
      <c r="O80" s="489"/>
    </row>
    <row r="81" spans="1:15" s="66" customFormat="1">
      <c r="A81" s="64"/>
      <c r="B81" s="604">
        <f>'1.  LRAMVA Summary'!B36</f>
        <v>0</v>
      </c>
      <c r="C81" s="857">
        <f>'2. LRAMVA Threshold'!M43</f>
        <v>0</v>
      </c>
      <c r="D81" s="47"/>
      <c r="E81" s="47"/>
      <c r="F81" s="47"/>
      <c r="G81" s="47"/>
      <c r="H81" s="47"/>
      <c r="I81" s="47"/>
      <c r="J81" s="47"/>
      <c r="K81" s="47"/>
      <c r="L81" s="47"/>
      <c r="M81" s="47"/>
      <c r="N81" s="47"/>
      <c r="O81" s="71"/>
    </row>
    <row r="82" spans="1:15" s="18" customFormat="1" hidden="1" outlineLevel="1">
      <c r="A82" s="4"/>
      <c r="B82" s="536" t="s">
        <v>513</v>
      </c>
      <c r="C82" s="858"/>
      <c r="D82" s="47"/>
      <c r="E82" s="47"/>
      <c r="F82" s="47"/>
      <c r="G82" s="47"/>
      <c r="H82" s="47"/>
      <c r="I82" s="47"/>
      <c r="J82" s="47"/>
      <c r="K82" s="47"/>
      <c r="L82" s="47"/>
      <c r="M82" s="47"/>
      <c r="N82" s="47"/>
      <c r="O82" s="71"/>
    </row>
    <row r="83" spans="1:15" s="18" customFormat="1" hidden="1" outlineLevel="1">
      <c r="A83" s="4"/>
      <c r="B83" s="536" t="s">
        <v>514</v>
      </c>
      <c r="C83" s="858"/>
      <c r="D83" s="47"/>
      <c r="E83" s="47"/>
      <c r="F83" s="47"/>
      <c r="G83" s="47"/>
      <c r="H83" s="47"/>
      <c r="I83" s="47"/>
      <c r="J83" s="47"/>
      <c r="K83" s="47"/>
      <c r="L83" s="47"/>
      <c r="M83" s="47"/>
      <c r="N83" s="47"/>
      <c r="O83" s="71"/>
    </row>
    <row r="84" spans="1:15" s="18" customFormat="1" hidden="1" outlineLevel="1">
      <c r="A84" s="4"/>
      <c r="B84" s="536" t="s">
        <v>492</v>
      </c>
      <c r="C84" s="858"/>
      <c r="D84" s="47"/>
      <c r="E84" s="47"/>
      <c r="F84" s="47"/>
      <c r="G84" s="47"/>
      <c r="H84" s="47"/>
      <c r="I84" s="47"/>
      <c r="J84" s="47"/>
      <c r="K84" s="47"/>
      <c r="L84" s="47"/>
      <c r="M84" s="47"/>
      <c r="N84" s="47"/>
      <c r="O84" s="71"/>
    </row>
    <row r="85" spans="1:15" s="18" customFormat="1" collapsed="1">
      <c r="A85" s="4"/>
      <c r="B85" s="536" t="s">
        <v>515</v>
      </c>
      <c r="C85" s="859"/>
      <c r="D85" s="67">
        <f>SUM(D81:D84)</f>
        <v>0</v>
      </c>
      <c r="E85" s="67">
        <f>SUM(E81:E84)</f>
        <v>0</v>
      </c>
      <c r="F85" s="67">
        <f t="shared" ref="F85:N85" si="36">SUM(F81:F84)</f>
        <v>0</v>
      </c>
      <c r="G85" s="67">
        <f t="shared" si="36"/>
        <v>0</v>
      </c>
      <c r="H85" s="67">
        <f t="shared" si="36"/>
        <v>0</v>
      </c>
      <c r="I85" s="67">
        <f t="shared" si="36"/>
        <v>0</v>
      </c>
      <c r="J85" s="67">
        <f t="shared" si="36"/>
        <v>0</v>
      </c>
      <c r="K85" s="67">
        <f t="shared" si="36"/>
        <v>0</v>
      </c>
      <c r="L85" s="67">
        <f t="shared" si="36"/>
        <v>0</v>
      </c>
      <c r="M85" s="67">
        <f t="shared" si="36"/>
        <v>0</v>
      </c>
      <c r="N85" s="67">
        <f t="shared" si="36"/>
        <v>0</v>
      </c>
      <c r="O85" s="79"/>
    </row>
    <row r="86" spans="1:15" s="14" customFormat="1">
      <c r="A86" s="74"/>
      <c r="B86" s="492" t="s">
        <v>516</v>
      </c>
      <c r="C86" s="488"/>
      <c r="D86" s="73"/>
      <c r="E86" s="484">
        <f t="shared" ref="E86:N86" si="37">ROUND(SUM(D85*E16+E85*E17)/12,4)</f>
        <v>0</v>
      </c>
      <c r="F86" s="484">
        <f t="shared" si="37"/>
        <v>0</v>
      </c>
      <c r="G86" s="484">
        <f t="shared" si="37"/>
        <v>0</v>
      </c>
      <c r="H86" s="484">
        <f t="shared" si="37"/>
        <v>0</v>
      </c>
      <c r="I86" s="484">
        <f t="shared" si="37"/>
        <v>0</v>
      </c>
      <c r="J86" s="484">
        <f t="shared" si="37"/>
        <v>0</v>
      </c>
      <c r="K86" s="484">
        <f t="shared" si="37"/>
        <v>0</v>
      </c>
      <c r="L86" s="484">
        <f t="shared" si="37"/>
        <v>0</v>
      </c>
      <c r="M86" s="484">
        <f t="shared" si="37"/>
        <v>0</v>
      </c>
      <c r="N86" s="484">
        <f t="shared" si="37"/>
        <v>0</v>
      </c>
      <c r="O86" s="489"/>
    </row>
    <row r="87" spans="1:15" s="14" customFormat="1">
      <c r="A87" s="74"/>
      <c r="B87" s="481"/>
      <c r="C87" s="488"/>
      <c r="D87" s="73"/>
      <c r="E87" s="484"/>
      <c r="F87" s="484"/>
      <c r="G87" s="484"/>
      <c r="H87" s="484"/>
      <c r="I87" s="484"/>
      <c r="J87" s="484"/>
      <c r="K87" s="484"/>
      <c r="L87" s="484"/>
      <c r="M87" s="484"/>
      <c r="N87" s="484"/>
      <c r="O87" s="489"/>
    </row>
    <row r="88" spans="1:15" s="66" customFormat="1">
      <c r="A88" s="64"/>
      <c r="B88" s="604">
        <f>'1.  LRAMVA Summary'!B37</f>
        <v>0</v>
      </c>
      <c r="C88" s="857">
        <f>'2. LRAMVA Threshold'!N43</f>
        <v>0</v>
      </c>
      <c r="D88" s="47"/>
      <c r="E88" s="47"/>
      <c r="F88" s="47"/>
      <c r="G88" s="47"/>
      <c r="H88" s="47"/>
      <c r="I88" s="47"/>
      <c r="J88" s="47"/>
      <c r="K88" s="47"/>
      <c r="L88" s="47"/>
      <c r="M88" s="47"/>
      <c r="N88" s="47"/>
      <c r="O88" s="71"/>
    </row>
    <row r="89" spans="1:15" s="18" customFormat="1" hidden="1" outlineLevel="1">
      <c r="A89" s="4"/>
      <c r="B89" s="536" t="s">
        <v>513</v>
      </c>
      <c r="C89" s="858"/>
      <c r="D89" s="47"/>
      <c r="E89" s="47"/>
      <c r="F89" s="47"/>
      <c r="G89" s="47"/>
      <c r="H89" s="47"/>
      <c r="I89" s="47"/>
      <c r="J89" s="47"/>
      <c r="K89" s="47"/>
      <c r="L89" s="47"/>
      <c r="M89" s="47"/>
      <c r="N89" s="47"/>
      <c r="O89" s="71"/>
    </row>
    <row r="90" spans="1:15" s="18" customFormat="1" hidden="1" outlineLevel="1">
      <c r="A90" s="4"/>
      <c r="B90" s="536" t="s">
        <v>514</v>
      </c>
      <c r="C90" s="858"/>
      <c r="D90" s="47"/>
      <c r="E90" s="47"/>
      <c r="F90" s="47"/>
      <c r="G90" s="47"/>
      <c r="H90" s="47"/>
      <c r="I90" s="47"/>
      <c r="J90" s="47"/>
      <c r="K90" s="47"/>
      <c r="L90" s="47"/>
      <c r="M90" s="47"/>
      <c r="N90" s="47"/>
      <c r="O90" s="71"/>
    </row>
    <row r="91" spans="1:15" s="18" customFormat="1" hidden="1" outlineLevel="1">
      <c r="A91" s="4"/>
      <c r="B91" s="536" t="s">
        <v>492</v>
      </c>
      <c r="C91" s="858"/>
      <c r="D91" s="47"/>
      <c r="E91" s="47"/>
      <c r="F91" s="47"/>
      <c r="G91" s="47"/>
      <c r="H91" s="47"/>
      <c r="I91" s="47"/>
      <c r="J91" s="47"/>
      <c r="K91" s="47"/>
      <c r="L91" s="47"/>
      <c r="M91" s="47"/>
      <c r="N91" s="47"/>
      <c r="O91" s="71"/>
    </row>
    <row r="92" spans="1:15" s="18" customFormat="1" collapsed="1">
      <c r="A92" s="4"/>
      <c r="B92" s="536" t="s">
        <v>515</v>
      </c>
      <c r="C92" s="859"/>
      <c r="D92" s="67">
        <f>SUM(D88:D91)</f>
        <v>0</v>
      </c>
      <c r="E92" s="67">
        <f>SUM(E88:E91)</f>
        <v>0</v>
      </c>
      <c r="F92" s="67">
        <f t="shared" ref="F92:N92" si="38">SUM(F88:F91)</f>
        <v>0</v>
      </c>
      <c r="G92" s="67">
        <f t="shared" si="38"/>
        <v>0</v>
      </c>
      <c r="H92" s="67">
        <f t="shared" si="38"/>
        <v>0</v>
      </c>
      <c r="I92" s="67">
        <f t="shared" si="38"/>
        <v>0</v>
      </c>
      <c r="J92" s="67">
        <f t="shared" si="38"/>
        <v>0</v>
      </c>
      <c r="K92" s="67">
        <f t="shared" si="38"/>
        <v>0</v>
      </c>
      <c r="L92" s="67">
        <f t="shared" si="38"/>
        <v>0</v>
      </c>
      <c r="M92" s="67">
        <f t="shared" si="38"/>
        <v>0</v>
      </c>
      <c r="N92" s="67">
        <f t="shared" si="38"/>
        <v>0</v>
      </c>
      <c r="O92" s="79"/>
    </row>
    <row r="93" spans="1:15" s="14" customFormat="1">
      <c r="A93" s="74"/>
      <c r="B93" s="492" t="s">
        <v>516</v>
      </c>
      <c r="C93" s="488"/>
      <c r="D93" s="73"/>
      <c r="E93" s="484">
        <f t="shared" ref="E93:N93" si="39">ROUND(SUM(D92*E16+E92*E17)/12,4)</f>
        <v>0</v>
      </c>
      <c r="F93" s="484">
        <f t="shared" si="39"/>
        <v>0</v>
      </c>
      <c r="G93" s="484">
        <f t="shared" si="39"/>
        <v>0</v>
      </c>
      <c r="H93" s="484">
        <f t="shared" si="39"/>
        <v>0</v>
      </c>
      <c r="I93" s="484">
        <f t="shared" si="39"/>
        <v>0</v>
      </c>
      <c r="J93" s="484">
        <f t="shared" si="39"/>
        <v>0</v>
      </c>
      <c r="K93" s="484">
        <f t="shared" si="39"/>
        <v>0</v>
      </c>
      <c r="L93" s="484">
        <f t="shared" si="39"/>
        <v>0</v>
      </c>
      <c r="M93" s="484">
        <f t="shared" si="39"/>
        <v>0</v>
      </c>
      <c r="N93" s="484">
        <f t="shared" si="39"/>
        <v>0</v>
      </c>
      <c r="O93" s="489"/>
    </row>
    <row r="94" spans="1:15" s="14" customFormat="1">
      <c r="A94" s="74"/>
      <c r="B94" s="481"/>
      <c r="C94" s="488"/>
      <c r="D94" s="73"/>
      <c r="E94" s="484"/>
      <c r="F94" s="484"/>
      <c r="G94" s="484"/>
      <c r="H94" s="484"/>
      <c r="I94" s="484"/>
      <c r="J94" s="484"/>
      <c r="K94" s="484"/>
      <c r="L94" s="484"/>
      <c r="M94" s="484"/>
      <c r="N94" s="484"/>
      <c r="O94" s="489"/>
    </row>
    <row r="95" spans="1:15" s="66" customFormat="1">
      <c r="A95" s="64"/>
      <c r="B95" s="604">
        <f>'1.  LRAMVA Summary'!B38</f>
        <v>0</v>
      </c>
      <c r="C95" s="857">
        <f>'2. LRAMVA Threshold'!O43</f>
        <v>0</v>
      </c>
      <c r="D95" s="47"/>
      <c r="E95" s="47"/>
      <c r="F95" s="47"/>
      <c r="G95" s="47"/>
      <c r="H95" s="47"/>
      <c r="I95" s="47"/>
      <c r="J95" s="47"/>
      <c r="K95" s="47"/>
      <c r="L95" s="47"/>
      <c r="M95" s="47"/>
      <c r="N95" s="47"/>
      <c r="O95" s="71"/>
    </row>
    <row r="96" spans="1:15" s="18" customFormat="1" hidden="1" outlineLevel="1">
      <c r="A96" s="4"/>
      <c r="B96" s="536" t="s">
        <v>513</v>
      </c>
      <c r="C96" s="858"/>
      <c r="D96" s="47"/>
      <c r="E96" s="47"/>
      <c r="F96" s="47"/>
      <c r="G96" s="47"/>
      <c r="H96" s="47"/>
      <c r="I96" s="47"/>
      <c r="J96" s="47"/>
      <c r="K96" s="47"/>
      <c r="L96" s="47"/>
      <c r="M96" s="47"/>
      <c r="N96" s="47"/>
      <c r="O96" s="71"/>
    </row>
    <row r="97" spans="1:15" s="18" customFormat="1" hidden="1" outlineLevel="1">
      <c r="A97" s="4"/>
      <c r="B97" s="536" t="s">
        <v>514</v>
      </c>
      <c r="C97" s="858"/>
      <c r="D97" s="47"/>
      <c r="E97" s="47"/>
      <c r="F97" s="47"/>
      <c r="G97" s="47"/>
      <c r="H97" s="47"/>
      <c r="I97" s="47"/>
      <c r="J97" s="47"/>
      <c r="K97" s="47"/>
      <c r="L97" s="47"/>
      <c r="M97" s="47"/>
      <c r="N97" s="47"/>
      <c r="O97" s="71"/>
    </row>
    <row r="98" spans="1:15" s="18" customFormat="1" hidden="1" outlineLevel="1">
      <c r="A98" s="4"/>
      <c r="B98" s="536" t="s">
        <v>492</v>
      </c>
      <c r="C98" s="858"/>
      <c r="D98" s="47"/>
      <c r="E98" s="47"/>
      <c r="F98" s="47"/>
      <c r="G98" s="47"/>
      <c r="H98" s="47"/>
      <c r="I98" s="47"/>
      <c r="J98" s="47"/>
      <c r="K98" s="47"/>
      <c r="L98" s="47"/>
      <c r="M98" s="47"/>
      <c r="N98" s="47"/>
      <c r="O98" s="71"/>
    </row>
    <row r="99" spans="1:15" s="18" customFormat="1" collapsed="1">
      <c r="A99" s="4"/>
      <c r="B99" s="536" t="s">
        <v>515</v>
      </c>
      <c r="C99" s="859"/>
      <c r="D99" s="67">
        <f>SUM(D95:D98)</f>
        <v>0</v>
      </c>
      <c r="E99" s="67">
        <f>SUM(E95:E98)</f>
        <v>0</v>
      </c>
      <c r="F99" s="67">
        <f t="shared" ref="F99:N99" si="40">SUM(F95:F98)</f>
        <v>0</v>
      </c>
      <c r="G99" s="67">
        <f t="shared" si="40"/>
        <v>0</v>
      </c>
      <c r="H99" s="67">
        <f t="shared" si="40"/>
        <v>0</v>
      </c>
      <c r="I99" s="67">
        <f t="shared" si="40"/>
        <v>0</v>
      </c>
      <c r="J99" s="67">
        <f t="shared" si="40"/>
        <v>0</v>
      </c>
      <c r="K99" s="67">
        <f t="shared" si="40"/>
        <v>0</v>
      </c>
      <c r="L99" s="67">
        <f t="shared" si="40"/>
        <v>0</v>
      </c>
      <c r="M99" s="67">
        <f t="shared" si="40"/>
        <v>0</v>
      </c>
      <c r="N99" s="67">
        <f t="shared" si="40"/>
        <v>0</v>
      </c>
      <c r="O99" s="79"/>
    </row>
    <row r="100" spans="1:15" s="14" customFormat="1">
      <c r="A100" s="74"/>
      <c r="B100" s="492" t="s">
        <v>516</v>
      </c>
      <c r="C100" s="488"/>
      <c r="D100" s="73"/>
      <c r="E100" s="484">
        <f t="shared" ref="E100:N100" si="41">ROUND(SUM(D99*E16+E99*E17)/12,4)</f>
        <v>0</v>
      </c>
      <c r="F100" s="484">
        <f t="shared" si="41"/>
        <v>0</v>
      </c>
      <c r="G100" s="484">
        <f t="shared" si="41"/>
        <v>0</v>
      </c>
      <c r="H100" s="484">
        <f t="shared" si="41"/>
        <v>0</v>
      </c>
      <c r="I100" s="484">
        <f t="shared" si="41"/>
        <v>0</v>
      </c>
      <c r="J100" s="484">
        <f t="shared" si="41"/>
        <v>0</v>
      </c>
      <c r="K100" s="484">
        <f t="shared" si="41"/>
        <v>0</v>
      </c>
      <c r="L100" s="484">
        <f t="shared" si="41"/>
        <v>0</v>
      </c>
      <c r="M100" s="484">
        <f t="shared" si="41"/>
        <v>0</v>
      </c>
      <c r="N100" s="484">
        <f t="shared" si="41"/>
        <v>0</v>
      </c>
      <c r="O100" s="489"/>
    </row>
    <row r="101" spans="1:15" s="14" customFormat="1">
      <c r="A101" s="74"/>
      <c r="B101" s="481"/>
      <c r="C101" s="488"/>
      <c r="D101" s="73"/>
      <c r="E101" s="484"/>
      <c r="F101" s="484"/>
      <c r="G101" s="484"/>
      <c r="H101" s="484"/>
      <c r="I101" s="484"/>
      <c r="J101" s="484"/>
      <c r="K101" s="484"/>
      <c r="L101" s="484"/>
      <c r="M101" s="484"/>
      <c r="N101" s="484"/>
      <c r="O101" s="489"/>
    </row>
    <row r="102" spans="1:15" s="66" customFormat="1">
      <c r="A102" s="64"/>
      <c r="B102" s="604">
        <f>'1.  LRAMVA Summary'!B39</f>
        <v>0</v>
      </c>
      <c r="C102" s="857">
        <f>'2. LRAMVA Threshold'!P43</f>
        <v>0</v>
      </c>
      <c r="D102" s="47"/>
      <c r="E102" s="47"/>
      <c r="F102" s="47"/>
      <c r="G102" s="47"/>
      <c r="H102" s="47"/>
      <c r="I102" s="47"/>
      <c r="J102" s="47"/>
      <c r="K102" s="47"/>
      <c r="L102" s="47"/>
      <c r="M102" s="47"/>
      <c r="N102" s="47"/>
      <c r="O102" s="71"/>
    </row>
    <row r="103" spans="1:15" s="18" customFormat="1" hidden="1" outlineLevel="1">
      <c r="A103" s="4"/>
      <c r="B103" s="536" t="s">
        <v>513</v>
      </c>
      <c r="C103" s="858"/>
      <c r="D103" s="47"/>
      <c r="E103" s="47"/>
      <c r="F103" s="47"/>
      <c r="G103" s="47"/>
      <c r="H103" s="47"/>
      <c r="I103" s="47"/>
      <c r="J103" s="47"/>
      <c r="K103" s="47"/>
      <c r="L103" s="47"/>
      <c r="M103" s="47"/>
      <c r="N103" s="47"/>
      <c r="O103" s="71"/>
    </row>
    <row r="104" spans="1:15" s="18" customFormat="1" hidden="1" outlineLevel="1">
      <c r="A104" s="4"/>
      <c r="B104" s="536" t="s">
        <v>514</v>
      </c>
      <c r="C104" s="858"/>
      <c r="D104" s="47"/>
      <c r="E104" s="47"/>
      <c r="F104" s="47"/>
      <c r="G104" s="47"/>
      <c r="H104" s="47"/>
      <c r="I104" s="47"/>
      <c r="J104" s="47"/>
      <c r="K104" s="47"/>
      <c r="L104" s="47"/>
      <c r="M104" s="47"/>
      <c r="N104" s="47"/>
      <c r="O104" s="71"/>
    </row>
    <row r="105" spans="1:15" s="18" customFormat="1" hidden="1" outlineLevel="1">
      <c r="A105" s="4"/>
      <c r="B105" s="536" t="s">
        <v>492</v>
      </c>
      <c r="C105" s="858"/>
      <c r="D105" s="47"/>
      <c r="E105" s="47"/>
      <c r="F105" s="47"/>
      <c r="G105" s="47"/>
      <c r="H105" s="47"/>
      <c r="I105" s="47"/>
      <c r="J105" s="47"/>
      <c r="K105" s="47"/>
      <c r="L105" s="47"/>
      <c r="M105" s="47"/>
      <c r="N105" s="47"/>
      <c r="O105" s="71"/>
    </row>
    <row r="106" spans="1:15" s="18" customFormat="1" collapsed="1">
      <c r="A106" s="4"/>
      <c r="B106" s="536" t="s">
        <v>515</v>
      </c>
      <c r="C106" s="859"/>
      <c r="D106" s="67">
        <f>SUM(D102:D105)</f>
        <v>0</v>
      </c>
      <c r="E106" s="67">
        <f>SUM(E102:E105)</f>
        <v>0</v>
      </c>
      <c r="F106" s="67">
        <f>SUM(F102:F105)</f>
        <v>0</v>
      </c>
      <c r="G106" s="67">
        <f t="shared" ref="G106:N106" si="42">SUM(G102:G105)</f>
        <v>0</v>
      </c>
      <c r="H106" s="67">
        <f t="shared" si="42"/>
        <v>0</v>
      </c>
      <c r="I106" s="67">
        <f t="shared" si="42"/>
        <v>0</v>
      </c>
      <c r="J106" s="67">
        <f t="shared" si="42"/>
        <v>0</v>
      </c>
      <c r="K106" s="67">
        <f t="shared" si="42"/>
        <v>0</v>
      </c>
      <c r="L106" s="67">
        <f t="shared" si="42"/>
        <v>0</v>
      </c>
      <c r="M106" s="67">
        <f t="shared" si="42"/>
        <v>0</v>
      </c>
      <c r="N106" s="67">
        <f t="shared" si="42"/>
        <v>0</v>
      </c>
      <c r="O106" s="79"/>
    </row>
    <row r="107" spans="1:15" s="14" customFormat="1">
      <c r="A107" s="74"/>
      <c r="B107" s="492" t="s">
        <v>516</v>
      </c>
      <c r="C107" s="488"/>
      <c r="D107" s="73"/>
      <c r="E107" s="484">
        <f t="shared" ref="E107:N107" si="43">ROUND(SUM(D106*E16+E106*E17)/12,4)</f>
        <v>0</v>
      </c>
      <c r="F107" s="484">
        <f t="shared" si="43"/>
        <v>0</v>
      </c>
      <c r="G107" s="484">
        <f t="shared" si="43"/>
        <v>0</v>
      </c>
      <c r="H107" s="484">
        <f t="shared" si="43"/>
        <v>0</v>
      </c>
      <c r="I107" s="484">
        <f t="shared" si="43"/>
        <v>0</v>
      </c>
      <c r="J107" s="484">
        <f t="shared" si="43"/>
        <v>0</v>
      </c>
      <c r="K107" s="484">
        <f t="shared" si="43"/>
        <v>0</v>
      </c>
      <c r="L107" s="484">
        <f t="shared" si="43"/>
        <v>0</v>
      </c>
      <c r="M107" s="484">
        <f t="shared" si="43"/>
        <v>0</v>
      </c>
      <c r="N107" s="484">
        <f t="shared" si="43"/>
        <v>0</v>
      </c>
      <c r="O107" s="489"/>
    </row>
    <row r="108" spans="1:15" s="14" customFormat="1">
      <c r="A108" s="74"/>
      <c r="B108" s="481"/>
      <c r="C108" s="488"/>
      <c r="D108" s="73"/>
      <c r="E108" s="484"/>
      <c r="F108" s="484"/>
      <c r="G108" s="484"/>
      <c r="H108" s="484"/>
      <c r="I108" s="484"/>
      <c r="J108" s="484"/>
      <c r="K108" s="484"/>
      <c r="L108" s="484"/>
      <c r="M108" s="484"/>
      <c r="N108" s="484"/>
      <c r="O108" s="489"/>
    </row>
    <row r="109" spans="1:15" s="66" customFormat="1">
      <c r="A109" s="64"/>
      <c r="B109" s="604">
        <f>'1.  LRAMVA Summary'!B40</f>
        <v>0</v>
      </c>
      <c r="C109" s="857">
        <f>'2. LRAMVA Threshold'!Q43</f>
        <v>0</v>
      </c>
      <c r="D109" s="47"/>
      <c r="E109" s="47"/>
      <c r="F109" s="47"/>
      <c r="G109" s="47"/>
      <c r="H109" s="47"/>
      <c r="I109" s="47"/>
      <c r="J109" s="47"/>
      <c r="K109" s="47"/>
      <c r="L109" s="47"/>
      <c r="M109" s="47"/>
      <c r="N109" s="47"/>
      <c r="O109" s="71"/>
    </row>
    <row r="110" spans="1:15" s="18" customFormat="1" hidden="1" outlineLevel="1">
      <c r="A110" s="4"/>
      <c r="B110" s="536" t="s">
        <v>513</v>
      </c>
      <c r="C110" s="858"/>
      <c r="D110" s="47"/>
      <c r="E110" s="47"/>
      <c r="F110" s="47"/>
      <c r="G110" s="47"/>
      <c r="H110" s="47"/>
      <c r="I110" s="47"/>
      <c r="J110" s="47"/>
      <c r="K110" s="47"/>
      <c r="L110" s="47"/>
      <c r="M110" s="47"/>
      <c r="N110" s="47"/>
      <c r="O110" s="71"/>
    </row>
    <row r="111" spans="1:15" s="18" customFormat="1" hidden="1" outlineLevel="1">
      <c r="A111" s="4"/>
      <c r="B111" s="536" t="s">
        <v>514</v>
      </c>
      <c r="C111" s="858"/>
      <c r="D111" s="47"/>
      <c r="E111" s="47"/>
      <c r="F111" s="47"/>
      <c r="G111" s="47"/>
      <c r="H111" s="47"/>
      <c r="I111" s="47"/>
      <c r="J111" s="47"/>
      <c r="K111" s="47"/>
      <c r="L111" s="47"/>
      <c r="M111" s="47"/>
      <c r="N111" s="47"/>
      <c r="O111" s="71"/>
    </row>
    <row r="112" spans="1:15" s="18" customFormat="1" hidden="1" outlineLevel="1">
      <c r="A112" s="4"/>
      <c r="B112" s="536" t="s">
        <v>492</v>
      </c>
      <c r="C112" s="858"/>
      <c r="D112" s="47"/>
      <c r="E112" s="47"/>
      <c r="F112" s="47"/>
      <c r="G112" s="47"/>
      <c r="H112" s="47"/>
      <c r="I112" s="47"/>
      <c r="J112" s="47"/>
      <c r="K112" s="47"/>
      <c r="L112" s="47"/>
      <c r="M112" s="47"/>
      <c r="N112" s="47"/>
      <c r="O112" s="71"/>
    </row>
    <row r="113" spans="1:17" s="18" customFormat="1" collapsed="1">
      <c r="A113" s="4"/>
      <c r="B113" s="536" t="s">
        <v>515</v>
      </c>
      <c r="C113" s="859"/>
      <c r="D113" s="67">
        <f>SUM(D109:D112)</f>
        <v>0</v>
      </c>
      <c r="E113" s="67">
        <f>SUM(E109:E112)</f>
        <v>0</v>
      </c>
      <c r="F113" s="67">
        <f>SUM(F109:F112)</f>
        <v>0</v>
      </c>
      <c r="G113" s="67">
        <f>SUM(G109:G112)</f>
        <v>0</v>
      </c>
      <c r="H113" s="67">
        <f t="shared" ref="H113:N113" si="44">SUM(H109:H112)</f>
        <v>0</v>
      </c>
      <c r="I113" s="67">
        <f t="shared" si="44"/>
        <v>0</v>
      </c>
      <c r="J113" s="67">
        <f t="shared" si="44"/>
        <v>0</v>
      </c>
      <c r="K113" s="67">
        <f t="shared" si="44"/>
        <v>0</v>
      </c>
      <c r="L113" s="67">
        <f t="shared" si="44"/>
        <v>0</v>
      </c>
      <c r="M113" s="67">
        <f t="shared" si="44"/>
        <v>0</v>
      </c>
      <c r="N113" s="67">
        <f t="shared" si="44"/>
        <v>0</v>
      </c>
      <c r="O113" s="79"/>
    </row>
    <row r="114" spans="1:17" s="14" customFormat="1">
      <c r="A114" s="74"/>
      <c r="B114" s="492" t="s">
        <v>516</v>
      </c>
      <c r="C114" s="488"/>
      <c r="D114" s="73"/>
      <c r="E114" s="484">
        <f t="shared" ref="E114:N114" si="45">ROUND(SUM(D113*E16+E113*E17)/12,4)</f>
        <v>0</v>
      </c>
      <c r="F114" s="484">
        <f t="shared" si="45"/>
        <v>0</v>
      </c>
      <c r="G114" s="484">
        <f t="shared" si="45"/>
        <v>0</v>
      </c>
      <c r="H114" s="484">
        <f t="shared" si="45"/>
        <v>0</v>
      </c>
      <c r="I114" s="484">
        <f t="shared" si="45"/>
        <v>0</v>
      </c>
      <c r="J114" s="484">
        <f t="shared" si="45"/>
        <v>0</v>
      </c>
      <c r="K114" s="484">
        <f t="shared" si="45"/>
        <v>0</v>
      </c>
      <c r="L114" s="484">
        <f t="shared" si="45"/>
        <v>0</v>
      </c>
      <c r="M114" s="484">
        <f t="shared" si="45"/>
        <v>0</v>
      </c>
      <c r="N114" s="484">
        <f t="shared" si="45"/>
        <v>0</v>
      </c>
      <c r="O114" s="489"/>
    </row>
    <row r="115" spans="1:17" s="72" customFormat="1" ht="14.25">
      <c r="A115" s="74"/>
      <c r="B115" s="76"/>
      <c r="C115" s="83"/>
      <c r="D115" s="77"/>
      <c r="E115" s="77"/>
      <c r="F115" s="77"/>
      <c r="G115" s="77"/>
      <c r="H115" s="77"/>
      <c r="I115" s="77"/>
      <c r="J115" s="77"/>
      <c r="K115" s="495"/>
      <c r="L115" s="496"/>
      <c r="M115" s="496"/>
      <c r="N115" s="496"/>
      <c r="O115" s="497"/>
    </row>
    <row r="116" spans="1:17" s="3" customFormat="1" ht="21" customHeight="1">
      <c r="A116" s="4"/>
      <c r="B116" s="498" t="s">
        <v>618</v>
      </c>
      <c r="C116" s="100"/>
      <c r="D116" s="499"/>
      <c r="E116" s="499"/>
      <c r="F116" s="499"/>
      <c r="G116" s="499"/>
      <c r="H116" s="499"/>
      <c r="I116" s="499"/>
      <c r="J116" s="499"/>
      <c r="K116" s="499"/>
      <c r="L116" s="499"/>
      <c r="M116" s="499"/>
      <c r="N116" s="499"/>
      <c r="O116" s="499"/>
    </row>
    <row r="119" spans="1:17" ht="15.75">
      <c r="B119" s="120" t="s">
        <v>486</v>
      </c>
      <c r="J119" s="18"/>
    </row>
    <row r="120" spans="1:17" s="14" customFormat="1" ht="55.5" customHeight="1">
      <c r="A120" s="74"/>
      <c r="B120" s="861" t="s">
        <v>620</v>
      </c>
      <c r="C120" s="861"/>
      <c r="D120" s="861"/>
      <c r="E120" s="861"/>
      <c r="F120" s="861"/>
      <c r="G120" s="861"/>
      <c r="H120" s="861"/>
      <c r="I120" s="861"/>
      <c r="J120" s="861"/>
      <c r="K120" s="861"/>
      <c r="L120" s="861"/>
      <c r="M120" s="861"/>
      <c r="N120" s="861"/>
      <c r="O120" s="861"/>
      <c r="P120" s="861"/>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GS&gt;50 kW</v>
      </c>
      <c r="F122" s="246" t="str">
        <f>'1.  LRAMVA Summary'!G50</f>
        <v>Streetlights</v>
      </c>
      <c r="G122" s="246" t="str">
        <f>'1.  LRAMVA Summary'!H50</f>
        <v>Unmetered Scattered Load</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5"/>
      <c r="C123" s="586" t="str">
        <f>'1.  LRAMVA Summary'!D51</f>
        <v>kWh</v>
      </c>
      <c r="D123" s="586" t="str">
        <f>'1.  LRAMVA Summary'!E51</f>
        <v>kWh</v>
      </c>
      <c r="E123" s="586" t="str">
        <f>'1.  LRAMVA Summary'!F51</f>
        <v>kW</v>
      </c>
      <c r="F123" s="586" t="str">
        <f>'1.  LRAMVA Summary'!G51</f>
        <v>kW</v>
      </c>
      <c r="G123" s="586" t="str">
        <f>'1.  LRAMVA Summary'!H51</f>
        <v>KWh</v>
      </c>
      <c r="H123" s="586">
        <f>'1.  LRAMVA Summary'!I51</f>
        <v>0</v>
      </c>
      <c r="I123" s="586">
        <f>'1.  LRAMVA Summary'!J51</f>
        <v>0</v>
      </c>
      <c r="J123" s="586">
        <f>'1.  LRAMVA Summary'!K51</f>
        <v>0</v>
      </c>
      <c r="K123" s="586">
        <f>'1.  LRAMVA Summary'!L51</f>
        <v>0</v>
      </c>
      <c r="L123" s="586">
        <f>'1.  LRAMVA Summary'!M51</f>
        <v>0</v>
      </c>
      <c r="M123" s="586">
        <f>'1.  LRAMVA Summary'!N51</f>
        <v>0</v>
      </c>
      <c r="N123" s="586">
        <f>'1.  LRAMVA Summary'!O51</f>
        <v>0</v>
      </c>
      <c r="O123" s="586">
        <f>'1.  LRAMVA Summary'!P51</f>
        <v>0</v>
      </c>
      <c r="P123" s="587">
        <f>'1.  LRAMVA Summary'!Q51</f>
        <v>0</v>
      </c>
    </row>
    <row r="124" spans="1:17">
      <c r="B124" s="500">
        <v>2011</v>
      </c>
      <c r="C124" s="681">
        <f t="shared" ref="C124:C129" si="46">HLOOKUP(B124,$E$15:$O$114,9,FALSE)</f>
        <v>1.7100000000000001E-2</v>
      </c>
      <c r="D124" s="682">
        <f>HLOOKUP(B124,$E$15:$O$114,16,FALSE)</f>
        <v>1.11E-2</v>
      </c>
      <c r="E124" s="683">
        <f>HLOOKUP(B124,$E$15:$O$114,23,FALSE)</f>
        <v>2.504</v>
      </c>
      <c r="F124" s="682">
        <f>HLOOKUP(B124,$E$15:$O$114,30,FALSE)</f>
        <v>12.955299999999999</v>
      </c>
      <c r="G124" s="683">
        <f>HLOOKUP(B124,$E$15:$O$114,37,FALSE)</f>
        <v>1.5699999999999999E-2</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46"/>
        <v>1.6799999999999999E-2</v>
      </c>
      <c r="D125" s="685">
        <f>HLOOKUP(B125,$E$15:$O$114,16,FALSE)</f>
        <v>1.12E-2</v>
      </c>
      <c r="E125" s="686">
        <f>HLOOKUP(B125,$E$15:$O$114,23,FALSE)</f>
        <v>2.6152000000000002</v>
      </c>
      <c r="F125" s="685">
        <f>HLOOKUP(B125,$E$15:$O$114,30,FALSE)</f>
        <v>13.776899999999999</v>
      </c>
      <c r="G125" s="686">
        <f>HLOOKUP(B125,$E$15:$O$114,37,FALSE)</f>
        <v>1.7000000000000001E-2</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47">HLOOKUP(B125,$E$15:$O$114,100,FALSE)</f>
        <v>0</v>
      </c>
    </row>
    <row r="126" spans="1:17">
      <c r="B126" s="501">
        <v>2013</v>
      </c>
      <c r="C126" s="684">
        <f t="shared" si="46"/>
        <v>1.7500000000000002E-2</v>
      </c>
      <c r="D126" s="685">
        <f t="shared" ref="D126:D133" si="48">HLOOKUP(B126,$E$15:$O$114,16,FALSE)</f>
        <v>1.18E-2</v>
      </c>
      <c r="E126" s="686">
        <f t="shared" ref="E126:E133" si="49">HLOOKUP(B126,$E$15:$O$114,23,FALSE)</f>
        <v>2.7355</v>
      </c>
      <c r="F126" s="685">
        <f t="shared" ref="F126:F133" si="50">HLOOKUP(B126,$E$15:$O$114,30,FALSE)</f>
        <v>13.9131</v>
      </c>
      <c r="G126" s="686">
        <f t="shared" ref="G126:G132" si="51">HLOOKUP(B126,$E$15:$O$114,37,FALSE)</f>
        <v>1.4200000000000001E-2</v>
      </c>
      <c r="H126" s="685">
        <f t="shared" ref="H126:H133" si="52">HLOOKUP(B126,$E$15:$O$114,44,FALSE)</f>
        <v>0</v>
      </c>
      <c r="I126" s="686">
        <f t="shared" ref="I126:I133" si="53">HLOOKUP(B126,$E$15:$O$114,51,FALSE)</f>
        <v>0</v>
      </c>
      <c r="J126" s="686">
        <f t="shared" ref="J126:J133" si="54">HLOOKUP(B126,$E$15:$O$114,58,FALSE)</f>
        <v>0</v>
      </c>
      <c r="K126" s="686">
        <f t="shared" ref="K126:K133" si="55">HLOOKUP(B126,$E$15:$O$114,65,FALSE)</f>
        <v>0</v>
      </c>
      <c r="L126" s="686">
        <f>HLOOKUP(B126,$E$15:$O$114,72,FALSE)</f>
        <v>0</v>
      </c>
      <c r="M126" s="686">
        <f t="shared" ref="M126:M133" si="56">HLOOKUP(B126,$E$15:$O$114,79,FALSE)</f>
        <v>0</v>
      </c>
      <c r="N126" s="686">
        <f t="shared" ref="N126:N133" si="57">HLOOKUP(B126,$E$15:$O$114,86,FALSE)</f>
        <v>0</v>
      </c>
      <c r="O126" s="686">
        <f t="shared" ref="O126:O133" si="58">HLOOKUP(B126,$E$15:$O$114,93,FALSE)</f>
        <v>0</v>
      </c>
      <c r="P126" s="686">
        <f t="shared" si="47"/>
        <v>0</v>
      </c>
    </row>
    <row r="127" spans="1:17">
      <c r="B127" s="501">
        <v>2014</v>
      </c>
      <c r="C127" s="684">
        <f t="shared" si="46"/>
        <v>1.9699999999999999E-2</v>
      </c>
      <c r="D127" s="685">
        <f>HLOOKUP(B127,$E$15:$O$114,16,FALSE)</f>
        <v>1.34E-2</v>
      </c>
      <c r="E127" s="686">
        <f>HLOOKUP(B127,$E$15:$O$114,23,FALSE)</f>
        <v>3.1166999999999998</v>
      </c>
      <c r="F127" s="685">
        <f>HLOOKUP(B127,$E$15:$O$114,30,FALSE)</f>
        <v>14.521699999999999</v>
      </c>
      <c r="G127" s="686">
        <f>HLOOKUP(B127,$E$15:$O$114,37,FALSE)</f>
        <v>8.8999999999999999E-3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46"/>
        <v>1.9800000000000002E-2</v>
      </c>
      <c r="D128" s="685">
        <f t="shared" si="48"/>
        <v>1.34E-2</v>
      </c>
      <c r="E128" s="686">
        <f t="shared" si="49"/>
        <v>3.1553</v>
      </c>
      <c r="F128" s="685">
        <f t="shared" si="50"/>
        <v>14.715299999999999</v>
      </c>
      <c r="G128" s="686">
        <f t="shared" si="51"/>
        <v>1.1599999999999999E-2</v>
      </c>
      <c r="H128" s="685">
        <f t="shared" si="52"/>
        <v>0</v>
      </c>
      <c r="I128" s="686">
        <f t="shared" si="53"/>
        <v>0</v>
      </c>
      <c r="J128" s="686">
        <f t="shared" si="54"/>
        <v>0</v>
      </c>
      <c r="K128" s="686">
        <f t="shared" si="55"/>
        <v>0</v>
      </c>
      <c r="L128" s="686">
        <f t="shared" ref="L128:L133" si="59">HLOOKUP(B128,$E$15:$O$114,72,FALSE)</f>
        <v>0</v>
      </c>
      <c r="M128" s="686">
        <f t="shared" si="56"/>
        <v>0</v>
      </c>
      <c r="N128" s="686">
        <f t="shared" si="57"/>
        <v>0</v>
      </c>
      <c r="O128" s="686">
        <f t="shared" si="58"/>
        <v>0</v>
      </c>
      <c r="P128" s="686">
        <f t="shared" si="47"/>
        <v>0</v>
      </c>
    </row>
    <row r="129" spans="2:16">
      <c r="B129" s="501">
        <v>2016</v>
      </c>
      <c r="C129" s="684">
        <f t="shared" si="46"/>
        <v>1.6899999999999998E-2</v>
      </c>
      <c r="D129" s="685">
        <f t="shared" si="48"/>
        <v>1.37E-2</v>
      </c>
      <c r="E129" s="686">
        <f t="shared" si="49"/>
        <v>3.2206000000000001</v>
      </c>
      <c r="F129" s="685">
        <f t="shared" si="50"/>
        <v>15.076599999999999</v>
      </c>
      <c r="G129" s="686">
        <f t="shared" si="51"/>
        <v>1.18E-2</v>
      </c>
      <c r="H129" s="685">
        <f t="shared" si="52"/>
        <v>0</v>
      </c>
      <c r="I129" s="686">
        <f t="shared" si="53"/>
        <v>0</v>
      </c>
      <c r="J129" s="686">
        <f t="shared" si="54"/>
        <v>0</v>
      </c>
      <c r="K129" s="686">
        <f t="shared" si="55"/>
        <v>0</v>
      </c>
      <c r="L129" s="686">
        <f t="shared" si="59"/>
        <v>0</v>
      </c>
      <c r="M129" s="686">
        <f t="shared" si="56"/>
        <v>0</v>
      </c>
      <c r="N129" s="686">
        <f t="shared" si="57"/>
        <v>0</v>
      </c>
      <c r="O129" s="686">
        <f t="shared" si="58"/>
        <v>0</v>
      </c>
      <c r="P129" s="686">
        <f t="shared" si="47"/>
        <v>0</v>
      </c>
    </row>
    <row r="130" spans="2:16" hidden="1">
      <c r="B130" s="501">
        <v>2017</v>
      </c>
      <c r="C130" s="684">
        <f>HLOOKUP(B130,$E$15:$O$114,9,FALSE)</f>
        <v>1.21E-2</v>
      </c>
      <c r="D130" s="685">
        <f t="shared" si="48"/>
        <v>1.3899999999999999E-2</v>
      </c>
      <c r="E130" s="686">
        <f t="shared" si="49"/>
        <v>3.2837999999999998</v>
      </c>
      <c r="F130" s="685">
        <f t="shared" si="50"/>
        <v>15.401</v>
      </c>
      <c r="G130" s="686">
        <f t="shared" si="51"/>
        <v>1.2E-2</v>
      </c>
      <c r="H130" s="685">
        <f t="shared" si="52"/>
        <v>0</v>
      </c>
      <c r="I130" s="686">
        <f t="shared" si="53"/>
        <v>0</v>
      </c>
      <c r="J130" s="686">
        <f t="shared" si="54"/>
        <v>0</v>
      </c>
      <c r="K130" s="686">
        <f t="shared" si="55"/>
        <v>0</v>
      </c>
      <c r="L130" s="686">
        <f t="shared" si="59"/>
        <v>0</v>
      </c>
      <c r="M130" s="686">
        <f t="shared" si="56"/>
        <v>0</v>
      </c>
      <c r="N130" s="686">
        <f t="shared" si="57"/>
        <v>0</v>
      </c>
      <c r="O130" s="686">
        <f t="shared" si="58"/>
        <v>0</v>
      </c>
      <c r="P130" s="686">
        <f t="shared" si="47"/>
        <v>0</v>
      </c>
    </row>
    <row r="131" spans="2:16" hidden="1">
      <c r="B131" s="501">
        <v>2018</v>
      </c>
      <c r="C131" s="684">
        <f t="shared" ref="C131:C133" si="60">HLOOKUP(B131,$E$15:$O$114,9,FALSE)</f>
        <v>7.1000000000000004E-3</v>
      </c>
      <c r="D131" s="685">
        <f t="shared" si="48"/>
        <v>1.41E-2</v>
      </c>
      <c r="E131" s="686">
        <f t="shared" si="49"/>
        <v>3.3248000000000002</v>
      </c>
      <c r="F131" s="685">
        <f t="shared" si="50"/>
        <v>15.6023</v>
      </c>
      <c r="G131" s="686">
        <f t="shared" si="51"/>
        <v>1.2200000000000001E-2</v>
      </c>
      <c r="H131" s="685">
        <f t="shared" si="52"/>
        <v>0</v>
      </c>
      <c r="I131" s="686">
        <f t="shared" si="53"/>
        <v>0</v>
      </c>
      <c r="J131" s="686">
        <f t="shared" si="54"/>
        <v>0</v>
      </c>
      <c r="K131" s="686">
        <f t="shared" si="55"/>
        <v>0</v>
      </c>
      <c r="L131" s="686">
        <f t="shared" si="59"/>
        <v>0</v>
      </c>
      <c r="M131" s="686">
        <f t="shared" si="56"/>
        <v>0</v>
      </c>
      <c r="N131" s="686">
        <f t="shared" si="57"/>
        <v>0</v>
      </c>
      <c r="O131" s="686">
        <f t="shared" si="58"/>
        <v>0</v>
      </c>
      <c r="P131" s="686">
        <f t="shared" si="47"/>
        <v>0</v>
      </c>
    </row>
    <row r="132" spans="2:16" hidden="1">
      <c r="B132" s="501">
        <v>2019</v>
      </c>
      <c r="C132" s="684">
        <f t="shared" si="60"/>
        <v>0</v>
      </c>
      <c r="D132" s="685">
        <f t="shared" si="48"/>
        <v>0</v>
      </c>
      <c r="E132" s="686">
        <f t="shared" si="49"/>
        <v>0</v>
      </c>
      <c r="F132" s="685">
        <f t="shared" si="50"/>
        <v>0</v>
      </c>
      <c r="G132" s="686">
        <f t="shared" si="51"/>
        <v>0</v>
      </c>
      <c r="H132" s="685">
        <f t="shared" si="52"/>
        <v>0</v>
      </c>
      <c r="I132" s="686">
        <f t="shared" si="53"/>
        <v>0</v>
      </c>
      <c r="J132" s="686">
        <f t="shared" si="54"/>
        <v>0</v>
      </c>
      <c r="K132" s="686">
        <f t="shared" si="55"/>
        <v>0</v>
      </c>
      <c r="L132" s="686">
        <f t="shared" si="59"/>
        <v>0</v>
      </c>
      <c r="M132" s="686">
        <f t="shared" si="56"/>
        <v>0</v>
      </c>
      <c r="N132" s="686">
        <f t="shared" si="57"/>
        <v>0</v>
      </c>
      <c r="O132" s="686">
        <f t="shared" si="58"/>
        <v>0</v>
      </c>
      <c r="P132" s="686">
        <f t="shared" si="47"/>
        <v>0</v>
      </c>
    </row>
    <row r="133" spans="2:16" hidden="1">
      <c r="B133" s="502">
        <v>2020</v>
      </c>
      <c r="C133" s="687">
        <f t="shared" si="60"/>
        <v>0</v>
      </c>
      <c r="D133" s="688">
        <f t="shared" si="48"/>
        <v>0</v>
      </c>
      <c r="E133" s="689">
        <f t="shared" si="49"/>
        <v>0</v>
      </c>
      <c r="F133" s="688">
        <f t="shared" si="50"/>
        <v>0</v>
      </c>
      <c r="G133" s="689">
        <f>HLOOKUP(B133,$E$15:$O$114,37,FALSE)</f>
        <v>0</v>
      </c>
      <c r="H133" s="688">
        <f t="shared" si="52"/>
        <v>0</v>
      </c>
      <c r="I133" s="689">
        <f t="shared" si="53"/>
        <v>0</v>
      </c>
      <c r="J133" s="689">
        <f t="shared" si="54"/>
        <v>0</v>
      </c>
      <c r="K133" s="689">
        <f t="shared" si="55"/>
        <v>0</v>
      </c>
      <c r="L133" s="689">
        <f t="shared" si="59"/>
        <v>0</v>
      </c>
      <c r="M133" s="689">
        <f t="shared" si="56"/>
        <v>0</v>
      </c>
      <c r="N133" s="689">
        <f t="shared" si="57"/>
        <v>0</v>
      </c>
      <c r="O133" s="689">
        <f t="shared" si="58"/>
        <v>0</v>
      </c>
      <c r="P133" s="689">
        <f t="shared" si="47"/>
        <v>0</v>
      </c>
    </row>
    <row r="134" spans="2:16" ht="18.75" customHeight="1">
      <c r="B134" s="498" t="s">
        <v>637</v>
      </c>
      <c r="C134" s="598"/>
      <c r="D134" s="599"/>
      <c r="E134" s="600"/>
      <c r="F134" s="599"/>
      <c r="G134" s="599"/>
      <c r="H134" s="599"/>
      <c r="I134" s="599"/>
      <c r="J134" s="599"/>
      <c r="K134" s="599"/>
      <c r="L134" s="599"/>
      <c r="M134" s="599"/>
      <c r="N134" s="599"/>
      <c r="O134" s="599"/>
      <c r="P134" s="599"/>
    </row>
    <row r="136" spans="2:16">
      <c r="B136" s="592" t="s">
        <v>528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F2A938E00464788AA8DA6844BFD30" ma:contentTypeVersion="10" ma:contentTypeDescription="Create a new document." ma:contentTypeScope="" ma:versionID="032aa8439f456a09e4377c96863b5d61">
  <xsd:schema xmlns:xsd="http://www.w3.org/2001/XMLSchema" xmlns:xs="http://www.w3.org/2001/XMLSchema" xmlns:p="http://schemas.microsoft.com/office/2006/metadata/properties" xmlns:ns2="6b62161a-5797-45a8-9254-392466b6618c" targetNamespace="http://schemas.microsoft.com/office/2006/metadata/properties" ma:root="true" ma:fieldsID="ac2aab59e7cdb82b79839c01eea2411d" ns2:_="">
    <xsd:import namespace="6b62161a-5797-45a8-9254-392466b661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2161a-5797-45a8-9254-392466b66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346D5B-4C5B-41E9-B58C-EAA041ADA2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2161a-5797-45a8-9254-392466b66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7073F9-AD8C-43E5-A283-AF6174104231}">
  <ds:schemaRefs>
    <ds:schemaRef ds:uri="http://schemas.microsoft.com/sharepoint/v3/contenttype/forms"/>
  </ds:schemaRefs>
</ds:datastoreItem>
</file>

<file path=customXml/itemProps3.xml><?xml version="1.0" encoding="utf-8"?>
<ds:datastoreItem xmlns:ds="http://schemas.openxmlformats.org/officeDocument/2006/customXml" ds:itemID="{5FBD09A1-DF28-4014-9333-D6D4ABFFACCC}">
  <ds:schemaRefs>
    <ds:schemaRef ds:uri="http://schemas.microsoft.com/office/2006/documentManagement/types"/>
    <ds:schemaRef ds:uri="http://purl.org/dc/elements/1.1/"/>
    <ds:schemaRef ds:uri="http://purl.org/dc/terms/"/>
    <ds:schemaRef ds:uri="6b62161a-5797-45a8-9254-392466b6618c"/>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IRM Chart</vt: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OEB Staff</dc:creator>
  <cp:lastModifiedBy>Hesselink, Tim</cp:lastModifiedBy>
  <cp:lastPrinted>2018-11-14T20:36:48Z</cp:lastPrinted>
  <dcterms:created xsi:type="dcterms:W3CDTF">2012-03-05T18:56:04Z</dcterms:created>
  <dcterms:modified xsi:type="dcterms:W3CDTF">2018-11-14T20:36:55Z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0x010100C2DF2A938E00464788AA8DA6844BFD30</vt:lpwstr>
  </property>
  <property fmtid="{D5CDD505-2E9C-101B-9397-08002B2CF9AE}" pid="3" name="Order">
    <vt:r8>2174500</vt:r8>
  </property>
</Properties>
</file>