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ul.machado\OneDrive - Entegrus\Municipality CK Streetlighting\Monthly Reports\Phase I\"/>
    </mc:Choice>
  </mc:AlternateContent>
  <xr:revisionPtr revIDLastSave="0" documentId="10_ncr:100000_{71C045B9-D613-4E92-841E-7E72A943C821}" xr6:coauthVersionLast="31" xr6:coauthVersionMax="31" xr10:uidLastSave="{00000000-0000-0000-0000-000000000000}"/>
  <bookViews>
    <workbookView xWindow="0" yWindow="12120" windowWidth="22968" windowHeight="6936" xr2:uid="{00000000-000D-0000-FFFF-FFFF00000000}"/>
  </bookViews>
  <sheets>
    <sheet name="Streetlight Conversion Summary" sheetId="5" r:id="rId1"/>
    <sheet name="Payback Chatham-Kent (HydroOne)" sheetId="7" state="hidden" r:id="rId2"/>
    <sheet name="Configurations" sheetId="3" state="hidden" r:id="rId3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5" l="1"/>
  <c r="F13" i="5"/>
  <c r="I30" i="5"/>
  <c r="D28" i="5" l="1"/>
  <c r="H27" i="5"/>
  <c r="F27" i="5"/>
  <c r="E27" i="5"/>
  <c r="H26" i="5"/>
  <c r="F26" i="5"/>
  <c r="E26" i="5"/>
  <c r="H25" i="5"/>
  <c r="F25" i="5"/>
  <c r="E25" i="5"/>
  <c r="H24" i="5"/>
  <c r="F24" i="5"/>
  <c r="E24" i="5"/>
  <c r="H23" i="5"/>
  <c r="F23" i="5"/>
  <c r="E23" i="5"/>
  <c r="H22" i="5"/>
  <c r="F22" i="5"/>
  <c r="E22" i="5"/>
  <c r="D13" i="5"/>
  <c r="H8" i="5"/>
  <c r="H9" i="5"/>
  <c r="H10" i="5"/>
  <c r="H11" i="5"/>
  <c r="H12" i="5"/>
  <c r="H7" i="5"/>
  <c r="I23" i="5" l="1"/>
  <c r="I25" i="5"/>
  <c r="I24" i="5"/>
  <c r="I26" i="5"/>
  <c r="I22" i="5"/>
  <c r="I27" i="5"/>
  <c r="I28" i="5" l="1"/>
  <c r="E9" i="5"/>
  <c r="E10" i="5"/>
  <c r="E11" i="5"/>
  <c r="E12" i="5"/>
  <c r="E7" i="5"/>
  <c r="E8" i="5"/>
  <c r="F8" i="5"/>
  <c r="I8" i="5" s="1"/>
  <c r="F9" i="5" l="1"/>
  <c r="I9" i="5" s="1"/>
  <c r="F10" i="5"/>
  <c r="I10" i="5" s="1"/>
  <c r="F11" i="5"/>
  <c r="I11" i="5" s="1"/>
  <c r="F12" i="5"/>
  <c r="I12" i="5" s="1"/>
  <c r="F7" i="5"/>
  <c r="I7" i="5" l="1"/>
  <c r="H28" i="7"/>
  <c r="C19" i="7"/>
  <c r="O17" i="7"/>
  <c r="S17" i="7" s="1"/>
  <c r="V17" i="7" s="1"/>
  <c r="M17" i="7"/>
  <c r="J17" i="7"/>
  <c r="K17" i="7" s="1"/>
  <c r="F17" i="7"/>
  <c r="D17" i="7"/>
  <c r="O16" i="7"/>
  <c r="S16" i="7" s="1"/>
  <c r="M16" i="7"/>
  <c r="J16" i="7"/>
  <c r="K16" i="7" s="1"/>
  <c r="F16" i="7"/>
  <c r="D16" i="7"/>
  <c r="O15" i="7"/>
  <c r="S15" i="7" s="1"/>
  <c r="M15" i="7"/>
  <c r="J15" i="7"/>
  <c r="U15" i="7" s="1"/>
  <c r="F15" i="7"/>
  <c r="D15" i="7"/>
  <c r="O14" i="7"/>
  <c r="S14" i="7" s="1"/>
  <c r="M14" i="7"/>
  <c r="J14" i="7"/>
  <c r="K14" i="7" s="1"/>
  <c r="F14" i="7"/>
  <c r="D14" i="7"/>
  <c r="O13" i="7"/>
  <c r="S13" i="7" s="1"/>
  <c r="V13" i="7" s="1"/>
  <c r="M13" i="7"/>
  <c r="J13" i="7"/>
  <c r="U13" i="7" s="1"/>
  <c r="I13" i="7"/>
  <c r="K13" i="7" s="1"/>
  <c r="F13" i="7"/>
  <c r="D13" i="7"/>
  <c r="O12" i="7"/>
  <c r="S12" i="7" s="1"/>
  <c r="V12" i="7" s="1"/>
  <c r="M12" i="7"/>
  <c r="J12" i="7"/>
  <c r="U12" i="7" s="1"/>
  <c r="I12" i="7"/>
  <c r="F12" i="7"/>
  <c r="D12" i="7"/>
  <c r="I13" i="5" l="1"/>
  <c r="V15" i="7"/>
  <c r="U17" i="7"/>
  <c r="V16" i="7"/>
  <c r="U16" i="7"/>
  <c r="M19" i="7"/>
  <c r="U14" i="7"/>
  <c r="V14" i="7"/>
  <c r="V19" i="7" s="1"/>
  <c r="D22" i="7" s="1"/>
  <c r="D23" i="7" s="1"/>
  <c r="U19" i="7"/>
  <c r="F19" i="7"/>
  <c r="D19" i="7"/>
  <c r="J19" i="7"/>
  <c r="K12" i="7"/>
  <c r="K15" i="7"/>
  <c r="D7" i="7"/>
  <c r="F25" i="7" s="1"/>
  <c r="D5" i="7"/>
  <c r="L13" i="7" s="1"/>
  <c r="N13" i="7" s="1"/>
  <c r="I24" i="7" l="1"/>
  <c r="E15" i="7"/>
  <c r="G15" i="7" s="1"/>
  <c r="E13" i="7"/>
  <c r="G13" i="7" s="1"/>
  <c r="E16" i="7"/>
  <c r="G16" i="7" s="1"/>
  <c r="L17" i="7"/>
  <c r="N17" i="7" s="1"/>
  <c r="L16" i="7"/>
  <c r="N16" i="7" s="1"/>
  <c r="L14" i="7"/>
  <c r="N14" i="7" s="1"/>
  <c r="L15" i="7"/>
  <c r="N15" i="7" s="1"/>
  <c r="E14" i="7"/>
  <c r="G14" i="7" s="1"/>
  <c r="E17" i="7"/>
  <c r="G17" i="7" s="1"/>
  <c r="E12" i="7"/>
  <c r="D24" i="7"/>
  <c r="L12" i="7"/>
  <c r="K19" i="7"/>
  <c r="I26" i="7" s="1"/>
  <c r="I25" i="7" s="1"/>
  <c r="G12" i="7" l="1"/>
  <c r="G19" i="7" s="1"/>
  <c r="E19" i="7"/>
  <c r="L19" i="7"/>
  <c r="N12" i="7"/>
  <c r="N19" i="7" s="1"/>
  <c r="I23" i="7" l="1"/>
  <c r="I22" i="7" s="1"/>
  <c r="I27" i="7" l="1"/>
  <c r="I29" i="7" l="1"/>
  <c r="I28" i="7" l="1"/>
</calcChain>
</file>

<file path=xl/sharedStrings.xml><?xml version="1.0" encoding="utf-8"?>
<sst xmlns="http://schemas.openxmlformats.org/spreadsheetml/2006/main" count="251" uniqueCount="129">
  <si>
    <t>LED Streetlighting Conversion Project</t>
  </si>
  <si>
    <t>Cobra Head Evaluation (HPS to LED)</t>
  </si>
  <si>
    <t xml:space="preserve">Existing System (HPS)
</t>
  </si>
  <si>
    <t>LED Option</t>
  </si>
  <si>
    <t>Existing
Rated
Wattage</t>
  </si>
  <si>
    <t>Actual
Input
Wattage</t>
  </si>
  <si>
    <t>Estimated
Quantity</t>
  </si>
  <si>
    <t>Total
Connected
Load</t>
  </si>
  <si>
    <t>Annual
Energy
Cost</t>
  </si>
  <si>
    <t>Annual
Maintenance
Cost</t>
  </si>
  <si>
    <t>LED
System
Parameters</t>
  </si>
  <si>
    <t>Unit
Installed
Cost</t>
  </si>
  <si>
    <t>Total
Capital
Cost</t>
  </si>
  <si>
    <t>Totals:</t>
  </si>
  <si>
    <t>Reduction in Connected Load:</t>
  </si>
  <si>
    <t>kW</t>
  </si>
  <si>
    <t>Simple Payback:</t>
  </si>
  <si>
    <t>Years</t>
  </si>
  <si>
    <t>Notes:</t>
  </si>
  <si>
    <t>Maintenance Costs estimate for LED:</t>
  </si>
  <si>
    <t>Photocontrol replacement will be similar to that for the LED luminaires</t>
  </si>
  <si>
    <t>Maintenance Costs estimate for HPS Luminaires;</t>
  </si>
  <si>
    <t>Lamp cost; 70 - 150W = $10, 200 - 400W = $15</t>
  </si>
  <si>
    <t>Ballast and luminaire replacements not included</t>
  </si>
  <si>
    <t>Table 1; Energus Reference Streetlight Configurations</t>
  </si>
  <si>
    <t>Cobra Head Style</t>
  </si>
  <si>
    <t>Energus
Reference</t>
  </si>
  <si>
    <t>Road
Classification</t>
  </si>
  <si>
    <t>Pedestrian
Conflict</t>
  </si>
  <si>
    <t>IESNA RP-8-05 Recommendations</t>
  </si>
  <si>
    <t>Number
of Lanes</t>
  </si>
  <si>
    <t>Lane
width</t>
  </si>
  <si>
    <t>Median</t>
  </si>
  <si>
    <t>Parking
Bay</t>
  </si>
  <si>
    <t>Bike Lanes</t>
  </si>
  <si>
    <t>Luminaire
Mounting
Height</t>
  </si>
  <si>
    <t>Pole
Setback</t>
  </si>
  <si>
    <t>Arm
Length</t>
  </si>
  <si>
    <t>Spacing</t>
  </si>
  <si>
    <t>Arrangement</t>
  </si>
  <si>
    <t>HPS Lamp
Watts</t>
  </si>
  <si>
    <t>LED 
Replacement</t>
  </si>
  <si>
    <t>Luminance</t>
  </si>
  <si>
    <t>Uniformity</t>
  </si>
  <si>
    <t>Lv</t>
  </si>
  <si>
    <t>cd/m²</t>
  </si>
  <si>
    <t>Avg/Min</t>
  </si>
  <si>
    <t>Max/Min</t>
  </si>
  <si>
    <t>Max/Avg</t>
  </si>
  <si>
    <t>No.</t>
  </si>
  <si>
    <t>Width</t>
  </si>
  <si>
    <t>LL-1</t>
  </si>
  <si>
    <t xml:space="preserve">Local </t>
  </si>
  <si>
    <t>Low</t>
  </si>
  <si>
    <t>One Side</t>
  </si>
  <si>
    <t>LL-2</t>
  </si>
  <si>
    <t>Staggered</t>
  </si>
  <si>
    <t>LL-3</t>
  </si>
  <si>
    <t>LM-1</t>
  </si>
  <si>
    <t>Local</t>
  </si>
  <si>
    <t>Medium</t>
  </si>
  <si>
    <t>LM-2</t>
  </si>
  <si>
    <t>CL-1</t>
  </si>
  <si>
    <t>Collector</t>
  </si>
  <si>
    <t>CL-2</t>
  </si>
  <si>
    <t>CL-3</t>
  </si>
  <si>
    <t>CL-4</t>
  </si>
  <si>
    <t>CM-1</t>
  </si>
  <si>
    <t>CM-2</t>
  </si>
  <si>
    <t>ML-1</t>
  </si>
  <si>
    <t>Major</t>
  </si>
  <si>
    <t>ML-2</t>
  </si>
  <si>
    <t>ML-3</t>
  </si>
  <si>
    <t>ML-4</t>
  </si>
  <si>
    <t>ML-5</t>
  </si>
  <si>
    <t>ML-6</t>
  </si>
  <si>
    <t>MM-1</t>
  </si>
  <si>
    <t>Opposite</t>
  </si>
  <si>
    <t>LED Suppliers</t>
  </si>
  <si>
    <t>AEL</t>
  </si>
  <si>
    <t>Cooper
Lighting</t>
  </si>
  <si>
    <t>Philips
Lumec</t>
  </si>
  <si>
    <t>LRL</t>
  </si>
  <si>
    <t>Cree</t>
  </si>
  <si>
    <t>GE</t>
  </si>
  <si>
    <t>Input Watts</t>
  </si>
  <si>
    <t>Total
Annual
Operating
Costs</t>
  </si>
  <si>
    <t>Installation Replacement Cost per LED luminaire; $75</t>
  </si>
  <si>
    <t>Individual lamp replacement labour @10% of luminaires per year @$75 per change</t>
  </si>
  <si>
    <t>Washing every 5 years at $10 per luminaire → $2.00 annually</t>
  </si>
  <si>
    <t>Incentive</t>
  </si>
  <si>
    <t>Unit Cost</t>
  </si>
  <si>
    <t>Installation Costs</t>
  </si>
  <si>
    <t>Simple Payback Calculation (January 2016)</t>
  </si>
  <si>
    <t>12 LED 1250mA</t>
  </si>
  <si>
    <t>36 LED 525 mA</t>
  </si>
  <si>
    <t>60 LED 600mA</t>
  </si>
  <si>
    <t>72 LED 700mA</t>
  </si>
  <si>
    <t>saveONenergy
Incentive</t>
  </si>
  <si>
    <t>Driver replacement; 2% over 20 Years @ $800 each including labour; → $8.00 per luminaire → $0.40 per luminaire annually</t>
  </si>
  <si>
    <t>Photocell</t>
  </si>
  <si>
    <t>Contingency</t>
  </si>
  <si>
    <t>IRR:</t>
  </si>
  <si>
    <t>Initial Capital Cost:</t>
  </si>
  <si>
    <t>Annual Reduction in Maintenance Costs:</t>
  </si>
  <si>
    <t>TOTAL PROJECT COST:</t>
  </si>
  <si>
    <t>Energy Cost per Kwh:</t>
  </si>
  <si>
    <t>Annual Operating Hours:</t>
  </si>
  <si>
    <t>Cost per kW (Demand):</t>
  </si>
  <si>
    <t xml:space="preserve">Annual Energy Savings (GWh): </t>
  </si>
  <si>
    <t>Annual Energy Cost Savings:</t>
  </si>
  <si>
    <t>15% Project Management:</t>
  </si>
  <si>
    <t>Hydro One Chatham-Kent</t>
  </si>
  <si>
    <t>(Decorative - 49)</t>
  </si>
  <si>
    <t>Estimated
Input
Wattage</t>
  </si>
  <si>
    <t>Total Estimated
Connected
Load</t>
  </si>
  <si>
    <t>LED</t>
  </si>
  <si>
    <t>ENTEGRUS</t>
  </si>
  <si>
    <t>Measured Input Wattage (W)</t>
  </si>
  <si>
    <t>Existing
Rated
Wattage (W)</t>
  </si>
  <si>
    <t>Total HPS Load (kW)</t>
  </si>
  <si>
    <t>Actual
Input
Wattage (W)</t>
  </si>
  <si>
    <t>LED Load (W)</t>
  </si>
  <si>
    <t>Quantities</t>
  </si>
  <si>
    <t>LOAD REDUCTION (kW)</t>
  </si>
  <si>
    <t>LOAD/DEMAND REDUCTION (kW)</t>
  </si>
  <si>
    <t>PHASE I - June - October 2016</t>
  </si>
  <si>
    <t>TOTAL:</t>
  </si>
  <si>
    <t>PHASE II - November 2016 -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</si>
</sst>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&quot;$&quot;#,##0.00"/>
    <numFmt numFmtId="168" formatCode="&quot;$&quot;#,##0"/>
    <numFmt numFmtId="169" formatCode="0.0%"/>
    <numFmt numFmtId="170" formatCode="_-&quot;$&quot;* #,##0_-;\-&quot;$&quot;* #,##0_-;_-&quot;$&quot;* &quot;-&quot;??_-;_-@_-"/>
    <numFmt numFmtId="171" formatCode="_-* #,##0.0000_-;\-* #,##0.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0" fillId="0" borderId="23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6" fontId="0" fillId="0" borderId="27" xfId="0" applyNumberFormat="1" applyFill="1" applyBorder="1" applyAlignment="1">
      <alignment horizontal="center"/>
    </xf>
    <xf numFmtId="166" fontId="0" fillId="0" borderId="26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166" fontId="0" fillId="0" borderId="30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4" fillId="0" borderId="29" xfId="0" applyFont="1" applyBorder="1" applyAlignment="1">
      <alignment horizontal="center" vertical="center" textRotation="90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2" borderId="40" xfId="0" applyNumberFormat="1" applyFill="1" applyBorder="1" applyAlignment="1">
      <alignment horizontal="center"/>
    </xf>
    <xf numFmtId="2" fontId="0" fillId="2" borderId="40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40" xfId="0" applyNumberForma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6" fontId="0" fillId="2" borderId="30" xfId="0" applyNumberFormat="1" applyFill="1" applyBorder="1" applyAlignment="1">
      <alignment horizontal="center"/>
    </xf>
    <xf numFmtId="166" fontId="0" fillId="2" borderId="29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166" fontId="0" fillId="0" borderId="40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1" fontId="0" fillId="0" borderId="40" xfId="0" applyNumberForma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66" fontId="0" fillId="4" borderId="30" xfId="0" applyNumberFormat="1" applyFill="1" applyBorder="1" applyAlignment="1">
      <alignment horizontal="center"/>
    </xf>
    <xf numFmtId="166" fontId="0" fillId="4" borderId="29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1" fontId="0" fillId="4" borderId="29" xfId="0" applyNumberForma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166" fontId="0" fillId="4" borderId="27" xfId="0" applyNumberFormat="1" applyFill="1" applyBorder="1" applyAlignment="1">
      <alignment horizontal="center"/>
    </xf>
    <xf numFmtId="166" fontId="0" fillId="4" borderId="26" xfId="0" applyNumberForma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2" fontId="0" fillId="4" borderId="27" xfId="0" applyNumberFormat="1" applyFill="1" applyBorder="1" applyAlignment="1">
      <alignment horizontal="center"/>
    </xf>
    <xf numFmtId="1" fontId="0" fillId="4" borderId="26" xfId="0" applyNumberForma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166" fontId="0" fillId="2" borderId="31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Border="1"/>
    <xf numFmtId="0" fontId="0" fillId="5" borderId="26" xfId="0" applyFill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4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 vertical="center"/>
    </xf>
    <xf numFmtId="166" fontId="0" fillId="2" borderId="29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166" fontId="0" fillId="6" borderId="30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167" fontId="7" fillId="0" borderId="0" xfId="0" applyNumberFormat="1" applyFont="1"/>
    <xf numFmtId="167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7" fontId="8" fillId="0" borderId="0" xfId="0" applyNumberFormat="1" applyFont="1"/>
    <xf numFmtId="169" fontId="8" fillId="0" borderId="0" xfId="7" applyNumberFormat="1" applyFont="1" applyAlignment="1">
      <alignment horizontal="left"/>
    </xf>
    <xf numFmtId="166" fontId="8" fillId="0" borderId="0" xfId="0" applyNumberFormat="1" applyFont="1"/>
    <xf numFmtId="2" fontId="8" fillId="0" borderId="0" xfId="0" applyNumberFormat="1" applyFont="1"/>
    <xf numFmtId="0" fontId="8" fillId="3" borderId="0" xfId="0" applyFont="1" applyFill="1" applyAlignment="1">
      <alignment horizontal="right"/>
    </xf>
    <xf numFmtId="0" fontId="7" fillId="3" borderId="0" xfId="0" applyFont="1" applyFill="1"/>
    <xf numFmtId="2" fontId="8" fillId="3" borderId="0" xfId="0" applyNumberFormat="1" applyFont="1" applyFill="1"/>
    <xf numFmtId="0" fontId="8" fillId="3" borderId="0" xfId="0" applyFont="1" applyFill="1"/>
    <xf numFmtId="168" fontId="9" fillId="0" borderId="0" xfId="2" applyNumberFormat="1" applyFont="1" applyAlignment="1"/>
    <xf numFmtId="164" fontId="7" fillId="0" borderId="0" xfId="2" applyFont="1"/>
    <xf numFmtId="170" fontId="7" fillId="0" borderId="0" xfId="2" applyNumberFormat="1" applyFont="1"/>
    <xf numFmtId="164" fontId="7" fillId="0" borderId="0" xfId="0" applyNumberFormat="1" applyFont="1"/>
    <xf numFmtId="171" fontId="7" fillId="0" borderId="0" xfId="1" applyNumberFormat="1" applyFont="1"/>
    <xf numFmtId="168" fontId="8" fillId="0" borderId="0" xfId="0" applyNumberFormat="1" applyFont="1"/>
    <xf numFmtId="0" fontId="7" fillId="0" borderId="31" xfId="0" applyFont="1" applyBorder="1" applyAlignment="1">
      <alignment horizontal="center"/>
    </xf>
    <xf numFmtId="164" fontId="7" fillId="0" borderId="31" xfId="2" applyFont="1" applyBorder="1" applyAlignment="1">
      <alignment horizontal="center"/>
    </xf>
    <xf numFmtId="167" fontId="7" fillId="0" borderId="31" xfId="0" applyNumberFormat="1" applyFont="1" applyBorder="1" applyAlignment="1">
      <alignment horizontal="right"/>
    </xf>
    <xf numFmtId="44" fontId="7" fillId="0" borderId="31" xfId="0" applyNumberFormat="1" applyFont="1" applyBorder="1"/>
    <xf numFmtId="167" fontId="7" fillId="0" borderId="31" xfId="0" applyNumberFormat="1" applyFont="1" applyBorder="1" applyAlignment="1">
      <alignment horizontal="center"/>
    </xf>
    <xf numFmtId="168" fontId="7" fillId="0" borderId="31" xfId="0" applyNumberFormat="1" applyFont="1" applyBorder="1" applyAlignment="1">
      <alignment horizontal="center"/>
    </xf>
    <xf numFmtId="168" fontId="7" fillId="0" borderId="31" xfId="0" applyNumberFormat="1" applyFont="1" applyFill="1" applyBorder="1" applyAlignment="1">
      <alignment horizontal="center"/>
    </xf>
    <xf numFmtId="0" fontId="10" fillId="0" borderId="0" xfId="0" applyFont="1"/>
    <xf numFmtId="169" fontId="8" fillId="0" borderId="0" xfId="7" applyNumberFormat="1" applyFont="1" applyFill="1" applyAlignment="1">
      <alignment horizontal="left"/>
    </xf>
    <xf numFmtId="0" fontId="7" fillId="0" borderId="0" xfId="0" applyFont="1" applyFill="1"/>
    <xf numFmtId="0" fontId="11" fillId="0" borderId="31" xfId="0" applyFont="1" applyBorder="1" applyAlignment="1">
      <alignment horizontal="center"/>
    </xf>
    <xf numFmtId="166" fontId="7" fillId="0" borderId="3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textRotation="90" wrapText="1"/>
    </xf>
    <xf numFmtId="9" fontId="7" fillId="0" borderId="31" xfId="7" applyFont="1" applyBorder="1" applyAlignment="1">
      <alignment horizontal="center"/>
    </xf>
    <xf numFmtId="168" fontId="8" fillId="0" borderId="0" xfId="0" applyNumberFormat="1" applyFont="1" applyAlignment="1"/>
    <xf numFmtId="167" fontId="8" fillId="0" borderId="0" xfId="0" applyNumberFormat="1" applyFont="1" applyAlignment="1"/>
    <xf numFmtId="9" fontId="10" fillId="0" borderId="0" xfId="0" applyNumberFormat="1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7" fontId="11" fillId="7" borderId="0" xfId="0" applyNumberFormat="1" applyFont="1" applyFill="1" applyAlignment="1">
      <alignment horizontal="center"/>
    </xf>
    <xf numFmtId="0" fontId="7" fillId="7" borderId="0" xfId="0" applyNumberFormat="1" applyFont="1" applyFill="1" applyAlignment="1">
      <alignment horizontal="center"/>
    </xf>
    <xf numFmtId="167" fontId="7" fillId="7" borderId="0" xfId="0" applyNumberFormat="1" applyFont="1" applyFill="1" applyAlignment="1">
      <alignment horizontal="center"/>
    </xf>
    <xf numFmtId="2" fontId="8" fillId="0" borderId="0" xfId="0" applyNumberFormat="1" applyFont="1" applyAlignme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7" fillId="0" borderId="44" xfId="0" applyFont="1" applyBorder="1" applyAlignment="1"/>
    <xf numFmtId="166" fontId="8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7" fillId="8" borderId="44" xfId="0" applyFont="1" applyFill="1" applyBorder="1" applyAlignment="1"/>
    <xf numFmtId="0" fontId="8" fillId="5" borderId="31" xfId="0" applyFont="1" applyFill="1" applyBorder="1" applyAlignment="1">
      <alignment horizont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10" borderId="1" xfId="0" applyFont="1" applyFill="1" applyBorder="1" applyAlignment="1">
      <alignment horizontal="center" wrapText="1"/>
    </xf>
    <xf numFmtId="0" fontId="8" fillId="10" borderId="21" xfId="0" applyFont="1" applyFill="1" applyBorder="1" applyAlignment="1">
      <alignment horizontal="center" wrapText="1"/>
    </xf>
    <xf numFmtId="0" fontId="8" fillId="10" borderId="31" xfId="0" applyFont="1" applyFill="1" applyBorder="1" applyAlignment="1">
      <alignment horizontal="center" wrapText="1"/>
    </xf>
    <xf numFmtId="0" fontId="8" fillId="10" borderId="19" xfId="0" applyFont="1" applyFill="1" applyBorder="1" applyAlignment="1">
      <alignment horizontal="center" wrapText="1"/>
    </xf>
    <xf numFmtId="0" fontId="7" fillId="2" borderId="31" xfId="0" applyFont="1" applyFill="1" applyBorder="1" applyAlignment="1">
      <alignment horizontal="center"/>
    </xf>
    <xf numFmtId="166" fontId="7" fillId="2" borderId="31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10" borderId="15" xfId="0" applyFont="1" applyFill="1" applyBorder="1" applyAlignment="1">
      <alignment horizontal="center" vertical="top" wrapText="1"/>
    </xf>
    <xf numFmtId="0" fontId="8" fillId="10" borderId="16" xfId="0" applyFont="1" applyFill="1" applyBorder="1" applyAlignment="1">
      <alignment horizontal="center" vertical="top" wrapText="1"/>
    </xf>
    <xf numFmtId="0" fontId="8" fillId="9" borderId="15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right"/>
    </xf>
    <xf numFmtId="167" fontId="8" fillId="0" borderId="0" xfId="0" applyNumberFormat="1" applyFont="1" applyFill="1" applyAlignment="1">
      <alignment horizontal="center"/>
    </xf>
  </cellXfs>
  <cellStyles count="48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Normal" xfId="0" builtinId="0"/>
    <cellStyle name="Normal 2" xfId="3" xr:uid="{00000000-0005-0000-0000-00002D000000}"/>
    <cellStyle name="Percent" xfId="7" builtinId="5"/>
    <cellStyle name="Percent 2" xfId="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0" zoomScaleNormal="90" workbookViewId="0">
      <selection activeCell="G13" sqref="G13"/>
    </sheetView>
  </sheetViews>
  <sheetFormatPr defaultColWidth="8.6640625" defaultRowHeight="15.6" x14ac:dyDescent="0.3"/>
  <cols>
    <col min="1" max="1" width="10.6640625" style="138" customWidth="1"/>
    <col min="2" max="2" width="10.33203125" style="138" hidden="1" customWidth="1"/>
    <col min="3" max="3" width="11" style="138" customWidth="1"/>
    <col min="4" max="4" width="14.109375" style="138" bestFit="1" customWidth="1"/>
    <col min="5" max="5" width="16.109375" style="138" hidden="1" customWidth="1"/>
    <col min="6" max="6" width="16.109375" style="138" customWidth="1"/>
    <col min="7" max="7" width="12.109375" style="138" customWidth="1"/>
    <col min="8" max="8" width="11.109375" style="138" customWidth="1"/>
    <col min="9" max="9" width="15.6640625" style="138" customWidth="1"/>
    <col min="10" max="16384" width="8.6640625" style="138"/>
  </cols>
  <sheetData>
    <row r="1" spans="1:10" x14ac:dyDescent="0.3">
      <c r="A1" s="140" t="s">
        <v>117</v>
      </c>
    </row>
    <row r="2" spans="1:10" x14ac:dyDescent="0.3">
      <c r="A2" s="140" t="s">
        <v>126</v>
      </c>
    </row>
    <row r="3" spans="1:10" x14ac:dyDescent="0.3">
      <c r="A3" s="140"/>
    </row>
    <row r="4" spans="1:10" ht="16.2" thickBot="1" x14ac:dyDescent="0.35">
      <c r="E4" s="139"/>
      <c r="F4" s="197"/>
    </row>
    <row r="5" spans="1:10" ht="16.2" thickBot="1" x14ac:dyDescent="0.35">
      <c r="A5" s="217" t="s">
        <v>2</v>
      </c>
      <c r="B5" s="218"/>
      <c r="C5" s="218"/>
      <c r="D5" s="218"/>
      <c r="E5" s="218"/>
      <c r="F5" s="218"/>
      <c r="G5" s="219" t="s">
        <v>116</v>
      </c>
      <c r="H5" s="220"/>
      <c r="I5" s="205"/>
      <c r="J5" s="204"/>
    </row>
    <row r="6" spans="1:10" ht="63" thickBot="1" x14ac:dyDescent="0.35">
      <c r="A6" s="209" t="s">
        <v>119</v>
      </c>
      <c r="B6" s="210" t="s">
        <v>114</v>
      </c>
      <c r="C6" s="211" t="s">
        <v>118</v>
      </c>
      <c r="D6" s="209" t="s">
        <v>123</v>
      </c>
      <c r="E6" s="212" t="s">
        <v>115</v>
      </c>
      <c r="F6" s="212" t="s">
        <v>120</v>
      </c>
      <c r="G6" s="207" t="s">
        <v>121</v>
      </c>
      <c r="H6" s="208" t="s">
        <v>122</v>
      </c>
      <c r="I6" s="206" t="s">
        <v>125</v>
      </c>
    </row>
    <row r="7" spans="1:10" ht="16.2" thickBot="1" x14ac:dyDescent="0.35">
      <c r="A7" s="213">
        <v>70</v>
      </c>
      <c r="B7" s="213">
        <v>95</v>
      </c>
      <c r="C7" s="213">
        <v>86</v>
      </c>
      <c r="D7" s="213">
        <v>1</v>
      </c>
      <c r="E7" s="214" t="e">
        <f>(D7+#REF!)*B7*0.001</f>
        <v>#REF!</v>
      </c>
      <c r="F7" s="214">
        <f t="shared" ref="F7:F12" si="0">(D7)*C7/1000</f>
        <v>8.5999999999999993E-2</v>
      </c>
      <c r="G7" s="213">
        <v>41</v>
      </c>
      <c r="H7" s="215">
        <f>G7*D7/1000</f>
        <v>4.1000000000000002E-2</v>
      </c>
      <c r="I7" s="214">
        <f>F7-H7</f>
        <v>4.4999999999999991E-2</v>
      </c>
    </row>
    <row r="8" spans="1:10" ht="16.2" thickBot="1" x14ac:dyDescent="0.35">
      <c r="A8" s="213">
        <v>100</v>
      </c>
      <c r="B8" s="213">
        <v>130</v>
      </c>
      <c r="C8" s="213">
        <v>112</v>
      </c>
      <c r="D8" s="213">
        <v>3198</v>
      </c>
      <c r="E8" s="214" t="e">
        <f>(D8+#REF!)*B8*0.001</f>
        <v>#REF!</v>
      </c>
      <c r="F8" s="214">
        <f t="shared" si="0"/>
        <v>358.17599999999999</v>
      </c>
      <c r="G8" s="213">
        <v>41</v>
      </c>
      <c r="H8" s="215">
        <f t="shared" ref="H8:H12" si="1">G8*D8/1000</f>
        <v>131.11799999999999</v>
      </c>
      <c r="I8" s="214">
        <f t="shared" ref="I8:I12" si="2">F8-H8</f>
        <v>227.05799999999999</v>
      </c>
    </row>
    <row r="9" spans="1:10" ht="16.2" thickBot="1" x14ac:dyDescent="0.35">
      <c r="A9" s="213">
        <v>150</v>
      </c>
      <c r="B9" s="213">
        <v>190</v>
      </c>
      <c r="C9" s="213">
        <v>152</v>
      </c>
      <c r="D9" s="213">
        <v>1840</v>
      </c>
      <c r="E9" s="214" t="e">
        <f>(D9+#REF!)*B9*0.001</f>
        <v>#REF!</v>
      </c>
      <c r="F9" s="214">
        <f t="shared" si="0"/>
        <v>279.68</v>
      </c>
      <c r="G9" s="213">
        <v>53</v>
      </c>
      <c r="H9" s="215">
        <f t="shared" si="1"/>
        <v>97.52</v>
      </c>
      <c r="I9" s="214">
        <f t="shared" si="2"/>
        <v>182.16000000000003</v>
      </c>
    </row>
    <row r="10" spans="1:10" ht="16.2" thickBot="1" x14ac:dyDescent="0.35">
      <c r="A10" s="213">
        <v>200</v>
      </c>
      <c r="B10" s="213">
        <v>250</v>
      </c>
      <c r="C10" s="213">
        <v>215</v>
      </c>
      <c r="D10" s="213">
        <v>5</v>
      </c>
      <c r="E10" s="214" t="e">
        <f>(D10+#REF!)*B10*0.001</f>
        <v>#REF!</v>
      </c>
      <c r="F10" s="214">
        <f t="shared" si="0"/>
        <v>1.075</v>
      </c>
      <c r="G10" s="213">
        <v>67</v>
      </c>
      <c r="H10" s="215">
        <f t="shared" si="1"/>
        <v>0.33500000000000002</v>
      </c>
      <c r="I10" s="214">
        <f t="shared" si="2"/>
        <v>0.74</v>
      </c>
    </row>
    <row r="11" spans="1:10" ht="16.2" thickBot="1" x14ac:dyDescent="0.35">
      <c r="A11" s="213">
        <v>250</v>
      </c>
      <c r="B11" s="213">
        <v>300</v>
      </c>
      <c r="C11" s="213">
        <v>286</v>
      </c>
      <c r="D11" s="213">
        <v>943</v>
      </c>
      <c r="E11" s="214" t="e">
        <f>(D11+#REF!)*B11*0.001</f>
        <v>#REF!</v>
      </c>
      <c r="F11" s="214">
        <f t="shared" si="0"/>
        <v>269.69799999999998</v>
      </c>
      <c r="G11" s="213">
        <v>67</v>
      </c>
      <c r="H11" s="215">
        <f t="shared" si="1"/>
        <v>63.180999999999997</v>
      </c>
      <c r="I11" s="214">
        <f t="shared" si="2"/>
        <v>206.517</v>
      </c>
    </row>
    <row r="12" spans="1:10" ht="16.2" thickBot="1" x14ac:dyDescent="0.35">
      <c r="A12" s="213">
        <v>400</v>
      </c>
      <c r="B12" s="213">
        <v>465</v>
      </c>
      <c r="C12" s="213">
        <v>389</v>
      </c>
      <c r="D12" s="213">
        <v>35</v>
      </c>
      <c r="E12" s="214" t="e">
        <f>(D12+#REF!)*B12*0.001</f>
        <v>#REF!</v>
      </c>
      <c r="F12" s="214">
        <f t="shared" si="0"/>
        <v>13.615</v>
      </c>
      <c r="G12" s="213">
        <v>108</v>
      </c>
      <c r="H12" s="215">
        <f t="shared" si="1"/>
        <v>3.78</v>
      </c>
      <c r="I12" s="214">
        <f t="shared" si="2"/>
        <v>9.8350000000000009</v>
      </c>
    </row>
    <row r="13" spans="1:10" x14ac:dyDescent="0.3">
      <c r="A13" s="171"/>
      <c r="B13" s="171"/>
      <c r="C13" s="171"/>
      <c r="D13" s="172">
        <f>SUM(D7:D12)</f>
        <v>6022</v>
      </c>
      <c r="E13" s="171"/>
      <c r="F13" s="173">
        <f>SUM(F7:F12)</f>
        <v>922.33</v>
      </c>
      <c r="G13" s="168"/>
      <c r="H13" s="168"/>
      <c r="I13" s="173">
        <f>SUM(I7:I12)</f>
        <v>626.35500000000002</v>
      </c>
    </row>
    <row r="14" spans="1:10" x14ac:dyDescent="0.3">
      <c r="A14" s="168"/>
      <c r="B14" s="168"/>
      <c r="C14" s="168"/>
      <c r="D14" s="168"/>
      <c r="E14" s="168"/>
      <c r="F14" s="168"/>
      <c r="G14" s="168"/>
      <c r="H14" s="275"/>
      <c r="I14" s="276"/>
    </row>
    <row r="16" spans="1:10" x14ac:dyDescent="0.3">
      <c r="A16" s="140" t="s">
        <v>117</v>
      </c>
    </row>
    <row r="17" spans="1:9" x14ac:dyDescent="0.3">
      <c r="A17" s="140" t="s">
        <v>128</v>
      </c>
    </row>
    <row r="18" spans="1:9" x14ac:dyDescent="0.3">
      <c r="A18" s="140"/>
    </row>
    <row r="19" spans="1:9" ht="16.2" thickBot="1" x14ac:dyDescent="0.35">
      <c r="E19" s="197"/>
      <c r="F19" s="197"/>
    </row>
    <row r="20" spans="1:9" ht="16.2" thickBot="1" x14ac:dyDescent="0.35">
      <c r="A20" s="217" t="s">
        <v>2</v>
      </c>
      <c r="B20" s="218"/>
      <c r="C20" s="218"/>
      <c r="D20" s="218"/>
      <c r="E20" s="218"/>
      <c r="F20" s="218"/>
      <c r="G20" s="219" t="s">
        <v>116</v>
      </c>
      <c r="H20" s="220"/>
      <c r="I20" s="202"/>
    </row>
    <row r="21" spans="1:9" ht="63" thickBot="1" x14ac:dyDescent="0.35">
      <c r="A21" s="209" t="s">
        <v>119</v>
      </c>
      <c r="B21" s="210" t="s">
        <v>114</v>
      </c>
      <c r="C21" s="211" t="s">
        <v>118</v>
      </c>
      <c r="D21" s="209" t="s">
        <v>123</v>
      </c>
      <c r="E21" s="212" t="s">
        <v>115</v>
      </c>
      <c r="F21" s="212" t="s">
        <v>120</v>
      </c>
      <c r="G21" s="207" t="s">
        <v>121</v>
      </c>
      <c r="H21" s="208" t="s">
        <v>122</v>
      </c>
      <c r="I21" s="206" t="s">
        <v>124</v>
      </c>
    </row>
    <row r="22" spans="1:9" ht="16.2" thickBot="1" x14ac:dyDescent="0.35">
      <c r="A22" s="213">
        <v>70</v>
      </c>
      <c r="B22" s="213">
        <v>95</v>
      </c>
      <c r="C22" s="213">
        <v>86</v>
      </c>
      <c r="D22" s="213">
        <v>995</v>
      </c>
      <c r="E22" s="214" t="e">
        <f>(D22+#REF!)*B22*0.001</f>
        <v>#REF!</v>
      </c>
      <c r="F22" s="214">
        <f t="shared" ref="F22:F27" si="3">(D22)*C22/1000</f>
        <v>85.57</v>
      </c>
      <c r="G22" s="213">
        <v>41</v>
      </c>
      <c r="H22" s="215">
        <f>G22*D22/1000</f>
        <v>40.795000000000002</v>
      </c>
      <c r="I22" s="214">
        <f>F22-H22</f>
        <v>44.774999999999991</v>
      </c>
    </row>
    <row r="23" spans="1:9" ht="16.2" thickBot="1" x14ac:dyDescent="0.35">
      <c r="A23" s="213">
        <v>100</v>
      </c>
      <c r="B23" s="213">
        <v>130</v>
      </c>
      <c r="C23" s="213">
        <v>112</v>
      </c>
      <c r="D23" s="213">
        <v>1202</v>
      </c>
      <c r="E23" s="214" t="e">
        <f>(D23+#REF!)*B23*0.001</f>
        <v>#REF!</v>
      </c>
      <c r="F23" s="214">
        <f t="shared" si="3"/>
        <v>134.624</v>
      </c>
      <c r="G23" s="213">
        <v>41</v>
      </c>
      <c r="H23" s="215">
        <f t="shared" ref="H23:H27" si="4">G23*D23/1000</f>
        <v>49.281999999999996</v>
      </c>
      <c r="I23" s="214">
        <f t="shared" ref="I23:I27" si="5">F23-H23</f>
        <v>85.341999999999999</v>
      </c>
    </row>
    <row r="24" spans="1:9" ht="16.2" thickBot="1" x14ac:dyDescent="0.35">
      <c r="A24" s="213">
        <v>150</v>
      </c>
      <c r="B24" s="213">
        <v>190</v>
      </c>
      <c r="C24" s="213">
        <v>152</v>
      </c>
      <c r="D24" s="213">
        <v>495</v>
      </c>
      <c r="E24" s="214" t="e">
        <f>(D24+#REF!)*B24*0.001</f>
        <v>#REF!</v>
      </c>
      <c r="F24" s="214">
        <f t="shared" si="3"/>
        <v>75.239999999999995</v>
      </c>
      <c r="G24" s="213">
        <v>53</v>
      </c>
      <c r="H24" s="215">
        <f t="shared" si="4"/>
        <v>26.234999999999999</v>
      </c>
      <c r="I24" s="214">
        <f t="shared" si="5"/>
        <v>49.004999999999995</v>
      </c>
    </row>
    <row r="25" spans="1:9" ht="16.2" thickBot="1" x14ac:dyDescent="0.35">
      <c r="A25" s="213">
        <v>200</v>
      </c>
      <c r="B25" s="213">
        <v>250</v>
      </c>
      <c r="C25" s="213">
        <v>215</v>
      </c>
      <c r="D25" s="213">
        <v>0</v>
      </c>
      <c r="E25" s="214" t="e">
        <f>(D25+#REF!)*B25*0.001</f>
        <v>#REF!</v>
      </c>
      <c r="F25" s="214">
        <f t="shared" si="3"/>
        <v>0</v>
      </c>
      <c r="G25" s="213">
        <v>67</v>
      </c>
      <c r="H25" s="215">
        <f t="shared" si="4"/>
        <v>0</v>
      </c>
      <c r="I25" s="214">
        <f t="shared" si="5"/>
        <v>0</v>
      </c>
    </row>
    <row r="26" spans="1:9" ht="16.2" thickBot="1" x14ac:dyDescent="0.35">
      <c r="A26" s="213">
        <v>250</v>
      </c>
      <c r="B26" s="213">
        <v>300</v>
      </c>
      <c r="C26" s="213">
        <v>286</v>
      </c>
      <c r="D26" s="213">
        <v>450</v>
      </c>
      <c r="E26" s="214" t="e">
        <f>(D26+#REF!)*B26*0.001</f>
        <v>#REF!</v>
      </c>
      <c r="F26" s="214">
        <f t="shared" si="3"/>
        <v>128.69999999999999</v>
      </c>
      <c r="G26" s="213">
        <v>67</v>
      </c>
      <c r="H26" s="215">
        <f t="shared" si="4"/>
        <v>30.15</v>
      </c>
      <c r="I26" s="214">
        <f t="shared" si="5"/>
        <v>98.549999999999983</v>
      </c>
    </row>
    <row r="27" spans="1:9" ht="16.2" thickBot="1" x14ac:dyDescent="0.35">
      <c r="A27" s="213">
        <v>400</v>
      </c>
      <c r="B27" s="213">
        <v>465</v>
      </c>
      <c r="C27" s="213">
        <v>389</v>
      </c>
      <c r="D27" s="213">
        <v>30</v>
      </c>
      <c r="E27" s="214" t="e">
        <f>(D27+#REF!)*B27*0.001</f>
        <v>#REF!</v>
      </c>
      <c r="F27" s="214">
        <f t="shared" si="3"/>
        <v>11.67</v>
      </c>
      <c r="G27" s="213">
        <v>108</v>
      </c>
      <c r="H27" s="215">
        <f t="shared" si="4"/>
        <v>3.24</v>
      </c>
      <c r="I27" s="214">
        <f t="shared" si="5"/>
        <v>8.43</v>
      </c>
    </row>
    <row r="28" spans="1:9" x14ac:dyDescent="0.3">
      <c r="A28" s="141"/>
      <c r="B28" s="141"/>
      <c r="C28" s="141"/>
      <c r="D28" s="196">
        <f>SUM(D22:D27)</f>
        <v>3172</v>
      </c>
      <c r="E28" s="171"/>
      <c r="F28" s="173">
        <f>SUM(F22:F27)</f>
        <v>435.80399999999997</v>
      </c>
      <c r="I28" s="203">
        <f>SUM(I22:I27)</f>
        <v>286.10199999999998</v>
      </c>
    </row>
    <row r="30" spans="1:9" x14ac:dyDescent="0.3">
      <c r="H30" s="216" t="s">
        <v>127</v>
      </c>
      <c r="I30" s="203">
        <f>SUM(I28,I13)</f>
        <v>912.45699999999999</v>
      </c>
    </row>
  </sheetData>
  <mergeCells count="4">
    <mergeCell ref="A20:F20"/>
    <mergeCell ref="G20:H20"/>
    <mergeCell ref="A5:F5"/>
    <mergeCell ref="G5:H5"/>
  </mergeCells>
  <pageMargins left="0.7" right="0.7" top="0.75" bottom="0.75" header="0.3" footer="0.3"/>
  <pageSetup scale="63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6"/>
  <sheetViews>
    <sheetView workbookViewId="0">
      <selection activeCell="F15" sqref="F15"/>
    </sheetView>
  </sheetViews>
  <sheetFormatPr defaultColWidth="8.6640625" defaultRowHeight="15.6" x14ac:dyDescent="0.3"/>
  <cols>
    <col min="1" max="1" width="10.6640625" style="138" customWidth="1"/>
    <col min="2" max="2" width="8.6640625" style="138"/>
    <col min="3" max="3" width="14.109375" style="138" bestFit="1" customWidth="1"/>
    <col min="4" max="4" width="13.33203125" style="138" customWidth="1"/>
    <col min="5" max="5" width="13.88671875" style="138" customWidth="1"/>
    <col min="6" max="6" width="14.44140625" style="138" customWidth="1"/>
    <col min="7" max="7" width="18.109375" style="138" customWidth="1"/>
    <col min="8" max="8" width="16.33203125" style="138" customWidth="1"/>
    <col min="9" max="9" width="14" style="138" customWidth="1"/>
    <col min="10" max="10" width="10.33203125" style="138" customWidth="1"/>
    <col min="11" max="11" width="11.33203125" style="138" customWidth="1"/>
    <col min="12" max="12" width="14.6640625" style="138" customWidth="1"/>
    <col min="13" max="13" width="13.33203125" style="138" customWidth="1"/>
    <col min="14" max="18" width="13.44140625" style="138" customWidth="1"/>
    <col min="19" max="19" width="8.6640625" style="138"/>
    <col min="20" max="20" width="14.6640625" style="138" customWidth="1"/>
    <col min="21" max="21" width="12.109375" style="138" customWidth="1"/>
    <col min="22" max="22" width="14.33203125" style="138" customWidth="1"/>
    <col min="23" max="16384" width="8.6640625" style="138"/>
  </cols>
  <sheetData>
    <row r="1" spans="1:22" x14ac:dyDescent="0.3">
      <c r="A1" s="199" t="s">
        <v>112</v>
      </c>
      <c r="E1" s="199"/>
      <c r="F1" s="199"/>
      <c r="G1" s="199"/>
      <c r="H1" s="199"/>
      <c r="I1" s="199"/>
      <c r="J1" s="199"/>
      <c r="K1" s="199"/>
      <c r="L1" s="199"/>
    </row>
    <row r="2" spans="1:22" x14ac:dyDescent="0.3">
      <c r="A2" s="199" t="s">
        <v>0</v>
      </c>
      <c r="E2" s="199"/>
      <c r="F2" s="199"/>
      <c r="G2" s="199"/>
      <c r="H2" s="199"/>
    </row>
    <row r="3" spans="1:22" x14ac:dyDescent="0.3">
      <c r="A3" s="200" t="s">
        <v>93</v>
      </c>
      <c r="E3" s="199"/>
      <c r="F3" s="199"/>
      <c r="G3" s="199"/>
      <c r="H3" s="199"/>
    </row>
    <row r="4" spans="1:22" x14ac:dyDescent="0.3">
      <c r="D4" s="198"/>
      <c r="E4" s="197"/>
      <c r="F4" s="197"/>
      <c r="G4" s="197"/>
      <c r="H4" s="197"/>
    </row>
    <row r="5" spans="1:22" x14ac:dyDescent="0.3">
      <c r="A5" s="221" t="s">
        <v>106</v>
      </c>
      <c r="B5" s="221"/>
      <c r="C5" s="221"/>
      <c r="D5" s="190" t="e">
        <f>#REF!</f>
        <v>#REF!</v>
      </c>
      <c r="E5" s="197"/>
      <c r="F5" s="197"/>
      <c r="G5" s="197"/>
      <c r="H5" s="197"/>
    </row>
    <row r="6" spans="1:22" x14ac:dyDescent="0.3">
      <c r="A6" s="221" t="s">
        <v>107</v>
      </c>
      <c r="B6" s="221"/>
      <c r="C6" s="221"/>
      <c r="D6" s="191">
        <v>4380</v>
      </c>
      <c r="E6" s="197"/>
      <c r="F6" s="197"/>
      <c r="G6" s="197"/>
      <c r="H6" s="197"/>
    </row>
    <row r="7" spans="1:22" x14ac:dyDescent="0.3">
      <c r="A7" s="194"/>
      <c r="B7" s="194"/>
      <c r="C7" s="194" t="s">
        <v>108</v>
      </c>
      <c r="D7" s="192" t="e">
        <f>#REF!</f>
        <v>#REF!</v>
      </c>
      <c r="E7" s="197"/>
      <c r="F7" s="197"/>
      <c r="G7" s="197"/>
      <c r="H7" s="197"/>
    </row>
    <row r="8" spans="1:22" x14ac:dyDescent="0.3">
      <c r="D8" s="197"/>
      <c r="E8" s="197"/>
      <c r="F8" s="197"/>
      <c r="G8" s="197"/>
      <c r="H8" s="197"/>
    </row>
    <row r="9" spans="1:22" ht="16.2" thickBot="1" x14ac:dyDescent="0.35">
      <c r="A9" s="140" t="s">
        <v>1</v>
      </c>
      <c r="I9" s="140"/>
    </row>
    <row r="10" spans="1:22" ht="16.2" thickBot="1" x14ac:dyDescent="0.35">
      <c r="A10" s="222" t="s">
        <v>2</v>
      </c>
      <c r="B10" s="223"/>
      <c r="C10" s="223"/>
      <c r="D10" s="223"/>
      <c r="E10" s="223"/>
      <c r="F10" s="223"/>
      <c r="G10" s="224"/>
      <c r="H10" s="225" t="s">
        <v>3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7"/>
    </row>
    <row r="11" spans="1:22" ht="63" thickBot="1" x14ac:dyDescent="0.35">
      <c r="A11" s="174" t="s">
        <v>4</v>
      </c>
      <c r="B11" s="175" t="s">
        <v>5</v>
      </c>
      <c r="C11" s="176" t="s">
        <v>6</v>
      </c>
      <c r="D11" s="175" t="s">
        <v>7</v>
      </c>
      <c r="E11" s="176" t="s">
        <v>8</v>
      </c>
      <c r="F11" s="175" t="s">
        <v>9</v>
      </c>
      <c r="G11" s="177" t="s">
        <v>86</v>
      </c>
      <c r="H11" s="178" t="s">
        <v>10</v>
      </c>
      <c r="I11" s="179" t="s">
        <v>5</v>
      </c>
      <c r="J11" s="180" t="s">
        <v>6</v>
      </c>
      <c r="K11" s="179" t="s">
        <v>7</v>
      </c>
      <c r="L11" s="180" t="s">
        <v>8</v>
      </c>
      <c r="M11" s="179" t="s">
        <v>9</v>
      </c>
      <c r="N11" s="179" t="s">
        <v>86</v>
      </c>
      <c r="O11" s="181" t="s">
        <v>91</v>
      </c>
      <c r="P11" s="181" t="s">
        <v>100</v>
      </c>
      <c r="Q11" s="181" t="s">
        <v>92</v>
      </c>
      <c r="R11" s="181" t="s">
        <v>101</v>
      </c>
      <c r="S11" s="182" t="s">
        <v>11</v>
      </c>
      <c r="T11" s="179" t="s">
        <v>98</v>
      </c>
      <c r="U11" s="183" t="s">
        <v>90</v>
      </c>
      <c r="V11" s="179" t="s">
        <v>12</v>
      </c>
    </row>
    <row r="12" spans="1:22" ht="16.2" thickBot="1" x14ac:dyDescent="0.35">
      <c r="A12" s="159">
        <v>70</v>
      </c>
      <c r="B12" s="159">
        <v>95</v>
      </c>
      <c r="C12" s="159">
        <v>2</v>
      </c>
      <c r="D12" s="170">
        <f>B12*C12*0.001</f>
        <v>0.19</v>
      </c>
      <c r="E12" s="160" t="e">
        <f t="shared" ref="E12:E17" si="0">D12*$D$5*$D$6</f>
        <v>#REF!</v>
      </c>
      <c r="F12" s="161">
        <f>C12*(0.1*70+10)</f>
        <v>34</v>
      </c>
      <c r="G12" s="162" t="e">
        <f t="shared" ref="G12:G17" si="1">E12+F12</f>
        <v>#REF!</v>
      </c>
      <c r="H12" s="169" t="s">
        <v>94</v>
      </c>
      <c r="I12" s="159">
        <f>Configurations!U9</f>
        <v>50</v>
      </c>
      <c r="J12" s="159">
        <f t="shared" ref="J12:J17" si="2">C12</f>
        <v>2</v>
      </c>
      <c r="K12" s="170">
        <f>I12*J12*0.001</f>
        <v>0.1</v>
      </c>
      <c r="L12" s="160" t="e">
        <f t="shared" ref="L12:L17" si="3">K12*$D$5*4368</f>
        <v>#REF!</v>
      </c>
      <c r="M12" s="163">
        <f>C12*2.4</f>
        <v>4.8</v>
      </c>
      <c r="N12" s="162" t="e">
        <f t="shared" ref="N12:N17" si="4">L12+M12</f>
        <v>#REF!</v>
      </c>
      <c r="O12" s="162">
        <f>253.17</f>
        <v>253.17</v>
      </c>
      <c r="P12" s="162">
        <v>22.85</v>
      </c>
      <c r="Q12" s="162">
        <v>100</v>
      </c>
      <c r="R12" s="184">
        <v>0.15</v>
      </c>
      <c r="S12" s="164">
        <f>(O12+P12+Q12)*(1+R12)</f>
        <v>432.42299999999994</v>
      </c>
      <c r="T12" s="164">
        <v>88</v>
      </c>
      <c r="U12" s="164">
        <f t="shared" ref="U12:U17" si="5">T12*J12</f>
        <v>176</v>
      </c>
      <c r="V12" s="164">
        <f>(S12-T12)*J12</f>
        <v>688.84599999999989</v>
      </c>
    </row>
    <row r="13" spans="1:22" ht="16.2" thickBot="1" x14ac:dyDescent="0.35">
      <c r="A13" s="159">
        <v>100</v>
      </c>
      <c r="B13" s="159">
        <v>130</v>
      </c>
      <c r="C13" s="159">
        <v>337</v>
      </c>
      <c r="D13" s="170">
        <f>B13*C13*0.001</f>
        <v>43.81</v>
      </c>
      <c r="E13" s="160" t="e">
        <f t="shared" si="0"/>
        <v>#REF!</v>
      </c>
      <c r="F13" s="161">
        <f>C13*(0.1*70+10)</f>
        <v>5729</v>
      </c>
      <c r="G13" s="162" t="e">
        <f t="shared" si="1"/>
        <v>#REF!</v>
      </c>
      <c r="H13" s="169" t="s">
        <v>94</v>
      </c>
      <c r="I13" s="159">
        <f>Configurations!U10</f>
        <v>50</v>
      </c>
      <c r="J13" s="159">
        <f t="shared" si="2"/>
        <v>337</v>
      </c>
      <c r="K13" s="170">
        <f t="shared" ref="K13:K17" si="6">I13*J13*0.001</f>
        <v>16.850000000000001</v>
      </c>
      <c r="L13" s="160" t="e">
        <f t="shared" si="3"/>
        <v>#REF!</v>
      </c>
      <c r="M13" s="163">
        <f t="shared" ref="M13:M17" si="7">C13*2.4</f>
        <v>808.8</v>
      </c>
      <c r="N13" s="162" t="e">
        <f t="shared" si="4"/>
        <v>#REF!</v>
      </c>
      <c r="O13" s="162">
        <f>253.17</f>
        <v>253.17</v>
      </c>
      <c r="P13" s="162">
        <v>22.85</v>
      </c>
      <c r="Q13" s="162">
        <v>100</v>
      </c>
      <c r="R13" s="184">
        <v>0.15</v>
      </c>
      <c r="S13" s="164">
        <f t="shared" ref="S13:S17" si="8">(O13+P13+Q13)*(1+R13)</f>
        <v>432.42299999999994</v>
      </c>
      <c r="T13" s="164">
        <v>88</v>
      </c>
      <c r="U13" s="164">
        <f t="shared" si="5"/>
        <v>29656</v>
      </c>
      <c r="V13" s="164">
        <f t="shared" ref="V13:V17" si="9">(S13-T13)*J13</f>
        <v>116070.55099999998</v>
      </c>
    </row>
    <row r="14" spans="1:22" ht="16.2" thickBot="1" x14ac:dyDescent="0.35">
      <c r="A14" s="159">
        <v>150</v>
      </c>
      <c r="B14" s="159">
        <v>190</v>
      </c>
      <c r="C14" s="159">
        <v>175</v>
      </c>
      <c r="D14" s="170">
        <f t="shared" ref="D14:D17" si="10">B14*C14*0.001</f>
        <v>33.25</v>
      </c>
      <c r="E14" s="160" t="e">
        <f t="shared" si="0"/>
        <v>#REF!</v>
      </c>
      <c r="F14" s="161">
        <f>C14*(0.1*70+10)</f>
        <v>2975</v>
      </c>
      <c r="G14" s="162" t="e">
        <f t="shared" si="1"/>
        <v>#REF!</v>
      </c>
      <c r="H14" s="169" t="s">
        <v>95</v>
      </c>
      <c r="I14" s="159">
        <v>60</v>
      </c>
      <c r="J14" s="159">
        <f t="shared" si="2"/>
        <v>175</v>
      </c>
      <c r="K14" s="170">
        <f t="shared" si="6"/>
        <v>10.5</v>
      </c>
      <c r="L14" s="160" t="e">
        <f t="shared" si="3"/>
        <v>#REF!</v>
      </c>
      <c r="M14" s="163">
        <f t="shared" si="7"/>
        <v>420</v>
      </c>
      <c r="N14" s="162" t="e">
        <f t="shared" si="4"/>
        <v>#REF!</v>
      </c>
      <c r="O14" s="162">
        <f>334.9</f>
        <v>334.9</v>
      </c>
      <c r="P14" s="162">
        <v>22.85</v>
      </c>
      <c r="Q14" s="162">
        <v>100</v>
      </c>
      <c r="R14" s="184">
        <v>0.15</v>
      </c>
      <c r="S14" s="164">
        <f t="shared" si="8"/>
        <v>526.41249999999991</v>
      </c>
      <c r="T14" s="164">
        <v>88</v>
      </c>
      <c r="U14" s="164">
        <f t="shared" si="5"/>
        <v>15400</v>
      </c>
      <c r="V14" s="164">
        <f t="shared" si="9"/>
        <v>76722.187499999985</v>
      </c>
    </row>
    <row r="15" spans="1:22" ht="16.2" thickBot="1" x14ac:dyDescent="0.35">
      <c r="A15" s="159">
        <v>200</v>
      </c>
      <c r="B15" s="159">
        <v>250</v>
      </c>
      <c r="C15" s="159">
        <v>2</v>
      </c>
      <c r="D15" s="170">
        <f t="shared" si="10"/>
        <v>0.5</v>
      </c>
      <c r="E15" s="160" t="e">
        <f t="shared" si="0"/>
        <v>#REF!</v>
      </c>
      <c r="F15" s="161">
        <f>C15*(0.1*70+15)</f>
        <v>44</v>
      </c>
      <c r="G15" s="162" t="e">
        <f t="shared" si="1"/>
        <v>#REF!</v>
      </c>
      <c r="H15" s="169" t="s">
        <v>96</v>
      </c>
      <c r="I15" s="159">
        <v>60</v>
      </c>
      <c r="J15" s="159">
        <f t="shared" si="2"/>
        <v>2</v>
      </c>
      <c r="K15" s="170">
        <f t="shared" si="6"/>
        <v>0.12</v>
      </c>
      <c r="L15" s="160" t="e">
        <f t="shared" si="3"/>
        <v>#REF!</v>
      </c>
      <c r="M15" s="163">
        <f t="shared" si="7"/>
        <v>4.8</v>
      </c>
      <c r="N15" s="162" t="e">
        <f t="shared" si="4"/>
        <v>#REF!</v>
      </c>
      <c r="O15" s="162">
        <f>426.92</f>
        <v>426.92</v>
      </c>
      <c r="P15" s="162">
        <v>22.85</v>
      </c>
      <c r="Q15" s="162">
        <v>100</v>
      </c>
      <c r="R15" s="184">
        <v>0.15</v>
      </c>
      <c r="S15" s="164">
        <f t="shared" si="8"/>
        <v>632.23549999999989</v>
      </c>
      <c r="T15" s="164">
        <v>126</v>
      </c>
      <c r="U15" s="164">
        <f t="shared" si="5"/>
        <v>252</v>
      </c>
      <c r="V15" s="164">
        <f t="shared" si="9"/>
        <v>1012.4709999999998</v>
      </c>
    </row>
    <row r="16" spans="1:22" ht="16.2" thickBot="1" x14ac:dyDescent="0.35">
      <c r="A16" s="159">
        <v>250</v>
      </c>
      <c r="B16" s="159">
        <v>300</v>
      </c>
      <c r="C16" s="159">
        <v>53</v>
      </c>
      <c r="D16" s="170">
        <f t="shared" si="10"/>
        <v>15.9</v>
      </c>
      <c r="E16" s="160" t="e">
        <f t="shared" si="0"/>
        <v>#REF!</v>
      </c>
      <c r="F16" s="161">
        <f>C16*(0.1*70+15)</f>
        <v>1166</v>
      </c>
      <c r="G16" s="162" t="e">
        <f t="shared" si="1"/>
        <v>#REF!</v>
      </c>
      <c r="H16" s="169" t="s">
        <v>96</v>
      </c>
      <c r="I16" s="159">
        <v>113</v>
      </c>
      <c r="J16" s="159">
        <f t="shared" si="2"/>
        <v>53</v>
      </c>
      <c r="K16" s="170">
        <f t="shared" si="6"/>
        <v>5.9889999999999999</v>
      </c>
      <c r="L16" s="160" t="e">
        <f t="shared" si="3"/>
        <v>#REF!</v>
      </c>
      <c r="M16" s="163">
        <f t="shared" si="7"/>
        <v>127.19999999999999</v>
      </c>
      <c r="N16" s="162" t="e">
        <f t="shared" si="4"/>
        <v>#REF!</v>
      </c>
      <c r="O16" s="162">
        <f>426.92</f>
        <v>426.92</v>
      </c>
      <c r="P16" s="162">
        <v>22.85</v>
      </c>
      <c r="Q16" s="162">
        <v>100</v>
      </c>
      <c r="R16" s="184">
        <v>0.15</v>
      </c>
      <c r="S16" s="164">
        <f t="shared" si="8"/>
        <v>632.23549999999989</v>
      </c>
      <c r="T16" s="165">
        <v>126</v>
      </c>
      <c r="U16" s="164">
        <f t="shared" si="5"/>
        <v>6678</v>
      </c>
      <c r="V16" s="164">
        <f t="shared" si="9"/>
        <v>26830.481499999994</v>
      </c>
    </row>
    <row r="17" spans="1:22" ht="16.2" thickBot="1" x14ac:dyDescent="0.35">
      <c r="A17" s="159">
        <v>400</v>
      </c>
      <c r="B17" s="159">
        <v>465</v>
      </c>
      <c r="C17" s="159">
        <v>0</v>
      </c>
      <c r="D17" s="170">
        <f t="shared" si="10"/>
        <v>0</v>
      </c>
      <c r="E17" s="160" t="e">
        <f t="shared" si="0"/>
        <v>#REF!</v>
      </c>
      <c r="F17" s="161">
        <f>C17*(0.1*70+15)</f>
        <v>0</v>
      </c>
      <c r="G17" s="162" t="e">
        <f t="shared" si="1"/>
        <v>#REF!</v>
      </c>
      <c r="H17" s="169" t="s">
        <v>97</v>
      </c>
      <c r="I17" s="159">
        <v>158</v>
      </c>
      <c r="J17" s="159">
        <f t="shared" si="2"/>
        <v>0</v>
      </c>
      <c r="K17" s="170">
        <f t="shared" si="6"/>
        <v>0</v>
      </c>
      <c r="L17" s="160" t="e">
        <f t="shared" si="3"/>
        <v>#REF!</v>
      </c>
      <c r="M17" s="163">
        <f t="shared" si="7"/>
        <v>0</v>
      </c>
      <c r="N17" s="162" t="e">
        <f t="shared" si="4"/>
        <v>#REF!</v>
      </c>
      <c r="O17" s="162">
        <f>450.03</f>
        <v>450.03</v>
      </c>
      <c r="P17" s="162">
        <v>22.85</v>
      </c>
      <c r="Q17" s="162">
        <v>100</v>
      </c>
      <c r="R17" s="184">
        <v>0.15</v>
      </c>
      <c r="S17" s="164">
        <f t="shared" si="8"/>
        <v>658.8119999999999</v>
      </c>
      <c r="T17" s="164">
        <v>183</v>
      </c>
      <c r="U17" s="164">
        <f t="shared" si="5"/>
        <v>0</v>
      </c>
      <c r="V17" s="164">
        <f t="shared" si="9"/>
        <v>0</v>
      </c>
    </row>
    <row r="18" spans="1:22" x14ac:dyDescent="0.3">
      <c r="A18" s="141"/>
      <c r="B18" s="141"/>
      <c r="C18" s="141"/>
      <c r="D18" s="171"/>
      <c r="E18" s="155"/>
      <c r="F18" s="142"/>
      <c r="K18" s="168"/>
      <c r="L18" s="155"/>
    </row>
    <row r="19" spans="1:22" x14ac:dyDescent="0.3">
      <c r="A19" s="228" t="s">
        <v>13</v>
      </c>
      <c r="B19" s="228"/>
      <c r="C19" s="196">
        <f>SUM(C12:C18)</f>
        <v>569</v>
      </c>
      <c r="D19" s="172">
        <f t="shared" ref="D19:G19" si="11">SUM(D12:D18)</f>
        <v>93.65</v>
      </c>
      <c r="E19" s="143" t="e">
        <f>SUM(E12:E18)</f>
        <v>#REF!</v>
      </c>
      <c r="F19" s="143">
        <f t="shared" si="11"/>
        <v>9948</v>
      </c>
      <c r="G19" s="143" t="e">
        <f t="shared" si="11"/>
        <v>#REF!</v>
      </c>
      <c r="H19" s="140"/>
      <c r="I19" s="140"/>
      <c r="J19" s="144">
        <f t="shared" ref="J19:N19" si="12">SUM(J12:J18)</f>
        <v>569</v>
      </c>
      <c r="K19" s="173">
        <f t="shared" si="12"/>
        <v>33.559000000000005</v>
      </c>
      <c r="L19" s="143" t="e">
        <f t="shared" si="12"/>
        <v>#REF!</v>
      </c>
      <c r="M19" s="143">
        <f t="shared" si="12"/>
        <v>1365.6</v>
      </c>
      <c r="N19" s="143" t="e">
        <f t="shared" si="12"/>
        <v>#REF!</v>
      </c>
      <c r="O19" s="143"/>
      <c r="P19" s="143"/>
      <c r="Q19" s="143"/>
      <c r="R19" s="143"/>
      <c r="S19" s="140"/>
      <c r="T19" s="140"/>
      <c r="U19" s="158">
        <f>SUM(U12:U17)</f>
        <v>52162</v>
      </c>
      <c r="V19" s="143">
        <f t="shared" ref="V19" si="13">SUM(V12:V18)</f>
        <v>221324.53699999995</v>
      </c>
    </row>
    <row r="20" spans="1:22" x14ac:dyDescent="0.3">
      <c r="A20" s="141"/>
      <c r="B20" s="141"/>
      <c r="C20" s="201" t="s">
        <v>113</v>
      </c>
      <c r="D20" s="141"/>
    </row>
    <row r="21" spans="1:22" x14ac:dyDescent="0.3">
      <c r="A21" s="141"/>
      <c r="B21" s="141"/>
      <c r="C21" s="141"/>
      <c r="D21" s="141"/>
    </row>
    <row r="22" spans="1:22" x14ac:dyDescent="0.3">
      <c r="B22" s="221" t="s">
        <v>103</v>
      </c>
      <c r="C22" s="228"/>
      <c r="D22" s="185">
        <f>V19</f>
        <v>221324.53699999995</v>
      </c>
      <c r="E22" s="166"/>
      <c r="H22" s="195" t="s">
        <v>109</v>
      </c>
      <c r="I22" s="193" t="e">
        <f>I23/D5/1000/1000</f>
        <v>#REF!</v>
      </c>
      <c r="J22" s="142"/>
    </row>
    <row r="23" spans="1:22" x14ac:dyDescent="0.3">
      <c r="A23" s="228" t="s">
        <v>111</v>
      </c>
      <c r="B23" s="221"/>
      <c r="C23" s="221"/>
      <c r="D23" s="185">
        <f>D22*0.15</f>
        <v>33198.68054999999</v>
      </c>
      <c r="E23" s="166"/>
      <c r="F23" s="221" t="s">
        <v>110</v>
      </c>
      <c r="G23" s="228"/>
      <c r="H23" s="228"/>
      <c r="I23" s="186" t="e">
        <f>E19-L19</f>
        <v>#REF!</v>
      </c>
      <c r="J23" s="142"/>
      <c r="K23" s="167"/>
    </row>
    <row r="24" spans="1:22" ht="18" x14ac:dyDescent="0.35">
      <c r="A24" s="188"/>
      <c r="B24" s="189"/>
      <c r="C24" s="194" t="s">
        <v>105</v>
      </c>
      <c r="D24" s="153">
        <f>D22+D23</f>
        <v>254523.21754999994</v>
      </c>
      <c r="E24" s="166"/>
      <c r="F24" s="221" t="s">
        <v>104</v>
      </c>
      <c r="G24" s="228"/>
      <c r="H24" s="228"/>
      <c r="I24" s="145">
        <f>F19-M19</f>
        <v>8582.4</v>
      </c>
      <c r="K24" s="146"/>
    </row>
    <row r="25" spans="1:22" x14ac:dyDescent="0.3">
      <c r="E25" s="166"/>
      <c r="F25" s="221" t="e">
        <f>"Annual Load Based Savings @ $"&amp;D7&amp;"/kW:"</f>
        <v>#REF!</v>
      </c>
      <c r="G25" s="221"/>
      <c r="H25" s="221"/>
      <c r="I25" s="145" t="e">
        <f>D7*I26*12</f>
        <v>#REF!</v>
      </c>
      <c r="K25" s="146"/>
    </row>
    <row r="26" spans="1:22" x14ac:dyDescent="0.3">
      <c r="F26" s="228" t="s">
        <v>14</v>
      </c>
      <c r="G26" s="228"/>
      <c r="H26" s="228"/>
      <c r="I26" s="147">
        <f>D19-K19</f>
        <v>60.091000000000001</v>
      </c>
      <c r="J26" s="140" t="s">
        <v>15</v>
      </c>
      <c r="K26" s="146"/>
    </row>
    <row r="27" spans="1:22" x14ac:dyDescent="0.3">
      <c r="F27" s="228" t="s">
        <v>16</v>
      </c>
      <c r="G27" s="228"/>
      <c r="H27" s="228"/>
      <c r="I27" s="148" t="e">
        <f>D24/(I23+I24+I25)</f>
        <v>#REF!</v>
      </c>
      <c r="J27" s="140" t="s">
        <v>17</v>
      </c>
    </row>
    <row r="28" spans="1:22" x14ac:dyDescent="0.3">
      <c r="F28" s="195"/>
      <c r="G28" s="195"/>
      <c r="H28" s="195" t="e">
        <f>"NPV@"&amp;(#REF!*100)&amp;"%:"</f>
        <v>#REF!</v>
      </c>
      <c r="I28" s="145" t="e">
        <f>#REF!</f>
        <v>#REF!</v>
      </c>
      <c r="J28" s="140"/>
    </row>
    <row r="29" spans="1:22" x14ac:dyDescent="0.3">
      <c r="F29" s="195"/>
      <c r="G29" s="195"/>
      <c r="H29" s="194" t="s">
        <v>102</v>
      </c>
      <c r="I29" s="187" t="e">
        <f>#REF!</f>
        <v>#REF!</v>
      </c>
      <c r="J29" s="148"/>
      <c r="K29" s="140"/>
    </row>
    <row r="33" spans="1:22" x14ac:dyDescent="0.3">
      <c r="A33" s="149"/>
      <c r="B33" s="149"/>
      <c r="C33" s="149"/>
      <c r="D33" s="150"/>
      <c r="E33" s="151"/>
      <c r="F33" s="152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</row>
    <row r="34" spans="1:22" x14ac:dyDescent="0.3">
      <c r="A34" s="195" t="s">
        <v>18</v>
      </c>
      <c r="B34" s="140" t="s">
        <v>19</v>
      </c>
    </row>
    <row r="35" spans="1:22" x14ac:dyDescent="0.3">
      <c r="C35" s="138" t="s">
        <v>99</v>
      </c>
    </row>
    <row r="36" spans="1:22" x14ac:dyDescent="0.3">
      <c r="C36" s="138" t="s">
        <v>20</v>
      </c>
    </row>
    <row r="37" spans="1:22" x14ac:dyDescent="0.3">
      <c r="C37" s="138" t="s">
        <v>89</v>
      </c>
    </row>
    <row r="38" spans="1:22" x14ac:dyDescent="0.3">
      <c r="B38" s="140" t="s">
        <v>21</v>
      </c>
    </row>
    <row r="39" spans="1:22" x14ac:dyDescent="0.3">
      <c r="C39" s="138" t="s">
        <v>22</v>
      </c>
    </row>
    <row r="40" spans="1:22" x14ac:dyDescent="0.3">
      <c r="C40" s="138" t="s">
        <v>88</v>
      </c>
    </row>
    <row r="41" spans="1:22" x14ac:dyDescent="0.3">
      <c r="C41" s="138" t="s">
        <v>23</v>
      </c>
    </row>
    <row r="42" spans="1:22" x14ac:dyDescent="0.3">
      <c r="B42" s="140" t="s">
        <v>87</v>
      </c>
    </row>
    <row r="52" spans="3:3" x14ac:dyDescent="0.3">
      <c r="C52" s="140"/>
    </row>
    <row r="53" spans="3:3" x14ac:dyDescent="0.3">
      <c r="C53" s="154"/>
    </row>
    <row r="54" spans="3:3" x14ac:dyDescent="0.3">
      <c r="C54" s="154"/>
    </row>
    <row r="55" spans="3:3" x14ac:dyDescent="0.3">
      <c r="C55" s="156"/>
    </row>
    <row r="56" spans="3:3" x14ac:dyDescent="0.3">
      <c r="C56" s="157"/>
    </row>
  </sheetData>
  <mergeCells count="12">
    <mergeCell ref="F27:H27"/>
    <mergeCell ref="A19:B19"/>
    <mergeCell ref="B22:C22"/>
    <mergeCell ref="A23:C23"/>
    <mergeCell ref="F23:H23"/>
    <mergeCell ref="F24:H24"/>
    <mergeCell ref="F25:H25"/>
    <mergeCell ref="A5:C5"/>
    <mergeCell ref="A6:C6"/>
    <mergeCell ref="A10:G10"/>
    <mergeCell ref="H10:V10"/>
    <mergeCell ref="F26:H26"/>
  </mergeCells>
  <pageMargins left="0.7" right="0.7" top="0.75" bottom="0.75" header="0.3" footer="0.3"/>
  <pageSetup scale="63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U49"/>
  <sheetViews>
    <sheetView topLeftCell="A10" workbookViewId="0">
      <selection activeCell="H28" sqref="H28"/>
    </sheetView>
  </sheetViews>
  <sheetFormatPr defaultColWidth="8.6640625" defaultRowHeight="14.4" x14ac:dyDescent="0.3"/>
  <cols>
    <col min="1" max="1" width="10" customWidth="1"/>
    <col min="3" max="3" width="10.6640625" customWidth="1"/>
    <col min="4" max="4" width="11.109375" customWidth="1"/>
  </cols>
  <sheetData>
    <row r="3" spans="1:21" ht="15.6" x14ac:dyDescent="0.3">
      <c r="C3" s="264" t="s">
        <v>24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21" ht="15.6" x14ac:dyDescent="0.3">
      <c r="B4" s="265" t="s">
        <v>25</v>
      </c>
      <c r="C4" s="265"/>
      <c r="D4" s="265"/>
    </row>
    <row r="5" spans="1:21" ht="16.2" thickBot="1" x14ac:dyDescent="0.35">
      <c r="E5" s="2"/>
      <c r="F5" s="2"/>
      <c r="G5" s="2"/>
    </row>
    <row r="6" spans="1:21" ht="15" thickBot="1" x14ac:dyDescent="0.35">
      <c r="A6" s="234" t="s">
        <v>26</v>
      </c>
      <c r="B6" s="266" t="s">
        <v>27</v>
      </c>
      <c r="C6" s="234" t="s">
        <v>28</v>
      </c>
      <c r="D6" s="269" t="s">
        <v>29</v>
      </c>
      <c r="E6" s="270"/>
      <c r="F6" s="270"/>
      <c r="G6" s="271"/>
      <c r="H6" s="272" t="s">
        <v>30</v>
      </c>
      <c r="I6" s="234" t="s">
        <v>31</v>
      </c>
      <c r="J6" s="229" t="s">
        <v>32</v>
      </c>
      <c r="K6" s="249" t="s">
        <v>33</v>
      </c>
      <c r="L6" s="250"/>
      <c r="M6" s="249" t="s">
        <v>34</v>
      </c>
      <c r="N6" s="250"/>
      <c r="O6" s="229" t="s">
        <v>35</v>
      </c>
      <c r="P6" s="255" t="s">
        <v>36</v>
      </c>
      <c r="Q6" s="258" t="s">
        <v>37</v>
      </c>
      <c r="R6" s="261" t="s">
        <v>38</v>
      </c>
      <c r="S6" s="234" t="s">
        <v>39</v>
      </c>
      <c r="T6" s="229" t="s">
        <v>40</v>
      </c>
      <c r="U6" s="229" t="s">
        <v>41</v>
      </c>
    </row>
    <row r="7" spans="1:21" ht="15" thickBot="1" x14ac:dyDescent="0.35">
      <c r="A7" s="235"/>
      <c r="B7" s="267"/>
      <c r="C7" s="235"/>
      <c r="D7" s="3" t="s">
        <v>42</v>
      </c>
      <c r="E7" s="232" t="s">
        <v>43</v>
      </c>
      <c r="F7" s="233"/>
      <c r="G7" s="4" t="s">
        <v>44</v>
      </c>
      <c r="H7" s="273"/>
      <c r="I7" s="235"/>
      <c r="J7" s="253"/>
      <c r="K7" s="251"/>
      <c r="L7" s="252"/>
      <c r="M7" s="251"/>
      <c r="N7" s="252"/>
      <c r="O7" s="253"/>
      <c r="P7" s="256"/>
      <c r="Q7" s="259"/>
      <c r="R7" s="262"/>
      <c r="S7" s="235"/>
      <c r="T7" s="253"/>
      <c r="U7" s="230"/>
    </row>
    <row r="8" spans="1:21" ht="39" customHeight="1" thickBot="1" x14ac:dyDescent="0.35">
      <c r="A8" s="236"/>
      <c r="B8" s="268"/>
      <c r="C8" s="236"/>
      <c r="D8" s="5" t="s">
        <v>45</v>
      </c>
      <c r="E8" s="6" t="s">
        <v>46</v>
      </c>
      <c r="F8" s="5" t="s">
        <v>47</v>
      </c>
      <c r="G8" s="7" t="s">
        <v>48</v>
      </c>
      <c r="H8" s="274"/>
      <c r="I8" s="236"/>
      <c r="J8" s="254"/>
      <c r="K8" s="8" t="s">
        <v>49</v>
      </c>
      <c r="L8" s="9" t="s">
        <v>50</v>
      </c>
      <c r="M8" s="9" t="s">
        <v>49</v>
      </c>
      <c r="N8" s="10" t="s">
        <v>50</v>
      </c>
      <c r="O8" s="254"/>
      <c r="P8" s="257"/>
      <c r="Q8" s="260"/>
      <c r="R8" s="263"/>
      <c r="S8" s="236"/>
      <c r="T8" s="254"/>
      <c r="U8" s="231"/>
    </row>
    <row r="9" spans="1:21" x14ac:dyDescent="0.3">
      <c r="A9" s="11" t="s">
        <v>51</v>
      </c>
      <c r="B9" s="12" t="s">
        <v>52</v>
      </c>
      <c r="C9" s="13" t="s">
        <v>53</v>
      </c>
      <c r="D9" s="12">
        <v>0.3</v>
      </c>
      <c r="E9" s="14">
        <v>6</v>
      </c>
      <c r="F9" s="15">
        <v>10</v>
      </c>
      <c r="G9" s="13">
        <v>0.4</v>
      </c>
      <c r="H9" s="16">
        <v>2</v>
      </c>
      <c r="I9" s="13">
        <v>3.6</v>
      </c>
      <c r="J9" s="16"/>
      <c r="K9" s="13"/>
      <c r="L9" s="16"/>
      <c r="M9" s="13"/>
      <c r="N9" s="16"/>
      <c r="O9" s="14">
        <v>7.3</v>
      </c>
      <c r="P9" s="17">
        <v>1.2</v>
      </c>
      <c r="Q9" s="18">
        <v>2.4</v>
      </c>
      <c r="R9" s="19">
        <v>55</v>
      </c>
      <c r="S9" s="13" t="s">
        <v>54</v>
      </c>
      <c r="T9" s="20">
        <v>100</v>
      </c>
      <c r="U9" s="21">
        <v>50</v>
      </c>
    </row>
    <row r="10" spans="1:21" x14ac:dyDescent="0.3">
      <c r="A10" s="22" t="s">
        <v>55</v>
      </c>
      <c r="B10" s="23" t="s">
        <v>52</v>
      </c>
      <c r="C10" s="24" t="s">
        <v>53</v>
      </c>
      <c r="D10" s="23">
        <v>0.3</v>
      </c>
      <c r="E10" s="25">
        <v>6</v>
      </c>
      <c r="F10" s="26">
        <v>10</v>
      </c>
      <c r="G10" s="24">
        <v>0.4</v>
      </c>
      <c r="H10" s="23">
        <v>2</v>
      </c>
      <c r="I10" s="24">
        <v>3.6</v>
      </c>
      <c r="J10" s="23"/>
      <c r="K10" s="24"/>
      <c r="L10" s="23"/>
      <c r="M10" s="24"/>
      <c r="N10" s="23"/>
      <c r="O10" s="25">
        <v>7.3</v>
      </c>
      <c r="P10" s="27">
        <v>1.2</v>
      </c>
      <c r="Q10" s="28">
        <v>2.4</v>
      </c>
      <c r="R10" s="29">
        <v>91</v>
      </c>
      <c r="S10" s="24" t="s">
        <v>56</v>
      </c>
      <c r="T10" s="30">
        <v>100</v>
      </c>
      <c r="U10" s="31">
        <v>50</v>
      </c>
    </row>
    <row r="11" spans="1:21" ht="15" thickBot="1" x14ac:dyDescent="0.35">
      <c r="A11" s="32" t="s">
        <v>57</v>
      </c>
      <c r="B11" s="33" t="s">
        <v>52</v>
      </c>
      <c r="C11" s="34" t="s">
        <v>53</v>
      </c>
      <c r="D11" s="33">
        <v>0.3</v>
      </c>
      <c r="E11" s="35">
        <v>6</v>
      </c>
      <c r="F11" s="36">
        <v>10</v>
      </c>
      <c r="G11" s="34">
        <v>0.4</v>
      </c>
      <c r="H11" s="33">
        <v>2</v>
      </c>
      <c r="I11" s="34">
        <v>3.6</v>
      </c>
      <c r="J11" s="33"/>
      <c r="K11" s="34"/>
      <c r="L11" s="33"/>
      <c r="M11" s="34"/>
      <c r="N11" s="33"/>
      <c r="O11" s="35">
        <v>7.3</v>
      </c>
      <c r="P11" s="37">
        <v>1</v>
      </c>
      <c r="Q11" s="38">
        <v>1.8</v>
      </c>
      <c r="R11" s="39">
        <v>60</v>
      </c>
      <c r="S11" s="34" t="s">
        <v>54</v>
      </c>
      <c r="T11" s="40">
        <v>150</v>
      </c>
      <c r="U11" s="41"/>
    </row>
    <row r="12" spans="1:21" x14ac:dyDescent="0.3">
      <c r="A12" s="42" t="s">
        <v>58</v>
      </c>
      <c r="B12" s="43" t="s">
        <v>59</v>
      </c>
      <c r="C12" s="44" t="s">
        <v>60</v>
      </c>
      <c r="D12" s="43"/>
      <c r="E12" s="45"/>
      <c r="F12" s="46"/>
      <c r="G12" s="44"/>
      <c r="H12" s="43"/>
      <c r="I12" s="44"/>
      <c r="J12" s="43"/>
      <c r="K12" s="44"/>
      <c r="L12" s="43"/>
      <c r="M12" s="44"/>
      <c r="N12" s="43"/>
      <c r="O12" s="45"/>
      <c r="P12" s="47"/>
      <c r="Q12" s="48"/>
      <c r="R12" s="49"/>
      <c r="S12" s="44"/>
      <c r="T12" s="50"/>
      <c r="U12" s="51"/>
    </row>
    <row r="13" spans="1:21" ht="15" thickBot="1" x14ac:dyDescent="0.35">
      <c r="A13" s="52" t="s">
        <v>61</v>
      </c>
      <c r="B13" s="53" t="s">
        <v>59</v>
      </c>
      <c r="C13" s="54" t="s">
        <v>60</v>
      </c>
      <c r="D13" s="53"/>
      <c r="E13" s="55"/>
      <c r="F13" s="56"/>
      <c r="G13" s="54"/>
      <c r="H13" s="53"/>
      <c r="I13" s="54"/>
      <c r="J13" s="53"/>
      <c r="K13" s="54"/>
      <c r="L13" s="53"/>
      <c r="M13" s="54"/>
      <c r="N13" s="53"/>
      <c r="O13" s="55"/>
      <c r="P13" s="57"/>
      <c r="Q13" s="58"/>
      <c r="R13" s="59"/>
      <c r="S13" s="54"/>
      <c r="T13" s="60"/>
      <c r="U13" s="61"/>
    </row>
    <row r="14" spans="1:21" x14ac:dyDescent="0.3">
      <c r="A14" s="11" t="s">
        <v>62</v>
      </c>
      <c r="B14" s="12" t="s">
        <v>63</v>
      </c>
      <c r="C14" s="13" t="s">
        <v>53</v>
      </c>
      <c r="D14" s="12">
        <v>0.4</v>
      </c>
      <c r="E14" s="14">
        <v>4</v>
      </c>
      <c r="F14" s="62">
        <v>8</v>
      </c>
      <c r="G14" s="13">
        <v>0.4</v>
      </c>
      <c r="H14" s="12">
        <v>2</v>
      </c>
      <c r="I14" s="13">
        <v>3.6</v>
      </c>
      <c r="J14" s="12"/>
      <c r="K14" s="13"/>
      <c r="L14" s="12"/>
      <c r="M14" s="13"/>
      <c r="N14" s="12"/>
      <c r="O14" s="14">
        <v>7.3</v>
      </c>
      <c r="P14" s="63">
        <v>1.5</v>
      </c>
      <c r="Q14" s="18">
        <v>1.8</v>
      </c>
      <c r="R14" s="64">
        <v>62</v>
      </c>
      <c r="S14" s="13" t="s">
        <v>54</v>
      </c>
      <c r="T14" s="65">
        <v>100</v>
      </c>
      <c r="U14" s="66">
        <v>50</v>
      </c>
    </row>
    <row r="15" spans="1:21" x14ac:dyDescent="0.3">
      <c r="A15" s="22" t="s">
        <v>64</v>
      </c>
      <c r="B15" s="23" t="s">
        <v>63</v>
      </c>
      <c r="C15" s="24" t="s">
        <v>53</v>
      </c>
      <c r="D15" s="23">
        <v>0.4</v>
      </c>
      <c r="E15" s="25">
        <v>4</v>
      </c>
      <c r="F15" s="26">
        <v>8</v>
      </c>
      <c r="G15" s="24">
        <v>0.4</v>
      </c>
      <c r="H15" s="23">
        <v>2</v>
      </c>
      <c r="I15" s="24">
        <v>3.6</v>
      </c>
      <c r="J15" s="23"/>
      <c r="K15" s="24"/>
      <c r="L15" s="23"/>
      <c r="M15" s="24">
        <v>1</v>
      </c>
      <c r="N15" s="23">
        <v>1.5</v>
      </c>
      <c r="O15" s="25">
        <v>7.3</v>
      </c>
      <c r="P15" s="27">
        <v>1.8</v>
      </c>
      <c r="Q15" s="28">
        <v>2.4</v>
      </c>
      <c r="R15" s="29">
        <v>38</v>
      </c>
      <c r="S15" s="24" t="s">
        <v>54</v>
      </c>
      <c r="T15" s="30">
        <v>150</v>
      </c>
      <c r="U15" s="31">
        <v>95</v>
      </c>
    </row>
    <row r="16" spans="1:21" x14ac:dyDescent="0.3">
      <c r="A16" s="22" t="s">
        <v>65</v>
      </c>
      <c r="B16" s="23" t="s">
        <v>63</v>
      </c>
      <c r="C16" s="24" t="s">
        <v>53</v>
      </c>
      <c r="D16" s="23">
        <v>0.4</v>
      </c>
      <c r="E16" s="25">
        <v>4</v>
      </c>
      <c r="F16" s="26">
        <v>8</v>
      </c>
      <c r="G16" s="24">
        <v>0.4</v>
      </c>
      <c r="H16" s="23">
        <v>3</v>
      </c>
      <c r="I16" s="24">
        <v>3.6</v>
      </c>
      <c r="J16" s="23"/>
      <c r="K16" s="24"/>
      <c r="L16" s="23"/>
      <c r="M16" s="24"/>
      <c r="N16" s="23"/>
      <c r="O16" s="25">
        <v>7.3</v>
      </c>
      <c r="P16" s="27">
        <v>1.8</v>
      </c>
      <c r="Q16" s="28">
        <v>2.4</v>
      </c>
      <c r="R16" s="29">
        <v>64</v>
      </c>
      <c r="S16" s="24" t="s">
        <v>54</v>
      </c>
      <c r="T16" s="30">
        <v>150</v>
      </c>
      <c r="U16" s="31">
        <v>95</v>
      </c>
    </row>
    <row r="17" spans="1:21" ht="15" thickBot="1" x14ac:dyDescent="0.35">
      <c r="A17" s="67" t="s">
        <v>66</v>
      </c>
      <c r="B17" s="68" t="s">
        <v>63</v>
      </c>
      <c r="C17" s="69" t="s">
        <v>53</v>
      </c>
      <c r="D17" s="68">
        <v>0.4</v>
      </c>
      <c r="E17" s="70">
        <v>4</v>
      </c>
      <c r="F17" s="71">
        <v>8</v>
      </c>
      <c r="G17" s="69">
        <v>0.4</v>
      </c>
      <c r="H17" s="68">
        <v>4</v>
      </c>
      <c r="I17" s="69">
        <v>4.2</v>
      </c>
      <c r="J17" s="68"/>
      <c r="K17" s="69"/>
      <c r="L17" s="68"/>
      <c r="M17" s="69"/>
      <c r="N17" s="68"/>
      <c r="O17" s="69">
        <v>7.6</v>
      </c>
      <c r="P17" s="68">
        <v>1</v>
      </c>
      <c r="Q17" s="72">
        <v>2.4</v>
      </c>
      <c r="R17" s="73">
        <v>61</v>
      </c>
      <c r="S17" s="69" t="s">
        <v>54</v>
      </c>
      <c r="T17" s="74">
        <v>150</v>
      </c>
      <c r="U17" s="75"/>
    </row>
    <row r="18" spans="1:21" x14ac:dyDescent="0.3">
      <c r="A18" s="42" t="s">
        <v>67</v>
      </c>
      <c r="B18" s="43" t="s">
        <v>63</v>
      </c>
      <c r="C18" s="44" t="s">
        <v>60</v>
      </c>
      <c r="D18" s="43">
        <v>0.6</v>
      </c>
      <c r="E18" s="44">
        <v>3.5</v>
      </c>
      <c r="F18" s="46">
        <v>6</v>
      </c>
      <c r="G18" s="44">
        <v>0.4</v>
      </c>
      <c r="H18" s="43">
        <v>3</v>
      </c>
      <c r="I18" s="44">
        <v>3.6</v>
      </c>
      <c r="J18" s="43"/>
      <c r="K18" s="44"/>
      <c r="L18" s="43"/>
      <c r="M18" s="44"/>
      <c r="N18" s="43"/>
      <c r="O18" s="44">
        <v>7.3</v>
      </c>
      <c r="P18" s="43">
        <v>1.8</v>
      </c>
      <c r="Q18" s="48">
        <v>2.4</v>
      </c>
      <c r="R18" s="49">
        <v>45</v>
      </c>
      <c r="S18" s="44" t="s">
        <v>54</v>
      </c>
      <c r="T18" s="50">
        <v>250</v>
      </c>
      <c r="U18" s="51">
        <v>190</v>
      </c>
    </row>
    <row r="19" spans="1:21" ht="15" thickBot="1" x14ac:dyDescent="0.35">
      <c r="A19" s="52" t="s">
        <v>68</v>
      </c>
      <c r="B19" s="53" t="s">
        <v>63</v>
      </c>
      <c r="C19" s="54" t="s">
        <v>60</v>
      </c>
      <c r="D19" s="53">
        <v>0.6</v>
      </c>
      <c r="E19" s="54">
        <v>3.5</v>
      </c>
      <c r="F19" s="56">
        <v>6</v>
      </c>
      <c r="G19" s="54">
        <v>0.4</v>
      </c>
      <c r="H19" s="53">
        <v>3</v>
      </c>
      <c r="I19" s="54">
        <v>3.6</v>
      </c>
      <c r="J19" s="53"/>
      <c r="K19" s="54"/>
      <c r="L19" s="53"/>
      <c r="M19" s="54"/>
      <c r="N19" s="53"/>
      <c r="O19" s="54">
        <v>7.3</v>
      </c>
      <c r="P19" s="53">
        <v>1.8</v>
      </c>
      <c r="Q19" s="58">
        <v>2.4</v>
      </c>
      <c r="R19" s="59">
        <v>45</v>
      </c>
      <c r="S19" s="54" t="s">
        <v>56</v>
      </c>
      <c r="T19" s="60">
        <v>150</v>
      </c>
      <c r="U19" s="61">
        <v>95</v>
      </c>
    </row>
    <row r="20" spans="1:21" x14ac:dyDescent="0.3">
      <c r="A20" s="22" t="s">
        <v>69</v>
      </c>
      <c r="B20" s="23" t="s">
        <v>70</v>
      </c>
      <c r="C20" s="24" t="s">
        <v>53</v>
      </c>
      <c r="D20" s="23">
        <v>0.6</v>
      </c>
      <c r="E20" s="25">
        <v>3.5</v>
      </c>
      <c r="F20" s="26">
        <v>6</v>
      </c>
      <c r="G20" s="24">
        <v>0.3</v>
      </c>
      <c r="H20" s="23">
        <v>2</v>
      </c>
      <c r="I20" s="24">
        <v>4.2</v>
      </c>
      <c r="J20" s="23"/>
      <c r="K20" s="24">
        <v>2</v>
      </c>
      <c r="L20" s="23">
        <v>4.2</v>
      </c>
      <c r="M20" s="24"/>
      <c r="N20" s="23"/>
      <c r="O20" s="25">
        <v>7.6</v>
      </c>
      <c r="P20" s="27">
        <v>0.5</v>
      </c>
      <c r="Q20" s="28">
        <v>1.2</v>
      </c>
      <c r="R20" s="29">
        <v>41</v>
      </c>
      <c r="S20" s="24" t="s">
        <v>56</v>
      </c>
      <c r="T20" s="30">
        <v>150</v>
      </c>
      <c r="U20" s="31">
        <v>95</v>
      </c>
    </row>
    <row r="21" spans="1:21" x14ac:dyDescent="0.3">
      <c r="A21" s="22" t="s">
        <v>71</v>
      </c>
      <c r="B21" s="23" t="s">
        <v>70</v>
      </c>
      <c r="C21" s="24" t="s">
        <v>53</v>
      </c>
      <c r="D21" s="23">
        <v>0.6</v>
      </c>
      <c r="E21" s="25">
        <v>3.5</v>
      </c>
      <c r="F21" s="26">
        <v>6</v>
      </c>
      <c r="G21" s="24">
        <v>0.3</v>
      </c>
      <c r="H21" s="23">
        <v>2</v>
      </c>
      <c r="I21" s="24">
        <v>3.6</v>
      </c>
      <c r="J21" s="23"/>
      <c r="K21" s="24">
        <v>1</v>
      </c>
      <c r="L21" s="23">
        <v>2.4</v>
      </c>
      <c r="M21" s="24"/>
      <c r="N21" s="23"/>
      <c r="O21" s="25">
        <v>7.3</v>
      </c>
      <c r="P21" s="27">
        <v>0.5</v>
      </c>
      <c r="Q21" s="28">
        <v>2.4</v>
      </c>
      <c r="R21" s="29">
        <v>36</v>
      </c>
      <c r="S21" s="24" t="s">
        <v>54</v>
      </c>
      <c r="T21" s="30">
        <v>150</v>
      </c>
      <c r="U21" s="31">
        <v>95</v>
      </c>
    </row>
    <row r="22" spans="1:21" x14ac:dyDescent="0.3">
      <c r="A22" s="76" t="s">
        <v>72</v>
      </c>
      <c r="B22" s="77" t="s">
        <v>70</v>
      </c>
      <c r="C22" s="78" t="s">
        <v>53</v>
      </c>
      <c r="D22" s="77">
        <v>0.6</v>
      </c>
      <c r="E22" s="79">
        <v>3.5</v>
      </c>
      <c r="F22" s="80">
        <v>6</v>
      </c>
      <c r="G22" s="78">
        <v>0.3</v>
      </c>
      <c r="H22" s="77">
        <v>2</v>
      </c>
      <c r="I22" s="78">
        <v>4.2</v>
      </c>
      <c r="J22" s="77">
        <v>3.6</v>
      </c>
      <c r="K22" s="78"/>
      <c r="L22" s="77"/>
      <c r="M22" s="78"/>
      <c r="N22" s="77"/>
      <c r="O22" s="79">
        <v>7.6</v>
      </c>
      <c r="P22" s="81">
        <v>0.5</v>
      </c>
      <c r="Q22" s="82">
        <v>2.4</v>
      </c>
      <c r="R22" s="83">
        <v>62</v>
      </c>
      <c r="S22" s="78" t="s">
        <v>54</v>
      </c>
      <c r="T22" s="84">
        <v>200</v>
      </c>
      <c r="U22" s="85"/>
    </row>
    <row r="23" spans="1:21" x14ac:dyDescent="0.3">
      <c r="A23" s="76" t="s">
        <v>73</v>
      </c>
      <c r="B23" s="77" t="s">
        <v>70</v>
      </c>
      <c r="C23" s="78" t="s">
        <v>53</v>
      </c>
      <c r="D23" s="77">
        <v>0.6</v>
      </c>
      <c r="E23" s="79">
        <v>3.5</v>
      </c>
      <c r="F23" s="80">
        <v>6</v>
      </c>
      <c r="G23" s="78">
        <v>0.3</v>
      </c>
      <c r="H23" s="77">
        <v>4</v>
      </c>
      <c r="I23" s="78">
        <v>4.2</v>
      </c>
      <c r="J23" s="77"/>
      <c r="K23" s="78"/>
      <c r="L23" s="77"/>
      <c r="M23" s="78"/>
      <c r="N23" s="77"/>
      <c r="O23" s="79">
        <v>7.6</v>
      </c>
      <c r="P23" s="81">
        <v>1</v>
      </c>
      <c r="Q23" s="82">
        <v>2.4</v>
      </c>
      <c r="R23" s="83">
        <v>61</v>
      </c>
      <c r="S23" s="78" t="s">
        <v>54</v>
      </c>
      <c r="T23" s="84">
        <v>250</v>
      </c>
      <c r="U23" s="85"/>
    </row>
    <row r="24" spans="1:21" x14ac:dyDescent="0.3">
      <c r="A24" s="22" t="s">
        <v>74</v>
      </c>
      <c r="B24" s="23" t="s">
        <v>70</v>
      </c>
      <c r="C24" s="24" t="s">
        <v>53</v>
      </c>
      <c r="D24" s="23">
        <v>0.6</v>
      </c>
      <c r="E24" s="25">
        <v>3.5</v>
      </c>
      <c r="F24" s="26">
        <v>6</v>
      </c>
      <c r="G24" s="24">
        <v>0.3</v>
      </c>
      <c r="H24" s="23">
        <v>4</v>
      </c>
      <c r="I24" s="24">
        <v>3.6</v>
      </c>
      <c r="J24" s="23">
        <v>2.5</v>
      </c>
      <c r="K24" s="24"/>
      <c r="L24" s="23"/>
      <c r="M24" s="24"/>
      <c r="N24" s="23"/>
      <c r="O24" s="25">
        <v>7.3</v>
      </c>
      <c r="P24" s="27">
        <v>1.2</v>
      </c>
      <c r="Q24" s="28">
        <v>2.4</v>
      </c>
      <c r="R24" s="29">
        <v>35</v>
      </c>
      <c r="S24" s="24" t="s">
        <v>54</v>
      </c>
      <c r="T24" s="30">
        <v>250</v>
      </c>
      <c r="U24" s="31">
        <v>190</v>
      </c>
    </row>
    <row r="25" spans="1:21" ht="15" thickBot="1" x14ac:dyDescent="0.35">
      <c r="A25" s="32" t="s">
        <v>75</v>
      </c>
      <c r="B25" s="33" t="s">
        <v>70</v>
      </c>
      <c r="C25" s="34" t="s">
        <v>53</v>
      </c>
      <c r="D25" s="33">
        <v>0.6</v>
      </c>
      <c r="E25" s="35">
        <v>3.5</v>
      </c>
      <c r="F25" s="36">
        <v>6</v>
      </c>
      <c r="G25" s="24">
        <v>0.3</v>
      </c>
      <c r="H25" s="33">
        <v>4</v>
      </c>
      <c r="I25" s="34">
        <v>3.6</v>
      </c>
      <c r="J25" s="33"/>
      <c r="K25" s="34"/>
      <c r="L25" s="33"/>
      <c r="M25" s="34"/>
      <c r="N25" s="33"/>
      <c r="O25" s="35">
        <v>7.6</v>
      </c>
      <c r="P25" s="37">
        <v>1.8</v>
      </c>
      <c r="Q25" s="38">
        <v>1.8</v>
      </c>
      <c r="R25" s="39">
        <v>70</v>
      </c>
      <c r="S25" s="34" t="s">
        <v>56</v>
      </c>
      <c r="T25" s="40">
        <v>250</v>
      </c>
      <c r="U25" s="86">
        <v>190</v>
      </c>
    </row>
    <row r="26" spans="1:21" ht="15" thickBot="1" x14ac:dyDescent="0.35">
      <c r="A26" s="87" t="s">
        <v>76</v>
      </c>
      <c r="B26" s="88" t="s">
        <v>70</v>
      </c>
      <c r="C26" s="89" t="s">
        <v>60</v>
      </c>
      <c r="D26" s="88">
        <v>0.9</v>
      </c>
      <c r="E26" s="90">
        <v>3</v>
      </c>
      <c r="F26" s="91">
        <v>5</v>
      </c>
      <c r="G26" s="89">
        <v>0.3</v>
      </c>
      <c r="H26" s="88">
        <v>4</v>
      </c>
      <c r="I26" s="89">
        <v>3.6</v>
      </c>
      <c r="J26" s="88">
        <v>2.5</v>
      </c>
      <c r="K26" s="89"/>
      <c r="L26" s="88"/>
      <c r="M26" s="89"/>
      <c r="N26" s="88"/>
      <c r="O26" s="90">
        <v>7.3</v>
      </c>
      <c r="P26" s="92">
        <v>1.2</v>
      </c>
      <c r="Q26" s="93">
        <v>2.4</v>
      </c>
      <c r="R26" s="94">
        <v>40</v>
      </c>
      <c r="S26" s="89" t="s">
        <v>77</v>
      </c>
      <c r="T26" s="95">
        <v>250</v>
      </c>
      <c r="U26" s="96">
        <v>190</v>
      </c>
    </row>
    <row r="27" spans="1:21" x14ac:dyDescent="0.3">
      <c r="A27" s="97"/>
      <c r="B27" s="97"/>
      <c r="C27" s="97"/>
      <c r="D27" s="97"/>
      <c r="E27" s="98"/>
      <c r="F27" s="98"/>
      <c r="G27" s="97"/>
      <c r="H27" s="97"/>
      <c r="I27" s="97"/>
      <c r="J27" s="97"/>
      <c r="K27" s="97"/>
      <c r="L27" s="97"/>
      <c r="M27" s="97"/>
      <c r="N27" s="97"/>
      <c r="O27" s="98"/>
      <c r="P27" s="99"/>
      <c r="Q27" s="99"/>
      <c r="R27" s="100"/>
      <c r="S27" s="97"/>
      <c r="T27" s="1"/>
    </row>
    <row r="28" spans="1:21" ht="15" thickBot="1" x14ac:dyDescent="0.35">
      <c r="A28" s="97"/>
      <c r="B28" s="97"/>
      <c r="C28" s="97"/>
      <c r="D28" s="97"/>
      <c r="E28" s="98"/>
      <c r="F28" s="98"/>
      <c r="G28" s="97"/>
      <c r="H28" s="97"/>
      <c r="I28" s="97"/>
      <c r="J28" s="97"/>
      <c r="K28" s="97"/>
      <c r="L28" s="97"/>
      <c r="M28" s="97"/>
      <c r="N28" s="97"/>
      <c r="O28" s="98"/>
      <c r="P28" s="99"/>
      <c r="Q28" s="99"/>
      <c r="R28" s="100"/>
      <c r="S28" s="97"/>
      <c r="T28" s="1"/>
    </row>
    <row r="29" spans="1:21" ht="15" thickBot="1" x14ac:dyDescent="0.35">
      <c r="A29" s="234" t="s">
        <v>26</v>
      </c>
      <c r="B29" s="237" t="s">
        <v>27</v>
      </c>
      <c r="C29" s="240" t="s">
        <v>28</v>
      </c>
      <c r="D29" s="243" t="s">
        <v>78</v>
      </c>
      <c r="E29" s="244"/>
      <c r="F29" s="244"/>
      <c r="G29" s="244"/>
      <c r="H29" s="244"/>
      <c r="I29" s="244"/>
      <c r="J29" s="244"/>
      <c r="K29" s="244"/>
      <c r="L29" s="244"/>
      <c r="M29" s="245"/>
      <c r="N29" s="97"/>
      <c r="O29" s="98"/>
      <c r="P29" s="99"/>
      <c r="Q29" s="99"/>
      <c r="R29" s="100"/>
      <c r="S29" s="97"/>
      <c r="T29" s="1"/>
    </row>
    <row r="30" spans="1:21" ht="27" thickBot="1" x14ac:dyDescent="0.35">
      <c r="A30" s="235"/>
      <c r="B30" s="238"/>
      <c r="C30" s="241"/>
      <c r="D30" s="101" t="s">
        <v>79</v>
      </c>
      <c r="E30" s="102" t="s">
        <v>80</v>
      </c>
      <c r="F30" s="102" t="s">
        <v>81</v>
      </c>
      <c r="G30" s="103" t="s">
        <v>82</v>
      </c>
      <c r="H30" s="104" t="s">
        <v>83</v>
      </c>
      <c r="I30" s="105" t="s">
        <v>84</v>
      </c>
      <c r="K30" s="104"/>
      <c r="L30" s="105"/>
      <c r="M30" s="104"/>
      <c r="N30" s="97"/>
      <c r="O30" s="98"/>
      <c r="P30" s="99"/>
      <c r="Q30" s="99"/>
      <c r="R30" s="100"/>
      <c r="S30" s="97"/>
      <c r="T30" s="1"/>
    </row>
    <row r="31" spans="1:21" ht="15" thickBot="1" x14ac:dyDescent="0.35">
      <c r="A31" s="236"/>
      <c r="B31" s="239"/>
      <c r="C31" s="242"/>
      <c r="D31" s="246" t="s">
        <v>85</v>
      </c>
      <c r="E31" s="247"/>
      <c r="F31" s="247"/>
      <c r="G31" s="247"/>
      <c r="H31" s="247"/>
      <c r="I31" s="247"/>
      <c r="J31" s="247"/>
      <c r="K31" s="247"/>
      <c r="L31" s="247"/>
      <c r="M31" s="248"/>
      <c r="N31" s="97"/>
      <c r="O31" s="98"/>
      <c r="P31" s="99"/>
      <c r="Q31" s="99"/>
      <c r="R31" s="100"/>
      <c r="S31" s="97"/>
      <c r="T31" s="1"/>
    </row>
    <row r="32" spans="1:21" x14ac:dyDescent="0.3">
      <c r="A32" s="11" t="s">
        <v>51</v>
      </c>
      <c r="B32" s="12" t="s">
        <v>52</v>
      </c>
      <c r="C32" s="13" t="s">
        <v>53</v>
      </c>
      <c r="D32" s="106">
        <v>49</v>
      </c>
      <c r="E32" s="107"/>
      <c r="F32" s="66"/>
      <c r="G32" s="108">
        <v>60</v>
      </c>
      <c r="H32" s="66"/>
      <c r="I32" s="66"/>
      <c r="J32" s="109"/>
      <c r="K32" s="109"/>
      <c r="L32" s="109"/>
      <c r="M32" s="109"/>
      <c r="N32" s="97"/>
      <c r="O32" s="98"/>
      <c r="P32" s="99"/>
      <c r="Q32" s="99"/>
      <c r="R32" s="100"/>
      <c r="S32" s="97"/>
      <c r="T32" s="1"/>
    </row>
    <row r="33" spans="1:20" x14ac:dyDescent="0.3">
      <c r="A33" s="22" t="s">
        <v>55</v>
      </c>
      <c r="B33" s="23" t="s">
        <v>52</v>
      </c>
      <c r="C33" s="24" t="s">
        <v>53</v>
      </c>
      <c r="D33" s="110">
        <v>49</v>
      </c>
      <c r="E33" s="111"/>
      <c r="F33" s="112"/>
      <c r="G33" s="113">
        <v>60</v>
      </c>
      <c r="H33" s="31"/>
      <c r="I33" s="31"/>
      <c r="J33" s="97"/>
      <c r="K33" s="97"/>
      <c r="L33" s="97"/>
      <c r="M33" s="97"/>
      <c r="N33" s="97"/>
      <c r="O33" s="98"/>
      <c r="P33" s="99"/>
      <c r="Q33" s="99"/>
      <c r="R33" s="100"/>
      <c r="S33" s="97"/>
      <c r="T33" s="1"/>
    </row>
    <row r="34" spans="1:20" ht="15" thickBot="1" x14ac:dyDescent="0.35">
      <c r="A34" s="32" t="s">
        <v>57</v>
      </c>
      <c r="B34" s="33" t="s">
        <v>52</v>
      </c>
      <c r="C34" s="34" t="s">
        <v>53</v>
      </c>
      <c r="D34" s="114">
        <v>49</v>
      </c>
      <c r="E34" s="115"/>
      <c r="F34" s="116"/>
      <c r="G34" s="117">
        <v>60</v>
      </c>
      <c r="H34" s="86"/>
      <c r="I34" s="86"/>
      <c r="J34" s="97"/>
      <c r="K34" s="97"/>
      <c r="L34" s="97"/>
      <c r="M34" s="97"/>
      <c r="N34" s="97"/>
      <c r="O34" s="98"/>
      <c r="P34" s="99"/>
      <c r="Q34" s="99"/>
      <c r="R34" s="100"/>
      <c r="S34" s="97"/>
      <c r="T34" s="1"/>
    </row>
    <row r="35" spans="1:20" x14ac:dyDescent="0.3">
      <c r="A35" s="42" t="s">
        <v>58</v>
      </c>
      <c r="B35" s="43" t="s">
        <v>59</v>
      </c>
      <c r="C35" s="44" t="s">
        <v>60</v>
      </c>
      <c r="D35" s="51"/>
      <c r="E35" s="118"/>
      <c r="F35" s="119"/>
      <c r="G35" s="120"/>
      <c r="H35" s="51"/>
      <c r="I35" s="51"/>
      <c r="J35" s="97"/>
      <c r="K35" s="97"/>
      <c r="L35" s="97"/>
      <c r="M35" s="97"/>
      <c r="N35" s="97"/>
      <c r="O35" s="98"/>
      <c r="P35" s="99"/>
      <c r="Q35" s="99"/>
      <c r="R35" s="100"/>
      <c r="S35" s="97"/>
      <c r="T35" s="1"/>
    </row>
    <row r="36" spans="1:20" ht="15" thickBot="1" x14ac:dyDescent="0.35">
      <c r="A36" s="52" t="s">
        <v>61</v>
      </c>
      <c r="B36" s="53" t="s">
        <v>59</v>
      </c>
      <c r="C36" s="54" t="s">
        <v>60</v>
      </c>
      <c r="D36" s="61"/>
      <c r="E36" s="121"/>
      <c r="F36" s="122"/>
      <c r="G36" s="123"/>
      <c r="H36" s="61"/>
      <c r="I36" s="61"/>
      <c r="J36" s="97"/>
      <c r="K36" s="97"/>
      <c r="L36" s="97"/>
      <c r="M36" s="97"/>
      <c r="N36" s="97"/>
      <c r="O36" s="98"/>
      <c r="P36" s="99"/>
      <c r="Q36" s="99"/>
      <c r="R36" s="100"/>
      <c r="S36" s="97"/>
      <c r="T36" s="1"/>
    </row>
    <row r="37" spans="1:20" x14ac:dyDescent="0.3">
      <c r="A37" s="11" t="s">
        <v>62</v>
      </c>
      <c r="B37" s="12" t="s">
        <v>63</v>
      </c>
      <c r="C37" s="13" t="s">
        <v>53</v>
      </c>
      <c r="D37" s="66"/>
      <c r="E37" s="124"/>
      <c r="F37" s="125"/>
      <c r="G37" s="107">
        <v>80</v>
      </c>
      <c r="H37" s="66"/>
      <c r="I37" s="66"/>
      <c r="J37" s="97"/>
      <c r="K37" s="97"/>
      <c r="L37" s="97"/>
      <c r="M37" s="97"/>
      <c r="N37" s="97"/>
      <c r="O37" s="98"/>
      <c r="P37" s="99"/>
      <c r="Q37" s="99"/>
      <c r="R37" s="100"/>
      <c r="S37" s="97"/>
      <c r="T37" s="1"/>
    </row>
    <row r="38" spans="1:20" x14ac:dyDescent="0.3">
      <c r="A38" s="22" t="s">
        <v>64</v>
      </c>
      <c r="B38" s="23" t="s">
        <v>63</v>
      </c>
      <c r="C38" s="24" t="s">
        <v>53</v>
      </c>
      <c r="D38" s="31"/>
      <c r="E38" s="111"/>
      <c r="F38" s="112"/>
      <c r="G38" s="126"/>
      <c r="H38" s="31"/>
      <c r="I38" s="31">
        <v>98</v>
      </c>
      <c r="J38" s="97"/>
      <c r="K38" s="97"/>
      <c r="L38" s="97"/>
      <c r="M38" s="97"/>
      <c r="N38" s="97"/>
      <c r="O38" s="98"/>
      <c r="P38" s="99"/>
      <c r="Q38" s="99"/>
      <c r="R38" s="100"/>
      <c r="S38" s="97"/>
      <c r="T38" s="1"/>
    </row>
    <row r="39" spans="1:20" x14ac:dyDescent="0.3">
      <c r="A39" s="22" t="s">
        <v>65</v>
      </c>
      <c r="B39" s="23" t="s">
        <v>63</v>
      </c>
      <c r="C39" s="24" t="s">
        <v>53</v>
      </c>
      <c r="D39" s="31">
        <v>94</v>
      </c>
      <c r="E39" s="111"/>
      <c r="F39" s="112"/>
      <c r="G39" s="126"/>
      <c r="H39" s="31"/>
      <c r="I39" s="31">
        <v>98</v>
      </c>
      <c r="J39" s="97"/>
    </row>
    <row r="40" spans="1:20" ht="15" thickBot="1" x14ac:dyDescent="0.35">
      <c r="A40" s="32" t="s">
        <v>66</v>
      </c>
      <c r="B40" s="33" t="s">
        <v>63</v>
      </c>
      <c r="C40" s="34" t="s">
        <v>53</v>
      </c>
      <c r="D40" s="127"/>
      <c r="E40" s="128"/>
      <c r="F40" s="129"/>
      <c r="G40" s="130"/>
      <c r="H40" s="127"/>
      <c r="I40" s="127"/>
      <c r="J40" s="97"/>
    </row>
    <row r="41" spans="1:20" x14ac:dyDescent="0.3">
      <c r="A41" s="42" t="s">
        <v>67</v>
      </c>
      <c r="B41" s="43" t="s">
        <v>63</v>
      </c>
      <c r="C41" s="44" t="s">
        <v>60</v>
      </c>
      <c r="D41" s="106">
        <v>94</v>
      </c>
      <c r="E41" s="131">
        <v>101</v>
      </c>
      <c r="F41" s="119"/>
      <c r="G41" s="120">
        <v>80</v>
      </c>
      <c r="H41" s="51"/>
      <c r="I41" s="106">
        <v>98</v>
      </c>
      <c r="J41" s="97"/>
    </row>
    <row r="42" spans="1:20" ht="15" thickBot="1" x14ac:dyDescent="0.35">
      <c r="A42" s="52" t="s">
        <v>68</v>
      </c>
      <c r="B42" s="53" t="s">
        <v>63</v>
      </c>
      <c r="C42" s="54" t="s">
        <v>60</v>
      </c>
      <c r="D42" s="61"/>
      <c r="E42" s="121"/>
      <c r="F42" s="122"/>
      <c r="G42" s="123"/>
      <c r="H42" s="61"/>
      <c r="I42" s="61"/>
      <c r="J42" s="97"/>
    </row>
    <row r="43" spans="1:20" x14ac:dyDescent="0.3">
      <c r="A43" s="22" t="s">
        <v>69</v>
      </c>
      <c r="B43" s="23" t="s">
        <v>70</v>
      </c>
      <c r="C43" s="24" t="s">
        <v>53</v>
      </c>
      <c r="D43" s="66"/>
      <c r="E43" s="107"/>
      <c r="F43" s="66"/>
      <c r="G43" s="107"/>
      <c r="H43" s="66"/>
      <c r="I43" s="66"/>
      <c r="J43" s="109"/>
    </row>
    <row r="44" spans="1:20" x14ac:dyDescent="0.3">
      <c r="A44" s="22" t="s">
        <v>71</v>
      </c>
      <c r="B44" s="23" t="s">
        <v>70</v>
      </c>
      <c r="C44" s="24" t="s">
        <v>53</v>
      </c>
      <c r="D44" s="31"/>
      <c r="E44" s="126"/>
      <c r="F44" s="31"/>
      <c r="G44" s="126"/>
      <c r="H44" s="31"/>
      <c r="I44" s="31"/>
      <c r="J44" s="109"/>
      <c r="K44" s="109"/>
      <c r="L44" s="109"/>
      <c r="M44" s="109"/>
    </row>
    <row r="45" spans="1:20" x14ac:dyDescent="0.3">
      <c r="A45" s="22" t="s">
        <v>72</v>
      </c>
      <c r="B45" s="23" t="s">
        <v>70</v>
      </c>
      <c r="C45" s="24" t="s">
        <v>53</v>
      </c>
      <c r="D45" s="132"/>
      <c r="E45" s="133"/>
      <c r="F45" s="132"/>
      <c r="G45" s="133"/>
      <c r="H45" s="132"/>
      <c r="I45" s="132"/>
      <c r="J45" s="109"/>
      <c r="K45" s="109"/>
      <c r="L45" s="109"/>
      <c r="M45" s="109"/>
    </row>
    <row r="46" spans="1:20" x14ac:dyDescent="0.3">
      <c r="A46" s="22" t="s">
        <v>73</v>
      </c>
      <c r="B46" s="23" t="s">
        <v>70</v>
      </c>
      <c r="C46" s="24" t="s">
        <v>53</v>
      </c>
      <c r="D46" s="132"/>
      <c r="E46" s="133"/>
      <c r="F46" s="132"/>
      <c r="G46" s="133"/>
      <c r="H46" s="132"/>
      <c r="I46" s="132"/>
      <c r="J46" s="109"/>
      <c r="K46" s="109"/>
      <c r="L46" s="109"/>
      <c r="M46" s="109"/>
    </row>
    <row r="47" spans="1:20" x14ac:dyDescent="0.3">
      <c r="A47" s="22" t="s">
        <v>74</v>
      </c>
      <c r="B47" s="23" t="s">
        <v>70</v>
      </c>
      <c r="C47" s="24" t="s">
        <v>53</v>
      </c>
      <c r="D47" s="110">
        <v>187</v>
      </c>
      <c r="E47" s="126"/>
      <c r="F47" s="31"/>
      <c r="G47" s="126"/>
      <c r="H47" s="31"/>
      <c r="I47" s="31"/>
      <c r="J47" s="109"/>
      <c r="K47" s="109"/>
      <c r="L47" s="109"/>
      <c r="M47" s="109"/>
    </row>
    <row r="48" spans="1:20" ht="15" thickBot="1" x14ac:dyDescent="0.35">
      <c r="A48" s="32" t="s">
        <v>75</v>
      </c>
      <c r="B48" s="33" t="s">
        <v>70</v>
      </c>
      <c r="C48" s="34" t="s">
        <v>53</v>
      </c>
      <c r="D48" s="86">
        <v>187</v>
      </c>
      <c r="E48" s="134"/>
      <c r="F48" s="86"/>
      <c r="G48" s="134"/>
      <c r="H48" s="86"/>
      <c r="I48" s="86"/>
      <c r="J48" s="109"/>
      <c r="K48" s="109"/>
      <c r="L48" s="109"/>
      <c r="M48" s="109"/>
    </row>
    <row r="49" spans="1:13" ht="15" thickBot="1" x14ac:dyDescent="0.35">
      <c r="A49" s="87" t="s">
        <v>76</v>
      </c>
      <c r="B49" s="88" t="s">
        <v>70</v>
      </c>
      <c r="C49" s="89" t="s">
        <v>60</v>
      </c>
      <c r="D49" s="135">
        <v>187</v>
      </c>
      <c r="E49" s="136">
        <v>154</v>
      </c>
      <c r="F49" s="137"/>
      <c r="G49" s="136">
        <v>175</v>
      </c>
      <c r="H49" s="137"/>
      <c r="I49" s="137"/>
      <c r="J49" s="109"/>
      <c r="K49" s="109"/>
      <c r="L49" s="109"/>
      <c r="M49" s="109"/>
    </row>
  </sheetData>
  <mergeCells count="24">
    <mergeCell ref="C3:T3"/>
    <mergeCell ref="B4:D4"/>
    <mergeCell ref="A6:A8"/>
    <mergeCell ref="B6:B8"/>
    <mergeCell ref="C6:C8"/>
    <mergeCell ref="D6:G6"/>
    <mergeCell ref="H6:H8"/>
    <mergeCell ref="I6:I8"/>
    <mergeCell ref="J6:J8"/>
    <mergeCell ref="K6:L7"/>
    <mergeCell ref="T6:T8"/>
    <mergeCell ref="U6:U8"/>
    <mergeCell ref="E7:F7"/>
    <mergeCell ref="A29:A31"/>
    <mergeCell ref="B29:B31"/>
    <mergeCell ref="C29:C31"/>
    <mergeCell ref="D29:M29"/>
    <mergeCell ref="D31:M31"/>
    <mergeCell ref="M6:N7"/>
    <mergeCell ref="O6:O8"/>
    <mergeCell ref="P6:P8"/>
    <mergeCell ref="Q6:Q8"/>
    <mergeCell ref="R6:R8"/>
    <mergeCell ref="S6:S8"/>
  </mergeCells>
  <pageMargins left="0.7" right="0.7" top="0.75" bottom="0.75" header="0.3" footer="0.3"/>
  <pageSetup scale="6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Streetlight Conversion Summary</vt:lpstr>
      <vt:lpstr>Payback Chatham-Kent (HydroOne)</vt:lpstr>
      <vt:lpstr>Configurations</vt:lpstr>
    </vt:vector>
  </TitlesOfParts>
  <Company>Municipality of Chatham-Kent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cheryl.stewart</dc:creator>
  <cp:lastModifiedBy>Paul Machado</cp:lastModifiedBy>
  <cp:lastPrinted>2014-11-24T13:34:43Z</cp:lastPrinted>
  <dcterms:created xsi:type="dcterms:W3CDTF">2014-08-07T19:17:03Z</dcterms:created>
  <dcterms:modified xsi:type="dcterms:W3CDTF">2018-11-15T19:27:40Z</dcterms:modified>
</cp:coreProperties>
</file>