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updateLinks="never"/>
  <mc:AlternateContent xmlns:mc="http://schemas.openxmlformats.org/markup-compatibility/2006">
    <mc:Choice Requires="x15">
      <x15ac:absPath xmlns:x15ac="http://schemas.microsoft.com/office/spreadsheetml/2010/11/ac" url="Y:\OEB\Rate Applications\2019 Cost of Service\Interrogatories\Master\Master Appendices\"/>
    </mc:Choice>
  </mc:AlternateContent>
  <xr:revisionPtr revIDLastSave="0" documentId="8_{E873AAF5-5354-4B37-A486-5DAE9CFC7FD4}" xr6:coauthVersionLast="38" xr6:coauthVersionMax="38" xr10:uidLastSave="{00000000-0000-0000-0000-000000000000}"/>
  <bookViews>
    <workbookView xWindow="0" yWindow="0" windowWidth="25200" windowHeight="1182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'Benchmarking Calculations'!$A$1:$M$261</definedName>
    <definedName name="_xlnm.Print_Area" localSheetId="0">'Model Inputs'!$A$1:$N$123</definedName>
    <definedName name="_xlnm.Print_Area" localSheetId="2">Results!$A$1:$K$24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H17" i="4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M31" i="4" s="1"/>
  <c r="M89" i="1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G16" i="4"/>
  <c r="H16" i="4" s="1"/>
  <c r="I16" i="4" s="1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<sst xmlns="http://schemas.openxmlformats.org/spreadsheetml/2006/main" count="514" uniqueCount="272">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</sst>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0" fontId="18" fillId="2" borderId="6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24"/>
  <sheetViews>
    <sheetView zoomScale="90" zoomScaleNormal="9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3.25" x14ac:dyDescent="0.35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Niagara-on-the-Lake Hydro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5"/>
    </row>
    <row r="5" spans="2:15" ht="25.5" customHeight="1" thickBot="1" x14ac:dyDescent="0.25">
      <c r="B5" s="130" t="s">
        <v>188</v>
      </c>
      <c r="E5" s="76"/>
      <c r="F5" s="131" t="s">
        <v>240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6"/>
      <c r="O5" s="92"/>
    </row>
    <row r="6" spans="2:15" ht="36" customHeight="1" x14ac:dyDescent="0.35">
      <c r="B6" s="6" t="s">
        <v>180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6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">
      <c r="C8" s="74" t="s">
        <v>85</v>
      </c>
      <c r="D8" s="74"/>
      <c r="E8" s="14"/>
      <c r="F8" s="26"/>
      <c r="H8" s="227"/>
      <c r="I8" s="227"/>
      <c r="J8" s="227"/>
      <c r="K8" s="227"/>
      <c r="L8" s="227"/>
      <c r="M8" s="227"/>
      <c r="N8" s="76"/>
    </row>
    <row r="9" spans="2:15" x14ac:dyDescent="0.2">
      <c r="B9" s="2">
        <v>1</v>
      </c>
      <c r="C9" s="75"/>
      <c r="D9" s="76" t="s">
        <v>86</v>
      </c>
      <c r="F9" s="26"/>
      <c r="G9" s="84">
        <f>'Benchmarking Calculations'!G92</f>
        <v>1622011.43</v>
      </c>
      <c r="H9" s="121">
        <v>4701280.4636666672</v>
      </c>
      <c r="I9" s="121">
        <v>5848590</v>
      </c>
      <c r="J9" s="121"/>
      <c r="K9" s="121"/>
      <c r="L9" s="121"/>
      <c r="M9" s="121"/>
      <c r="N9" s="76" t="s">
        <v>172</v>
      </c>
      <c r="O9" s="86"/>
    </row>
    <row r="10" spans="2:15" x14ac:dyDescent="0.2">
      <c r="B10" s="2">
        <v>2</v>
      </c>
      <c r="C10" s="75"/>
      <c r="D10" s="76" t="s">
        <v>87</v>
      </c>
      <c r="F10" s="26"/>
      <c r="G10" s="84">
        <f>'Benchmarking Calculations'!G93</f>
        <v>62902.18</v>
      </c>
      <c r="H10" s="121">
        <v>165000</v>
      </c>
      <c r="I10" s="121">
        <v>3310000</v>
      </c>
      <c r="J10" s="121"/>
      <c r="K10" s="121"/>
      <c r="L10" s="121"/>
      <c r="M10" s="121"/>
      <c r="N10" s="76" t="s">
        <v>172</v>
      </c>
      <c r="O10" s="86"/>
    </row>
    <row r="11" spans="2:15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76"/>
      <c r="O12" s="86"/>
    </row>
    <row r="13" spans="2:15" x14ac:dyDescent="0.2">
      <c r="B13" s="2">
        <v>3</v>
      </c>
      <c r="C13" s="75"/>
      <c r="D13" s="37" t="s">
        <v>89</v>
      </c>
      <c r="F13" s="26"/>
      <c r="G13" s="84">
        <f>'Benchmarking Calculations'!G96</f>
        <v>9377</v>
      </c>
      <c r="H13" s="121">
        <v>9472.5492188784738</v>
      </c>
      <c r="I13" s="121">
        <v>9653.0416666666661</v>
      </c>
      <c r="J13" s="121"/>
      <c r="K13" s="121"/>
      <c r="L13" s="121"/>
      <c r="M13" s="121"/>
      <c r="N13" s="76" t="s">
        <v>172</v>
      </c>
      <c r="O13" s="86"/>
    </row>
    <row r="14" spans="2:15" x14ac:dyDescent="0.2">
      <c r="B14" s="2">
        <v>4</v>
      </c>
      <c r="C14" s="75"/>
      <c r="D14" s="37" t="s">
        <v>90</v>
      </c>
      <c r="F14" s="26"/>
      <c r="G14" s="84">
        <f>'Benchmarking Calculations'!G97</f>
        <v>195849659.70000002</v>
      </c>
      <c r="H14" s="121">
        <v>203154503.62971276</v>
      </c>
      <c r="I14" s="121">
        <v>223029214.45153823</v>
      </c>
      <c r="J14" s="121"/>
      <c r="K14" s="121"/>
      <c r="L14" s="121"/>
      <c r="M14" s="121"/>
      <c r="N14" s="76" t="s">
        <v>172</v>
      </c>
      <c r="O14" s="86"/>
    </row>
    <row r="15" spans="2:15" x14ac:dyDescent="0.2">
      <c r="B15" s="2">
        <v>5</v>
      </c>
      <c r="C15" s="26"/>
      <c r="D15" s="37" t="s">
        <v>91</v>
      </c>
      <c r="F15" s="26"/>
      <c r="G15" s="84">
        <f>'Benchmarking Calculations'!G98</f>
        <v>39670</v>
      </c>
      <c r="H15" s="121">
        <v>49690</v>
      </c>
      <c r="I15" s="121">
        <v>51000</v>
      </c>
      <c r="J15" s="121"/>
      <c r="K15" s="121"/>
      <c r="L15" s="121"/>
      <c r="M15" s="121"/>
      <c r="N15" s="76" t="s">
        <v>172</v>
      </c>
      <c r="O15" s="86"/>
    </row>
    <row r="16" spans="2:15" x14ac:dyDescent="0.2">
      <c r="B16" s="2">
        <v>6</v>
      </c>
      <c r="C16" s="26"/>
      <c r="D16" s="76" t="s">
        <v>191</v>
      </c>
      <c r="F16" s="26"/>
      <c r="G16" s="84">
        <f>'Benchmarking Calculations'!G99</f>
        <v>333</v>
      </c>
      <c r="H16" s="121">
        <f t="shared" ref="H16:I16" si="0">+G16</f>
        <v>333</v>
      </c>
      <c r="I16" s="121">
        <f t="shared" si="0"/>
        <v>333</v>
      </c>
      <c r="J16" s="121"/>
      <c r="K16" s="121"/>
      <c r="L16" s="121"/>
      <c r="M16" s="121"/>
      <c r="N16" s="76" t="s">
        <v>172</v>
      </c>
      <c r="O16" s="86"/>
    </row>
    <row r="17" spans="2:15" x14ac:dyDescent="0.2">
      <c r="B17" s="2">
        <v>7</v>
      </c>
      <c r="C17" s="38"/>
      <c r="D17" s="75" t="s">
        <v>121</v>
      </c>
      <c r="F17" s="76"/>
      <c r="G17" s="88">
        <f>'Benchmarking Calculations'!G145</f>
        <v>0.20557984057598355</v>
      </c>
      <c r="H17" s="222">
        <f>+(H13-7798)/7798</f>
        <v>0.214740859050843</v>
      </c>
      <c r="I17" s="222">
        <f>+(I13-7880)/7880</f>
        <v>0.22500528764805408</v>
      </c>
      <c r="J17" s="121"/>
      <c r="K17" s="121"/>
      <c r="L17" s="121"/>
      <c r="M17" s="121"/>
      <c r="N17" s="76" t="s">
        <v>172</v>
      </c>
      <c r="O17" s="86"/>
    </row>
    <row r="18" spans="2:15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">
      <c r="C19" s="74" t="s">
        <v>165</v>
      </c>
      <c r="E19" s="75"/>
      <c r="F19" s="76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f t="shared" ref="H20:I22" si="1">+G20</f>
        <v>3.0286284565058271E-2</v>
      </c>
      <c r="I20" s="120">
        <f t="shared" si="1"/>
        <v>3.0286284565058271E-2</v>
      </c>
      <c r="J20" s="120"/>
      <c r="K20" s="120"/>
      <c r="L20" s="120"/>
      <c r="M20" s="120"/>
      <c r="N20" s="76" t="s">
        <v>271</v>
      </c>
    </row>
    <row r="21" spans="2:15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f t="shared" si="1"/>
        <v>2.6308864190052853E-2</v>
      </c>
      <c r="I21" s="120">
        <f t="shared" si="1"/>
        <v>2.6308864190052853E-2</v>
      </c>
      <c r="J21" s="120"/>
      <c r="K21" s="120"/>
      <c r="L21" s="120"/>
      <c r="M21" s="120"/>
      <c r="N21" s="76" t="s">
        <v>271</v>
      </c>
    </row>
    <row r="22" spans="2:15" x14ac:dyDescent="0.2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120">
        <f t="shared" si="1"/>
        <v>5.6656000000000005E-2</v>
      </c>
      <c r="I22" s="120">
        <f t="shared" si="1"/>
        <v>5.6656000000000005E-2</v>
      </c>
      <c r="J22" s="120"/>
      <c r="K22" s="120"/>
      <c r="L22" s="120"/>
      <c r="M22" s="120"/>
      <c r="N22" s="76" t="s">
        <v>172</v>
      </c>
    </row>
    <row r="23" spans="2:15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">
      <c r="B25" s="2"/>
      <c r="C25" s="77" t="s">
        <v>192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5" thickBot="1" x14ac:dyDescent="0.25">
      <c r="E27" s="129" t="s">
        <v>170</v>
      </c>
      <c r="F27" s="74" t="s">
        <v>197</v>
      </c>
      <c r="G27" s="51">
        <f>G35-G36+G37</f>
        <v>-38961.839999999997</v>
      </c>
      <c r="H27" s="51">
        <f t="shared" ref="H27:M27" si="2">H35-H36+H37</f>
        <v>0</v>
      </c>
      <c r="I27" s="51">
        <f t="shared" si="2"/>
        <v>0</v>
      </c>
      <c r="J27" s="51">
        <f t="shared" si="2"/>
        <v>0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5" thickBot="1" x14ac:dyDescent="0.25">
      <c r="E29" s="129" t="s">
        <v>169</v>
      </c>
      <c r="F29" s="74" t="s">
        <v>201</v>
      </c>
      <c r="G29" s="51">
        <f t="shared" ref="G29:M29" si="3">G115-G121+G122</f>
        <v>2530464.23</v>
      </c>
      <c r="H29" s="51">
        <f t="shared" si="3"/>
        <v>2817838.1135195917</v>
      </c>
      <c r="I29" s="51">
        <f t="shared" si="3"/>
        <v>2912264.6500616958</v>
      </c>
      <c r="J29" s="51">
        <f t="shared" si="3"/>
        <v>0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">
      <c r="B31" s="2">
        <v>11</v>
      </c>
      <c r="D31" s="75"/>
      <c r="E31" s="70" t="s">
        <v>171</v>
      </c>
      <c r="F31" s="76"/>
      <c r="G31" s="51">
        <f t="shared" ref="G31:M31" si="4">IF($E$27="Y",G27,IF($E$29="Y",G29,"Error: Please enter Y for one method"))</f>
        <v>2530464.23</v>
      </c>
      <c r="H31" s="51">
        <f t="shared" si="4"/>
        <v>2817838.1135195917</v>
      </c>
      <c r="I31" s="51">
        <f t="shared" si="4"/>
        <v>2912264.6500616958</v>
      </c>
      <c r="J31" s="51">
        <f t="shared" si="4"/>
        <v>0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8"/>
    </row>
    <row r="34" spans="2:14" x14ac:dyDescent="0.2">
      <c r="C34" s="139"/>
      <c r="D34" s="77" t="s">
        <v>179</v>
      </c>
      <c r="E34" s="26"/>
      <c r="F34" s="26"/>
      <c r="G34" s="84"/>
      <c r="H34" s="223" t="s">
        <v>183</v>
      </c>
      <c r="I34" s="223"/>
      <c r="J34" s="223"/>
      <c r="K34" s="223"/>
      <c r="L34" s="223"/>
      <c r="M34" s="223"/>
      <c r="N34" s="140"/>
    </row>
    <row r="35" spans="2:14" x14ac:dyDescent="0.2">
      <c r="C35" s="139"/>
      <c r="D35" s="155" t="s">
        <v>194</v>
      </c>
      <c r="E35" s="26" t="s">
        <v>202</v>
      </c>
      <c r="F35" s="26"/>
      <c r="G35" s="83"/>
      <c r="H35" s="121"/>
      <c r="I35" s="121"/>
      <c r="J35" s="121"/>
      <c r="K35" s="121"/>
      <c r="L35" s="121"/>
      <c r="M35" s="121"/>
      <c r="N35" s="140" t="s">
        <v>172</v>
      </c>
    </row>
    <row r="36" spans="2:14" x14ac:dyDescent="0.2">
      <c r="C36" s="139"/>
      <c r="D36" s="155" t="s">
        <v>195</v>
      </c>
      <c r="E36" s="26" t="s">
        <v>193</v>
      </c>
      <c r="F36" s="26"/>
      <c r="G36" s="51">
        <f>G121</f>
        <v>38961.839999999997</v>
      </c>
      <c r="H36" s="121"/>
      <c r="I36" s="121"/>
      <c r="J36" s="116"/>
      <c r="K36" s="116"/>
      <c r="L36" s="116"/>
      <c r="M36" s="116"/>
      <c r="N36" s="140" t="s">
        <v>172</v>
      </c>
    </row>
    <row r="37" spans="2:14" x14ac:dyDescent="0.2">
      <c r="C37" s="139"/>
      <c r="D37" s="156" t="s">
        <v>196</v>
      </c>
      <c r="E37" s="26" t="s">
        <v>83</v>
      </c>
      <c r="F37" s="26"/>
      <c r="G37" s="51">
        <f>G122</f>
        <v>0</v>
      </c>
      <c r="H37" s="121"/>
      <c r="I37" s="121"/>
      <c r="J37" s="116"/>
      <c r="K37" s="116"/>
      <c r="L37" s="116"/>
      <c r="M37" s="116"/>
      <c r="N37" s="140" t="s">
        <v>172</v>
      </c>
    </row>
    <row r="38" spans="2:14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43"/>
    </row>
    <row r="39" spans="2:14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8"/>
    </row>
    <row r="41" spans="2:14" x14ac:dyDescent="0.2">
      <c r="C41" s="139"/>
      <c r="D41" s="77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40"/>
    </row>
    <row r="42" spans="2:14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40"/>
    </row>
    <row r="43" spans="2:14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40"/>
    </row>
    <row r="44" spans="2:14" x14ac:dyDescent="0.2">
      <c r="C44" s="144"/>
      <c r="D44" s="26"/>
      <c r="E44" s="76">
        <v>5005</v>
      </c>
      <c r="F44" s="136" t="s">
        <v>8</v>
      </c>
      <c r="G44" s="58">
        <f>'Benchmarking Calculations'!G10</f>
        <v>101427.31</v>
      </c>
      <c r="H44" s="127">
        <v>41000.643137236068</v>
      </c>
      <c r="I44" s="127">
        <v>43939.33507550435</v>
      </c>
      <c r="J44" s="128"/>
      <c r="K44" s="128"/>
      <c r="L44" s="128"/>
      <c r="M44" s="128"/>
      <c r="N44" s="140" t="s">
        <v>172</v>
      </c>
    </row>
    <row r="45" spans="2:14" x14ac:dyDescent="0.2">
      <c r="C45" s="144"/>
      <c r="D45" s="26"/>
      <c r="E45" s="76">
        <v>5010</v>
      </c>
      <c r="F45" s="136" t="s">
        <v>9</v>
      </c>
      <c r="G45" s="58">
        <f>'Benchmarking Calculations'!G11</f>
        <v>41093.230000000003</v>
      </c>
      <c r="H45" s="127">
        <v>50829.06047669219</v>
      </c>
      <c r="I45" s="127">
        <v>51313.470603710084</v>
      </c>
      <c r="J45" s="128"/>
      <c r="K45" s="128"/>
      <c r="L45" s="128"/>
      <c r="M45" s="128"/>
      <c r="N45" s="140" t="s">
        <v>172</v>
      </c>
    </row>
    <row r="46" spans="2:14" x14ac:dyDescent="0.2">
      <c r="C46" s="144"/>
      <c r="D46" s="26"/>
      <c r="E46" s="76">
        <v>5012</v>
      </c>
      <c r="F46" s="136" t="s">
        <v>10</v>
      </c>
      <c r="G46" s="58">
        <f>'Benchmarking Calculations'!G12</f>
        <v>0</v>
      </c>
      <c r="H46" s="127">
        <v>0</v>
      </c>
      <c r="I46" s="127">
        <v>0</v>
      </c>
      <c r="J46" s="128"/>
      <c r="K46" s="128"/>
      <c r="L46" s="128"/>
      <c r="M46" s="128"/>
      <c r="N46" s="140" t="s">
        <v>172</v>
      </c>
    </row>
    <row r="47" spans="2:14" x14ac:dyDescent="0.2">
      <c r="C47" s="144"/>
      <c r="D47" s="26"/>
      <c r="E47" s="76">
        <v>5014</v>
      </c>
      <c r="F47" s="136" t="s">
        <v>11</v>
      </c>
      <c r="G47" s="58">
        <f>'Benchmarking Calculations'!G13</f>
        <v>12412.63</v>
      </c>
      <c r="H47" s="127">
        <v>3454.7864562683399</v>
      </c>
      <c r="I47" s="127">
        <v>4037.7658282620196</v>
      </c>
      <c r="J47" s="128"/>
      <c r="K47" s="128"/>
      <c r="L47" s="128"/>
      <c r="M47" s="128"/>
      <c r="N47" s="140" t="s">
        <v>172</v>
      </c>
    </row>
    <row r="48" spans="2:14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0</v>
      </c>
      <c r="H48" s="127">
        <v>0</v>
      </c>
      <c r="I48" s="127">
        <v>0</v>
      </c>
      <c r="J48" s="128"/>
      <c r="K48" s="128"/>
      <c r="L48" s="128"/>
      <c r="M48" s="128"/>
      <c r="N48" s="140" t="s">
        <v>172</v>
      </c>
    </row>
    <row r="49" spans="3:14" x14ac:dyDescent="0.2">
      <c r="C49" s="144"/>
      <c r="D49" s="26"/>
      <c r="E49" s="76">
        <v>5016</v>
      </c>
      <c r="F49" s="136" t="s">
        <v>13</v>
      </c>
      <c r="G49" s="58">
        <f>'Benchmarking Calculations'!G15</f>
        <v>0</v>
      </c>
      <c r="H49" s="127">
        <v>0</v>
      </c>
      <c r="I49" s="127">
        <v>0</v>
      </c>
      <c r="J49" s="128"/>
      <c r="K49" s="128"/>
      <c r="L49" s="128"/>
      <c r="M49" s="128"/>
      <c r="N49" s="140" t="s">
        <v>172</v>
      </c>
    </row>
    <row r="50" spans="3:14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0</v>
      </c>
      <c r="H50" s="127">
        <v>0</v>
      </c>
      <c r="I50" s="127">
        <v>0</v>
      </c>
      <c r="J50" s="128"/>
      <c r="K50" s="128"/>
      <c r="L50" s="128"/>
      <c r="M50" s="128"/>
      <c r="N50" s="140" t="s">
        <v>172</v>
      </c>
    </row>
    <row r="51" spans="3:14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107003.72</v>
      </c>
      <c r="H51" s="127">
        <v>142165.99530691595</v>
      </c>
      <c r="I51" s="127">
        <v>138804.51962132045</v>
      </c>
      <c r="J51" s="128"/>
      <c r="K51" s="128"/>
      <c r="L51" s="128"/>
      <c r="M51" s="128"/>
      <c r="N51" s="140" t="s">
        <v>172</v>
      </c>
    </row>
    <row r="52" spans="3:14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78590.100000000006</v>
      </c>
      <c r="H52" s="127">
        <v>96015.4</v>
      </c>
      <c r="I52" s="127">
        <v>97357.200000000012</v>
      </c>
      <c r="J52" s="128"/>
      <c r="K52" s="128"/>
      <c r="L52" s="128"/>
      <c r="M52" s="128"/>
      <c r="N52" s="140" t="s">
        <v>172</v>
      </c>
    </row>
    <row r="53" spans="3:14" x14ac:dyDescent="0.2">
      <c r="C53" s="144"/>
      <c r="D53" s="26"/>
      <c r="E53" s="76">
        <v>5035</v>
      </c>
      <c r="F53" s="136" t="s">
        <v>17</v>
      </c>
      <c r="G53" s="58">
        <f>'Benchmarking Calculations'!G19</f>
        <v>0</v>
      </c>
      <c r="H53" s="127">
        <v>0</v>
      </c>
      <c r="I53" s="127">
        <v>0</v>
      </c>
      <c r="J53" s="128"/>
      <c r="K53" s="128"/>
      <c r="L53" s="128"/>
      <c r="M53" s="128"/>
      <c r="N53" s="140" t="s">
        <v>172</v>
      </c>
    </row>
    <row r="54" spans="3:14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2294.29</v>
      </c>
      <c r="H54" s="127">
        <v>0</v>
      </c>
      <c r="I54" s="127">
        <v>0</v>
      </c>
      <c r="J54" s="128"/>
      <c r="K54" s="128"/>
      <c r="L54" s="128"/>
      <c r="M54" s="128"/>
      <c r="N54" s="140" t="s">
        <v>172</v>
      </c>
    </row>
    <row r="55" spans="3:14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9911.6200000000008</v>
      </c>
      <c r="H55" s="127">
        <v>10368.19</v>
      </c>
      <c r="I55" s="127">
        <v>10492.32</v>
      </c>
      <c r="J55" s="128"/>
      <c r="K55" s="128"/>
      <c r="L55" s="128"/>
      <c r="M55" s="128"/>
      <c r="N55" s="140" t="s">
        <v>172</v>
      </c>
    </row>
    <row r="56" spans="3:14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>
        <v>0</v>
      </c>
      <c r="I56" s="127">
        <v>0</v>
      </c>
      <c r="J56" s="128"/>
      <c r="K56" s="128"/>
      <c r="L56" s="128"/>
      <c r="M56" s="128"/>
      <c r="N56" s="140" t="s">
        <v>172</v>
      </c>
    </row>
    <row r="57" spans="3:14" x14ac:dyDescent="0.2">
      <c r="C57" s="144"/>
      <c r="D57" s="26"/>
      <c r="E57" s="76">
        <v>5065</v>
      </c>
      <c r="F57" s="136" t="s">
        <v>21</v>
      </c>
      <c r="G57" s="58">
        <f>'Benchmarking Calculations'!G23</f>
        <v>25495.21</v>
      </c>
      <c r="H57" s="127">
        <v>42151.570298364459</v>
      </c>
      <c r="I57" s="127">
        <v>43086.644789641672</v>
      </c>
      <c r="J57" s="128"/>
      <c r="K57" s="128"/>
      <c r="L57" s="128"/>
      <c r="M57" s="128"/>
      <c r="N57" s="140" t="s">
        <v>172</v>
      </c>
    </row>
    <row r="58" spans="3:14" x14ac:dyDescent="0.2">
      <c r="C58" s="144"/>
      <c r="D58" s="26"/>
      <c r="E58" s="76">
        <v>5070</v>
      </c>
      <c r="F58" s="136" t="s">
        <v>22</v>
      </c>
      <c r="G58" s="58">
        <f>'Benchmarking Calculations'!G24</f>
        <v>32998.39</v>
      </c>
      <c r="H58" s="127">
        <v>21850.727947082567</v>
      </c>
      <c r="I58" s="127">
        <v>24452.003334408902</v>
      </c>
      <c r="J58" s="128"/>
      <c r="K58" s="128"/>
      <c r="L58" s="128"/>
      <c r="M58" s="128"/>
      <c r="N58" s="140" t="s">
        <v>172</v>
      </c>
    </row>
    <row r="59" spans="3:14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100373.28</v>
      </c>
      <c r="H59" s="127">
        <v>105163.73</v>
      </c>
      <c r="I59" s="127">
        <v>106746.36</v>
      </c>
      <c r="J59" s="128"/>
      <c r="K59" s="128"/>
      <c r="L59" s="128"/>
      <c r="M59" s="128"/>
      <c r="N59" s="140" t="s">
        <v>172</v>
      </c>
    </row>
    <row r="60" spans="3:14" x14ac:dyDescent="0.2">
      <c r="C60" s="144"/>
      <c r="D60" s="26"/>
      <c r="E60" s="76">
        <v>5085</v>
      </c>
      <c r="F60" s="136" t="s">
        <v>24</v>
      </c>
      <c r="G60" s="58">
        <f>'Benchmarking Calculations'!G26</f>
        <v>145614.44</v>
      </c>
      <c r="H60" s="127">
        <v>148071.66204221934</v>
      </c>
      <c r="I60" s="127">
        <v>164598.35776422138</v>
      </c>
      <c r="J60" s="128"/>
      <c r="K60" s="128"/>
      <c r="L60" s="128"/>
      <c r="M60" s="128"/>
      <c r="N60" s="140" t="s">
        <v>172</v>
      </c>
    </row>
    <row r="61" spans="3:14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0</v>
      </c>
      <c r="H61" s="127">
        <v>0</v>
      </c>
      <c r="I61" s="127">
        <v>0</v>
      </c>
      <c r="J61" s="128"/>
      <c r="K61" s="128"/>
      <c r="L61" s="128"/>
      <c r="M61" s="128"/>
      <c r="N61" s="140" t="s">
        <v>172</v>
      </c>
    </row>
    <row r="62" spans="3:14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16653.12</v>
      </c>
      <c r="H62" s="127">
        <v>18341.64</v>
      </c>
      <c r="I62" s="127">
        <v>31145.16</v>
      </c>
      <c r="J62" s="128"/>
      <c r="K62" s="128"/>
      <c r="L62" s="128"/>
      <c r="M62" s="128"/>
      <c r="N62" s="140" t="s">
        <v>172</v>
      </c>
    </row>
    <row r="63" spans="3:14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0</v>
      </c>
      <c r="H63" s="127">
        <v>0</v>
      </c>
      <c r="I63" s="127">
        <v>0</v>
      </c>
      <c r="J63" s="128"/>
      <c r="K63" s="128"/>
      <c r="L63" s="128"/>
      <c r="M63" s="128"/>
      <c r="N63" s="140" t="s">
        <v>172</v>
      </c>
    </row>
    <row r="64" spans="3:14" x14ac:dyDescent="0.2">
      <c r="C64" s="144"/>
      <c r="D64" s="26"/>
      <c r="E64" s="16"/>
      <c r="F64" s="78" t="s">
        <v>28</v>
      </c>
      <c r="G64" s="107">
        <f>'Benchmarking Calculations'!G30</f>
        <v>673867.34</v>
      </c>
      <c r="H64" s="79">
        <f>SUM(H44:H63)</f>
        <v>679413.4056647789</v>
      </c>
      <c r="I64" s="79">
        <f t="shared" ref="I64:M64" si="5">SUM(I44:I63)</f>
        <v>715973.13701706892</v>
      </c>
      <c r="J64" s="79">
        <f t="shared" si="5"/>
        <v>0</v>
      </c>
      <c r="K64" s="79">
        <f t="shared" si="5"/>
        <v>0</v>
      </c>
      <c r="L64" s="79">
        <f t="shared" si="5"/>
        <v>0</v>
      </c>
      <c r="M64" s="79">
        <f t="shared" si="5"/>
        <v>0</v>
      </c>
      <c r="N64" s="145" t="s">
        <v>29</v>
      </c>
    </row>
    <row r="65" spans="3:14" x14ac:dyDescent="0.2">
      <c r="C65" s="144"/>
      <c r="D65" s="26"/>
      <c r="E65" s="76">
        <v>5105</v>
      </c>
      <c r="F65" s="136" t="s">
        <v>30</v>
      </c>
      <c r="G65" s="58">
        <f>'Benchmarking Calculations'!G31</f>
        <v>33982.65</v>
      </c>
      <c r="H65" s="127">
        <v>26286.280142099484</v>
      </c>
      <c r="I65" s="127">
        <v>29411.053299246105</v>
      </c>
      <c r="J65" s="128"/>
      <c r="K65" s="128"/>
      <c r="L65" s="128"/>
      <c r="M65" s="128"/>
      <c r="N65" s="140" t="s">
        <v>172</v>
      </c>
    </row>
    <row r="66" spans="3:14" x14ac:dyDescent="0.2">
      <c r="C66" s="144"/>
      <c r="D66" s="26"/>
      <c r="E66" s="76">
        <v>5110</v>
      </c>
      <c r="F66" s="136" t="s">
        <v>31</v>
      </c>
      <c r="G66" s="58">
        <f>'Benchmarking Calculations'!G32</f>
        <v>0</v>
      </c>
      <c r="H66" s="127">
        <v>0</v>
      </c>
      <c r="I66" s="127">
        <v>0</v>
      </c>
      <c r="J66" s="128"/>
      <c r="K66" s="128"/>
      <c r="L66" s="128"/>
      <c r="M66" s="128"/>
      <c r="N66" s="140" t="s">
        <v>172</v>
      </c>
    </row>
    <row r="67" spans="3:14" x14ac:dyDescent="0.2">
      <c r="C67" s="144"/>
      <c r="D67" s="26"/>
      <c r="E67" s="76">
        <v>5112</v>
      </c>
      <c r="F67" s="136" t="s">
        <v>32</v>
      </c>
      <c r="G67" s="58">
        <f>'Benchmarking Calculations'!G33</f>
        <v>26549.21</v>
      </c>
      <c r="H67" s="127">
        <v>58877.689482894682</v>
      </c>
      <c r="I67" s="127">
        <v>29603.797612963837</v>
      </c>
      <c r="J67" s="128"/>
      <c r="K67" s="128"/>
      <c r="L67" s="128"/>
      <c r="M67" s="128"/>
      <c r="N67" s="140" t="s">
        <v>172</v>
      </c>
    </row>
    <row r="68" spans="3:14" x14ac:dyDescent="0.2">
      <c r="C68" s="144"/>
      <c r="D68" s="26"/>
      <c r="E68" s="76">
        <v>5114</v>
      </c>
      <c r="F68" s="136" t="s">
        <v>33</v>
      </c>
      <c r="G68" s="58">
        <f>'Benchmarking Calculations'!G34</f>
        <v>0</v>
      </c>
      <c r="H68" s="127">
        <v>0</v>
      </c>
      <c r="I68" s="127">
        <v>0</v>
      </c>
      <c r="J68" s="128"/>
      <c r="K68" s="128"/>
      <c r="L68" s="128"/>
      <c r="M68" s="128"/>
      <c r="N68" s="140" t="s">
        <v>172</v>
      </c>
    </row>
    <row r="69" spans="3:14" x14ac:dyDescent="0.2">
      <c r="C69" s="144"/>
      <c r="D69" s="26"/>
      <c r="E69" s="76">
        <v>5120</v>
      </c>
      <c r="F69" s="136" t="s">
        <v>34</v>
      </c>
      <c r="G69" s="58">
        <f>'Benchmarking Calculations'!G35</f>
        <v>79908.81</v>
      </c>
      <c r="H69" s="127">
        <v>58592.026785944399</v>
      </c>
      <c r="I69" s="127">
        <v>62595.832995623998</v>
      </c>
      <c r="J69" s="128"/>
      <c r="K69" s="128"/>
      <c r="L69" s="128"/>
      <c r="M69" s="128"/>
      <c r="N69" s="140" t="s">
        <v>172</v>
      </c>
    </row>
    <row r="70" spans="3:14" x14ac:dyDescent="0.2">
      <c r="C70" s="144"/>
      <c r="D70" s="26"/>
      <c r="E70" s="76">
        <v>5125</v>
      </c>
      <c r="F70" s="136" t="s">
        <v>35</v>
      </c>
      <c r="G70" s="58">
        <f>'Benchmarking Calculations'!G36</f>
        <v>37312.28</v>
      </c>
      <c r="H70" s="127">
        <v>60314.79147331632</v>
      </c>
      <c r="I70" s="127">
        <v>60033.263322909923</v>
      </c>
      <c r="J70" s="128"/>
      <c r="K70" s="128"/>
      <c r="L70" s="128"/>
      <c r="M70" s="128"/>
      <c r="N70" s="140" t="s">
        <v>172</v>
      </c>
    </row>
    <row r="71" spans="3:14" x14ac:dyDescent="0.2">
      <c r="C71" s="144"/>
      <c r="D71" s="26"/>
      <c r="E71" s="76">
        <v>5130</v>
      </c>
      <c r="F71" s="136" t="s">
        <v>36</v>
      </c>
      <c r="G71" s="58">
        <f>'Benchmarking Calculations'!G37</f>
        <v>36250.26</v>
      </c>
      <c r="H71" s="127">
        <v>38817.965290339518</v>
      </c>
      <c r="I71" s="127">
        <v>32692.937752060796</v>
      </c>
      <c r="J71" s="128"/>
      <c r="K71" s="128"/>
      <c r="L71" s="128"/>
      <c r="M71" s="128"/>
      <c r="N71" s="140" t="s">
        <v>172</v>
      </c>
    </row>
    <row r="72" spans="3:14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27851.26</v>
      </c>
      <c r="H72" s="127">
        <v>75745.115081286465</v>
      </c>
      <c r="I72" s="127">
        <v>76237.622814579096</v>
      </c>
      <c r="J72" s="128"/>
      <c r="K72" s="128"/>
      <c r="L72" s="128"/>
      <c r="M72" s="128"/>
      <c r="N72" s="140" t="s">
        <v>172</v>
      </c>
    </row>
    <row r="73" spans="3:14" x14ac:dyDescent="0.2">
      <c r="C73" s="144"/>
      <c r="D73" s="26"/>
      <c r="E73" s="76">
        <v>5145</v>
      </c>
      <c r="F73" s="136" t="s">
        <v>38</v>
      </c>
      <c r="G73" s="58">
        <f>'Benchmarking Calculations'!G39</f>
        <v>0</v>
      </c>
      <c r="H73" s="127">
        <v>0</v>
      </c>
      <c r="I73" s="127">
        <v>0</v>
      </c>
      <c r="J73" s="128"/>
      <c r="K73" s="128"/>
      <c r="L73" s="128"/>
      <c r="M73" s="128"/>
      <c r="N73" s="140" t="s">
        <v>172</v>
      </c>
    </row>
    <row r="74" spans="3:14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20477.97</v>
      </c>
      <c r="H74" s="127">
        <v>22045.148946687495</v>
      </c>
      <c r="I74" s="127">
        <v>21973.966404038416</v>
      </c>
      <c r="J74" s="128"/>
      <c r="K74" s="128"/>
      <c r="L74" s="128"/>
      <c r="M74" s="128"/>
      <c r="N74" s="140" t="s">
        <v>172</v>
      </c>
    </row>
    <row r="75" spans="3:14" x14ac:dyDescent="0.2">
      <c r="C75" s="144"/>
      <c r="D75" s="26"/>
      <c r="E75" s="76">
        <v>5155</v>
      </c>
      <c r="F75" s="136" t="s">
        <v>40</v>
      </c>
      <c r="G75" s="58">
        <f>'Benchmarking Calculations'!G41</f>
        <v>58649.7</v>
      </c>
      <c r="H75" s="127">
        <v>46775.686060277738</v>
      </c>
      <c r="I75" s="127">
        <v>48736.615103272299</v>
      </c>
      <c r="J75" s="128"/>
      <c r="K75" s="128"/>
      <c r="L75" s="128"/>
      <c r="M75" s="128"/>
      <c r="N75" s="140" t="s">
        <v>172</v>
      </c>
    </row>
    <row r="76" spans="3:14" x14ac:dyDescent="0.2">
      <c r="C76" s="144"/>
      <c r="D76" s="26"/>
      <c r="E76" s="76">
        <v>5160</v>
      </c>
      <c r="F76" s="136" t="s">
        <v>41</v>
      </c>
      <c r="G76" s="58">
        <f>'Benchmarking Calculations'!G42</f>
        <v>40319.89</v>
      </c>
      <c r="H76" s="127">
        <v>31814.027095697122</v>
      </c>
      <c r="I76" s="127">
        <v>33026.277426663321</v>
      </c>
      <c r="J76" s="128"/>
      <c r="K76" s="128"/>
      <c r="L76" s="128"/>
      <c r="M76" s="128"/>
      <c r="N76" s="140" t="s">
        <v>172</v>
      </c>
    </row>
    <row r="77" spans="3:14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53434.49</v>
      </c>
      <c r="H77" s="127">
        <v>53805.321266666142</v>
      </c>
      <c r="I77" s="127">
        <v>55478.915214926805</v>
      </c>
      <c r="J77" s="128"/>
      <c r="K77" s="128"/>
      <c r="L77" s="128"/>
      <c r="M77" s="128"/>
      <c r="N77" s="140" t="s">
        <v>172</v>
      </c>
    </row>
    <row r="78" spans="3:14" x14ac:dyDescent="0.2">
      <c r="C78" s="144"/>
      <c r="D78" s="26"/>
      <c r="E78" s="16"/>
      <c r="F78" s="78" t="s">
        <v>43</v>
      </c>
      <c r="G78" s="107">
        <f>'Benchmarking Calculations'!G44</f>
        <v>414736.52</v>
      </c>
      <c r="H78" s="79">
        <f>SUM(H65:H77)</f>
        <v>473074.05162520939</v>
      </c>
      <c r="I78" s="79">
        <f t="shared" ref="I78:M78" si="6">SUM(I65:I77)</f>
        <v>449790.28194628464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145" t="s">
        <v>29</v>
      </c>
    </row>
    <row r="79" spans="3:14" x14ac:dyDescent="0.2">
      <c r="C79" s="144"/>
      <c r="D79" s="26"/>
      <c r="E79" s="76">
        <v>5305</v>
      </c>
      <c r="F79" s="76" t="s">
        <v>44</v>
      </c>
      <c r="G79" s="58">
        <f>'Benchmarking Calculations'!G45</f>
        <v>66056.100000000006</v>
      </c>
      <c r="H79" s="127">
        <v>57586.707468000568</v>
      </c>
      <c r="I79" s="127">
        <v>58127.665948865935</v>
      </c>
      <c r="J79" s="128"/>
      <c r="K79" s="128"/>
      <c r="L79" s="128"/>
      <c r="M79" s="128"/>
      <c r="N79" s="140" t="s">
        <v>172</v>
      </c>
    </row>
    <row r="80" spans="3:14" x14ac:dyDescent="0.2">
      <c r="C80" s="144"/>
      <c r="D80" s="26"/>
      <c r="E80" s="76">
        <v>5310</v>
      </c>
      <c r="F80" s="76" t="s">
        <v>45</v>
      </c>
      <c r="G80" s="58">
        <f>'Benchmarking Calculations'!G46</f>
        <v>96976.82</v>
      </c>
      <c r="H80" s="127">
        <v>116087.1714742364</v>
      </c>
      <c r="I80" s="127">
        <v>134051.62747760591</v>
      </c>
      <c r="J80" s="128"/>
      <c r="K80" s="128"/>
      <c r="L80" s="128"/>
      <c r="M80" s="128"/>
      <c r="N80" s="140" t="s">
        <v>172</v>
      </c>
    </row>
    <row r="81" spans="3:14" x14ac:dyDescent="0.2">
      <c r="C81" s="144"/>
      <c r="D81" s="26"/>
      <c r="E81" s="76">
        <v>5315</v>
      </c>
      <c r="F81" s="76" t="s">
        <v>46</v>
      </c>
      <c r="G81" s="58">
        <f>'Benchmarking Calculations'!G47</f>
        <v>313658.23999999999</v>
      </c>
      <c r="H81" s="127">
        <v>313394.92539391923</v>
      </c>
      <c r="I81" s="127">
        <v>323653.16473989171</v>
      </c>
      <c r="J81" s="128"/>
      <c r="K81" s="128"/>
      <c r="L81" s="128"/>
      <c r="M81" s="128"/>
      <c r="N81" s="140" t="s">
        <v>172</v>
      </c>
    </row>
    <row r="82" spans="3:14" x14ac:dyDescent="0.2">
      <c r="C82" s="144"/>
      <c r="D82" s="26"/>
      <c r="E82" s="76">
        <v>5320</v>
      </c>
      <c r="F82" s="76" t="s">
        <v>47</v>
      </c>
      <c r="G82" s="58">
        <f>'Benchmarking Calculations'!G48</f>
        <v>73126.97</v>
      </c>
      <c r="H82" s="127">
        <v>87078.584709930306</v>
      </c>
      <c r="I82" s="127">
        <v>91910.202294205112</v>
      </c>
      <c r="J82" s="128"/>
      <c r="K82" s="128"/>
      <c r="L82" s="128"/>
      <c r="M82" s="128"/>
      <c r="N82" s="140" t="s">
        <v>172</v>
      </c>
    </row>
    <row r="83" spans="3:14" x14ac:dyDescent="0.2">
      <c r="C83" s="144"/>
      <c r="D83" s="26"/>
      <c r="E83" s="76">
        <v>5325</v>
      </c>
      <c r="F83" s="76" t="s">
        <v>48</v>
      </c>
      <c r="G83" s="58">
        <f>'Benchmarking Calculations'!G49</f>
        <v>-0.99</v>
      </c>
      <c r="H83" s="127">
        <v>0</v>
      </c>
      <c r="I83" s="127">
        <v>0</v>
      </c>
      <c r="J83" s="128"/>
      <c r="K83" s="128"/>
      <c r="L83" s="128"/>
      <c r="M83" s="128"/>
      <c r="N83" s="140" t="s">
        <v>172</v>
      </c>
    </row>
    <row r="84" spans="3:14" x14ac:dyDescent="0.2">
      <c r="C84" s="144"/>
      <c r="D84" s="26"/>
      <c r="E84" s="76">
        <v>5330</v>
      </c>
      <c r="F84" s="76" t="s">
        <v>49</v>
      </c>
      <c r="G84" s="58">
        <f>'Benchmarking Calculations'!G50</f>
        <v>0</v>
      </c>
      <c r="H84" s="127">
        <v>405.9</v>
      </c>
      <c r="I84" s="127">
        <v>0</v>
      </c>
      <c r="J84" s="128"/>
      <c r="K84" s="128"/>
      <c r="L84" s="128"/>
      <c r="M84" s="128"/>
      <c r="N84" s="140" t="s">
        <v>172</v>
      </c>
    </row>
    <row r="85" spans="3:14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5548.02</v>
      </c>
      <c r="H85" s="127">
        <v>5063.9399999999996</v>
      </c>
      <c r="I85" s="127">
        <v>5124.7200000000012</v>
      </c>
      <c r="J85" s="128"/>
      <c r="K85" s="128"/>
      <c r="L85" s="128"/>
      <c r="M85" s="128"/>
      <c r="N85" s="140" t="s">
        <v>172</v>
      </c>
    </row>
    <row r="86" spans="3:14" x14ac:dyDescent="0.2">
      <c r="C86" s="144"/>
      <c r="D86" s="26"/>
      <c r="E86" s="16"/>
      <c r="F86" s="78" t="s">
        <v>51</v>
      </c>
      <c r="G86" s="107">
        <f>'Benchmarking Calculations'!G52</f>
        <v>555365.16</v>
      </c>
      <c r="H86" s="79">
        <f>SUM(H79:H85)</f>
        <v>579617.22904608655</v>
      </c>
      <c r="I86" s="79">
        <f t="shared" ref="I86:M86" si="7">SUM(I79:I85)</f>
        <v>612867.38046056859</v>
      </c>
      <c r="J86" s="79">
        <f t="shared" si="7"/>
        <v>0</v>
      </c>
      <c r="K86" s="79">
        <f t="shared" si="7"/>
        <v>0</v>
      </c>
      <c r="L86" s="79">
        <f t="shared" si="7"/>
        <v>0</v>
      </c>
      <c r="M86" s="79">
        <f t="shared" si="7"/>
        <v>0</v>
      </c>
      <c r="N86" s="145" t="s">
        <v>29</v>
      </c>
    </row>
    <row r="87" spans="3:14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>
        <v>0</v>
      </c>
      <c r="I87" s="127">
        <v>0</v>
      </c>
      <c r="J87" s="128"/>
      <c r="K87" s="128"/>
      <c r="L87" s="128"/>
      <c r="M87" s="128"/>
      <c r="N87" s="140" t="s">
        <v>172</v>
      </c>
    </row>
    <row r="88" spans="3:14" x14ac:dyDescent="0.2">
      <c r="C88" s="144"/>
      <c r="D88" s="26"/>
      <c r="E88" s="76">
        <v>5410</v>
      </c>
      <c r="F88" s="76" t="s">
        <v>53</v>
      </c>
      <c r="G88" s="58">
        <f>'Benchmarking Calculations'!G54</f>
        <v>0</v>
      </c>
      <c r="H88" s="127">
        <v>0</v>
      </c>
      <c r="I88" s="127">
        <v>0</v>
      </c>
      <c r="J88" s="128"/>
      <c r="K88" s="128"/>
      <c r="L88" s="128"/>
      <c r="M88" s="128"/>
      <c r="N88" s="140" t="s">
        <v>172</v>
      </c>
    </row>
    <row r="89" spans="3:14" x14ac:dyDescent="0.2">
      <c r="C89" s="144"/>
      <c r="D89" s="26"/>
      <c r="E89" s="76">
        <v>5420</v>
      </c>
      <c r="F89" s="76" t="s">
        <v>54</v>
      </c>
      <c r="G89" s="58">
        <f>'Benchmarking Calculations'!G55</f>
        <v>0</v>
      </c>
      <c r="H89" s="127">
        <v>0</v>
      </c>
      <c r="I89" s="127">
        <v>0</v>
      </c>
      <c r="J89" s="128"/>
      <c r="K89" s="128"/>
      <c r="L89" s="128"/>
      <c r="M89" s="128"/>
      <c r="N89" s="140" t="s">
        <v>172</v>
      </c>
    </row>
    <row r="90" spans="3:14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4161.21</v>
      </c>
      <c r="H90" s="127">
        <v>12765.056584028665</v>
      </c>
      <c r="I90" s="127">
        <v>11484.753561720259</v>
      </c>
      <c r="J90" s="128"/>
      <c r="K90" s="128"/>
      <c r="L90" s="128"/>
      <c r="M90" s="128"/>
      <c r="N90" s="140" t="s">
        <v>172</v>
      </c>
    </row>
    <row r="91" spans="3:14" x14ac:dyDescent="0.2">
      <c r="C91" s="144"/>
      <c r="D91" s="26"/>
      <c r="E91" s="16"/>
      <c r="F91" s="78" t="s">
        <v>56</v>
      </c>
      <c r="G91" s="107">
        <f>'Benchmarking Calculations'!G57</f>
        <v>4161.21</v>
      </c>
      <c r="H91" s="79">
        <f>SUM(H87:H90)</f>
        <v>12765.056584028665</v>
      </c>
      <c r="I91" s="79">
        <f t="shared" ref="I91:M91" si="8">SUM(I87:I90)</f>
        <v>11484.753561720259</v>
      </c>
      <c r="J91" s="79">
        <f t="shared" si="8"/>
        <v>0</v>
      </c>
      <c r="K91" s="79">
        <f t="shared" si="8"/>
        <v>0</v>
      </c>
      <c r="L91" s="79">
        <f t="shared" si="8"/>
        <v>0</v>
      </c>
      <c r="M91" s="79">
        <f t="shared" si="8"/>
        <v>0</v>
      </c>
      <c r="N91" s="145" t="s">
        <v>29</v>
      </c>
    </row>
    <row r="92" spans="3:14" x14ac:dyDescent="0.2">
      <c r="C92" s="144"/>
      <c r="D92" s="26"/>
      <c r="E92" s="76">
        <v>5605</v>
      </c>
      <c r="F92" s="76" t="s">
        <v>57</v>
      </c>
      <c r="G92" s="58">
        <f>'Benchmarking Calculations'!G58</f>
        <v>129543.25</v>
      </c>
      <c r="H92" s="127">
        <v>436000.29374649125</v>
      </c>
      <c r="I92" s="127">
        <v>431170.57243683649</v>
      </c>
      <c r="J92" s="128"/>
      <c r="K92" s="128"/>
      <c r="L92" s="128"/>
      <c r="M92" s="128"/>
      <c r="N92" s="140" t="s">
        <v>172</v>
      </c>
    </row>
    <row r="93" spans="3:14" x14ac:dyDescent="0.2">
      <c r="C93" s="144"/>
      <c r="D93" s="26"/>
      <c r="E93" s="76">
        <v>5610</v>
      </c>
      <c r="F93" s="76" t="s">
        <v>58</v>
      </c>
      <c r="G93" s="58">
        <f>'Benchmarking Calculations'!G59</f>
        <v>144141.71</v>
      </c>
      <c r="H93" s="127">
        <v>21043.964621921325</v>
      </c>
      <c r="I93" s="127">
        <v>15573.628999916433</v>
      </c>
      <c r="J93" s="128"/>
      <c r="K93" s="128"/>
      <c r="L93" s="128"/>
      <c r="M93" s="128"/>
      <c r="N93" s="140" t="s">
        <v>172</v>
      </c>
    </row>
    <row r="94" spans="3:14" x14ac:dyDescent="0.2">
      <c r="C94" s="144"/>
      <c r="D94" s="26"/>
      <c r="E94" s="76">
        <v>5615</v>
      </c>
      <c r="F94" s="76" t="s">
        <v>59</v>
      </c>
      <c r="G94" s="58">
        <f>'Benchmarking Calculations'!G60</f>
        <v>141823.47</v>
      </c>
      <c r="H94" s="127">
        <v>180350.98187636607</v>
      </c>
      <c r="I94" s="127">
        <v>164354.46318685048</v>
      </c>
      <c r="J94" s="128"/>
      <c r="K94" s="128"/>
      <c r="L94" s="128"/>
      <c r="M94" s="128"/>
      <c r="N94" s="140" t="s">
        <v>172</v>
      </c>
    </row>
    <row r="95" spans="3:14" x14ac:dyDescent="0.2">
      <c r="C95" s="144"/>
      <c r="D95" s="26"/>
      <c r="E95" s="76">
        <v>5620</v>
      </c>
      <c r="F95" s="76" t="s">
        <v>60</v>
      </c>
      <c r="G95" s="58">
        <f>'Benchmarking Calculations'!G61</f>
        <v>25362.04</v>
      </c>
      <c r="H95" s="127">
        <v>26660.1</v>
      </c>
      <c r="I95" s="127">
        <v>27182.640000000003</v>
      </c>
      <c r="J95" s="128"/>
      <c r="K95" s="128"/>
      <c r="L95" s="128"/>
      <c r="M95" s="128"/>
      <c r="N95" s="140" t="s">
        <v>172</v>
      </c>
    </row>
    <row r="96" spans="3:14" x14ac:dyDescent="0.2">
      <c r="C96" s="144"/>
      <c r="D96" s="26"/>
      <c r="E96" s="76">
        <v>5625</v>
      </c>
      <c r="F96" s="76" t="s">
        <v>61</v>
      </c>
      <c r="G96" s="58">
        <f>'Benchmarking Calculations'!G62</f>
        <v>0</v>
      </c>
      <c r="H96" s="127">
        <v>0</v>
      </c>
      <c r="I96" s="127">
        <v>0</v>
      </c>
      <c r="J96" s="128"/>
      <c r="K96" s="128"/>
      <c r="L96" s="128"/>
      <c r="M96" s="128"/>
      <c r="N96" s="140" t="s">
        <v>172</v>
      </c>
    </row>
    <row r="97" spans="3:14" x14ac:dyDescent="0.2">
      <c r="C97" s="144"/>
      <c r="D97" s="26"/>
      <c r="E97" s="76">
        <v>5630</v>
      </c>
      <c r="F97" s="76" t="s">
        <v>62</v>
      </c>
      <c r="G97" s="58">
        <f>'Benchmarking Calculations'!G63</f>
        <v>76798.45</v>
      </c>
      <c r="H97" s="127">
        <v>55500</v>
      </c>
      <c r="I97" s="127">
        <v>48575.999999999985</v>
      </c>
      <c r="J97" s="128"/>
      <c r="K97" s="128"/>
      <c r="L97" s="128"/>
      <c r="M97" s="128"/>
      <c r="N97" s="140" t="s">
        <v>172</v>
      </c>
    </row>
    <row r="98" spans="3:14" x14ac:dyDescent="0.2">
      <c r="C98" s="144"/>
      <c r="D98" s="26"/>
      <c r="E98" s="76">
        <v>5640</v>
      </c>
      <c r="F98" s="76" t="s">
        <v>63</v>
      </c>
      <c r="G98" s="58">
        <f>'Benchmarking Calculations'!G64</f>
        <v>26986.84</v>
      </c>
      <c r="H98" s="127">
        <v>28475.3</v>
      </c>
      <c r="I98" s="127">
        <v>28817.039999999994</v>
      </c>
      <c r="J98" s="128"/>
      <c r="K98" s="128"/>
      <c r="L98" s="128"/>
      <c r="M98" s="128"/>
      <c r="N98" s="140" t="s">
        <v>172</v>
      </c>
    </row>
    <row r="99" spans="3:14" x14ac:dyDescent="0.2">
      <c r="C99" s="144"/>
      <c r="D99" s="26"/>
      <c r="E99" s="76">
        <v>5645</v>
      </c>
      <c r="F99" s="76" t="s">
        <v>64</v>
      </c>
      <c r="G99" s="58">
        <f>'Benchmarking Calculations'!G65</f>
        <v>26914.05</v>
      </c>
      <c r="H99" s="127">
        <v>51882.34</v>
      </c>
      <c r="I99" s="127">
        <v>53453.039999999986</v>
      </c>
      <c r="J99" s="128"/>
      <c r="K99" s="128"/>
      <c r="L99" s="128"/>
      <c r="M99" s="128"/>
      <c r="N99" s="140" t="s">
        <v>172</v>
      </c>
    </row>
    <row r="100" spans="3:14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>
        <v>0</v>
      </c>
      <c r="I100" s="127">
        <v>0</v>
      </c>
      <c r="J100" s="128"/>
      <c r="K100" s="128"/>
      <c r="L100" s="128"/>
      <c r="M100" s="128"/>
      <c r="N100" s="140" t="s">
        <v>172</v>
      </c>
    </row>
    <row r="101" spans="3:14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>
        <v>0</v>
      </c>
      <c r="I101" s="127">
        <v>0</v>
      </c>
      <c r="J101" s="128"/>
      <c r="K101" s="128"/>
      <c r="L101" s="128"/>
      <c r="M101" s="128"/>
      <c r="N101" s="140" t="s">
        <v>172</v>
      </c>
    </row>
    <row r="102" spans="3:14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>
        <v>0</v>
      </c>
      <c r="I102" s="127">
        <v>0</v>
      </c>
      <c r="J102" s="128"/>
      <c r="K102" s="128"/>
      <c r="L102" s="128"/>
      <c r="M102" s="128"/>
      <c r="N102" s="140" t="s">
        <v>172</v>
      </c>
    </row>
    <row r="103" spans="3:14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46760.52</v>
      </c>
      <c r="H103" s="127">
        <v>37682.076114199997</v>
      </c>
      <c r="I103" s="127">
        <v>87150.631698969926</v>
      </c>
      <c r="J103" s="128"/>
      <c r="K103" s="128"/>
      <c r="L103" s="128"/>
      <c r="M103" s="128"/>
      <c r="N103" s="140" t="s">
        <v>172</v>
      </c>
    </row>
    <row r="104" spans="3:14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66162.850000000006</v>
      </c>
      <c r="H104" s="127">
        <v>57668.840000000011</v>
      </c>
      <c r="I104" s="127">
        <v>59240.520000000011</v>
      </c>
      <c r="J104" s="128"/>
      <c r="K104" s="128"/>
      <c r="L104" s="128"/>
      <c r="M104" s="128"/>
      <c r="N104" s="140" t="s">
        <v>172</v>
      </c>
    </row>
    <row r="105" spans="3:14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0</v>
      </c>
      <c r="H105" s="127">
        <v>0</v>
      </c>
      <c r="I105" s="127">
        <v>0</v>
      </c>
      <c r="J105" s="128"/>
      <c r="K105" s="128"/>
      <c r="L105" s="128"/>
      <c r="M105" s="128"/>
      <c r="N105" s="140" t="s">
        <v>172</v>
      </c>
    </row>
    <row r="106" spans="3:14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>
        <v>0</v>
      </c>
      <c r="I106" s="127">
        <v>0</v>
      </c>
      <c r="J106" s="128"/>
      <c r="K106" s="128"/>
      <c r="L106" s="128"/>
      <c r="M106" s="128"/>
      <c r="N106" s="140" t="s">
        <v>172</v>
      </c>
    </row>
    <row r="107" spans="3:14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202528.91</v>
      </c>
      <c r="H107" s="127">
        <v>213596.89017967295</v>
      </c>
      <c r="I107" s="127">
        <v>213514.76419470581</v>
      </c>
      <c r="J107" s="128"/>
      <c r="K107" s="128"/>
      <c r="L107" s="128"/>
      <c r="M107" s="128"/>
      <c r="N107" s="140" t="s">
        <v>172</v>
      </c>
    </row>
    <row r="108" spans="3:14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5194</v>
      </c>
      <c r="H108" s="127">
        <v>5202</v>
      </c>
      <c r="I108" s="127">
        <v>5264.3999999999987</v>
      </c>
      <c r="J108" s="128"/>
      <c r="K108" s="128"/>
      <c r="L108" s="128"/>
      <c r="M108" s="128"/>
      <c r="N108" s="140" t="s">
        <v>172</v>
      </c>
    </row>
    <row r="109" spans="3:14" x14ac:dyDescent="0.2">
      <c r="C109" s="144"/>
      <c r="D109" s="26"/>
      <c r="E109" s="13"/>
      <c r="F109" s="78" t="s">
        <v>74</v>
      </c>
      <c r="G109" s="107">
        <f>'Benchmarking Calculations'!G75</f>
        <v>892216.09</v>
      </c>
      <c r="H109" s="79">
        <f>SUM(H92:H108)</f>
        <v>1114062.7865386514</v>
      </c>
      <c r="I109" s="79">
        <f t="shared" ref="I109:M109" si="9">SUM(I92:I108)</f>
        <v>1134297.7005172791</v>
      </c>
      <c r="J109" s="79">
        <f t="shared" si="9"/>
        <v>0</v>
      </c>
      <c r="K109" s="79">
        <f t="shared" si="9"/>
        <v>0</v>
      </c>
      <c r="L109" s="79">
        <f t="shared" si="9"/>
        <v>0</v>
      </c>
      <c r="M109" s="79">
        <f t="shared" si="9"/>
        <v>0</v>
      </c>
      <c r="N109" s="145" t="s">
        <v>29</v>
      </c>
    </row>
    <row r="110" spans="3:14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29079.75</v>
      </c>
      <c r="H110" s="127">
        <v>21238.059999999998</v>
      </c>
      <c r="I110" s="127">
        <v>21492.959999999999</v>
      </c>
      <c r="J110" s="128"/>
      <c r="K110" s="128"/>
      <c r="L110" s="128"/>
      <c r="M110" s="128"/>
      <c r="N110" s="140" t="s">
        <v>172</v>
      </c>
    </row>
    <row r="111" spans="3:14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>
        <v>0</v>
      </c>
      <c r="I111" s="127">
        <v>0</v>
      </c>
      <c r="J111" s="128"/>
      <c r="K111" s="128"/>
      <c r="L111" s="128"/>
      <c r="M111" s="128"/>
      <c r="N111" s="140" t="s">
        <v>172</v>
      </c>
    </row>
    <row r="112" spans="3:14" x14ac:dyDescent="0.2">
      <c r="C112" s="144"/>
      <c r="D112" s="26"/>
      <c r="E112" s="26"/>
      <c r="F112" s="78" t="s">
        <v>77</v>
      </c>
      <c r="G112" s="107">
        <f>'Benchmarking Calculations'!G78</f>
        <v>29079.75</v>
      </c>
      <c r="H112" s="79">
        <f>H110+H111</f>
        <v>21238.059999999998</v>
      </c>
      <c r="I112" s="79">
        <f t="shared" ref="I112:M112" si="10">I110+I111</f>
        <v>21492.959999999999</v>
      </c>
      <c r="J112" s="79">
        <f t="shared" si="10"/>
        <v>0</v>
      </c>
      <c r="K112" s="79">
        <f t="shared" si="10"/>
        <v>0</v>
      </c>
      <c r="L112" s="79">
        <f t="shared" si="10"/>
        <v>0</v>
      </c>
      <c r="M112" s="79">
        <f t="shared" si="10"/>
        <v>0</v>
      </c>
      <c r="N112" s="145" t="s">
        <v>29</v>
      </c>
    </row>
    <row r="113" spans="3:14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>
        <v>0</v>
      </c>
      <c r="I113" s="127">
        <v>0</v>
      </c>
      <c r="J113" s="128"/>
      <c r="K113" s="128"/>
      <c r="L113" s="128"/>
      <c r="M113" s="128"/>
      <c r="N113" s="140" t="s">
        <v>172</v>
      </c>
    </row>
    <row r="114" spans="3:14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11">I113</f>
        <v>0</v>
      </c>
      <c r="J114" s="79">
        <f t="shared" si="11"/>
        <v>0</v>
      </c>
      <c r="K114" s="79">
        <f t="shared" si="11"/>
        <v>0</v>
      </c>
      <c r="L114" s="79">
        <f t="shared" si="11"/>
        <v>0</v>
      </c>
      <c r="M114" s="79">
        <f t="shared" si="11"/>
        <v>0</v>
      </c>
      <c r="N114" s="145" t="s">
        <v>29</v>
      </c>
    </row>
    <row r="115" spans="3:14" x14ac:dyDescent="0.2">
      <c r="C115" s="144"/>
      <c r="D115" s="75"/>
      <c r="E115" s="157" t="s">
        <v>198</v>
      </c>
      <c r="F115" s="78" t="s">
        <v>80</v>
      </c>
      <c r="G115" s="58">
        <f>'Benchmarking Calculations'!G81</f>
        <v>2569426.0699999998</v>
      </c>
      <c r="H115" s="79">
        <f>H114+H112+H109+H91+H86+H78+H64</f>
        <v>2880170.5894587548</v>
      </c>
      <c r="I115" s="79">
        <f t="shared" ref="I115:M115" si="12">I114+I112+I109+I91+I86+I78+I64</f>
        <v>2945906.2135029216</v>
      </c>
      <c r="J115" s="79">
        <f t="shared" si="12"/>
        <v>0</v>
      </c>
      <c r="K115" s="79">
        <f t="shared" si="12"/>
        <v>0</v>
      </c>
      <c r="L115" s="79">
        <f t="shared" si="12"/>
        <v>0</v>
      </c>
      <c r="M115" s="79">
        <f t="shared" si="12"/>
        <v>0</v>
      </c>
      <c r="N115" s="145" t="s">
        <v>29</v>
      </c>
    </row>
    <row r="116" spans="3:14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40"/>
    </row>
    <row r="117" spans="3:14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40"/>
    </row>
    <row r="118" spans="3:14" x14ac:dyDescent="0.2">
      <c r="C118" s="144"/>
      <c r="D118" s="82"/>
      <c r="E118" s="82"/>
      <c r="F118" s="59">
        <v>5014</v>
      </c>
      <c r="G118" s="58">
        <f>G47</f>
        <v>12412.63</v>
      </c>
      <c r="H118" s="58">
        <f t="shared" ref="H118:L118" si="13">H47</f>
        <v>3454.7864562683399</v>
      </c>
      <c r="I118" s="58">
        <f t="shared" si="13"/>
        <v>4037.7658282620196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45" t="s">
        <v>29</v>
      </c>
    </row>
    <row r="119" spans="3:14" x14ac:dyDescent="0.2">
      <c r="C119" s="144"/>
      <c r="D119" s="82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45" t="s">
        <v>29</v>
      </c>
    </row>
    <row r="120" spans="3:14" x14ac:dyDescent="0.2">
      <c r="C120" s="144"/>
      <c r="D120" s="82"/>
      <c r="F120" s="59">
        <v>5112</v>
      </c>
      <c r="G120" s="58">
        <f>G67</f>
        <v>26549.21</v>
      </c>
      <c r="H120" s="58">
        <f t="shared" ref="H120:L120" si="17">H67</f>
        <v>58877.689482894682</v>
      </c>
      <c r="I120" s="58">
        <f t="shared" si="17"/>
        <v>29603.797612963837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45" t="s">
        <v>29</v>
      </c>
    </row>
    <row r="121" spans="3:14" x14ac:dyDescent="0.2">
      <c r="C121" s="144"/>
      <c r="D121" s="75"/>
      <c r="E121" s="157" t="s">
        <v>199</v>
      </c>
      <c r="F121" s="78" t="s">
        <v>82</v>
      </c>
      <c r="G121" s="107">
        <f>'Benchmarking Calculations'!G87</f>
        <v>38961.839999999997</v>
      </c>
      <c r="H121" s="107">
        <f>H47+H48+H67</f>
        <v>62332.475939163021</v>
      </c>
      <c r="I121" s="107">
        <f t="shared" ref="I121:L121" si="19">I47+I48+I67</f>
        <v>33641.563441225859</v>
      </c>
      <c r="J121" s="107">
        <f t="shared" si="19"/>
        <v>0</v>
      </c>
      <c r="K121" s="107">
        <f t="shared" si="19"/>
        <v>0</v>
      </c>
      <c r="L121" s="107">
        <f t="shared" si="19"/>
        <v>0</v>
      </c>
      <c r="M121" s="107">
        <f t="shared" ref="M121" si="20">M47+M48+M67</f>
        <v>0</v>
      </c>
      <c r="N121" s="158" t="s">
        <v>29</v>
      </c>
    </row>
    <row r="122" spans="3:14" x14ac:dyDescent="0.2">
      <c r="C122" s="144"/>
      <c r="D122" s="75"/>
      <c r="E122" s="159" t="s">
        <v>200</v>
      </c>
      <c r="F122" s="78" t="s">
        <v>83</v>
      </c>
      <c r="G122" s="107">
        <f>'Benchmarking Calculations'!G88</f>
        <v>0</v>
      </c>
      <c r="H122" s="160"/>
      <c r="I122" s="160"/>
      <c r="J122" s="160"/>
      <c r="K122" s="160"/>
      <c r="L122" s="160"/>
      <c r="M122" s="160"/>
      <c r="N122" s="161" t="s">
        <v>172</v>
      </c>
    </row>
    <row r="123" spans="3:14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143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282"/>
  <sheetViews>
    <sheetView zoomScale="70" zoomScaleNormal="70" workbookViewId="0">
      <pane ySplit="5" topLeftCell="A234" activePane="bottomLeft" state="frozen"/>
      <selection activeCell="G33" sqref="G33"/>
      <selection pane="bottomLeft" activeCell="I261" sqref="A1:M261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9" width="16" customWidth="1"/>
    <col min="10" max="11" width="16" hidden="1" customWidth="1"/>
    <col min="12" max="12" width="13.85546875" hidden="1" customWidth="1"/>
    <col min="13" max="13" width="16.7109375" hidden="1" customWidth="1"/>
    <col min="14" max="14" width="9.85546875" style="10" hidden="1" customWidth="1"/>
    <col min="15" max="15" width="9.140625" style="111" hidden="1" customWidth="1"/>
    <col min="16" max="16" width="16.140625" style="111" hidden="1" customWidth="1"/>
    <col min="17" max="17" width="19" style="111" hidden="1" customWidth="1"/>
    <col min="18" max="18" width="18.140625" style="111" hidden="1" customWidth="1"/>
    <col min="19" max="19" width="14.28515625" style="111" hidden="1" customWidth="1"/>
    <col min="20" max="20" width="17.140625" style="111" hidden="1" customWidth="1"/>
    <col min="21" max="23" width="14.28515625" style="111" hidden="1" customWidth="1"/>
    <col min="24" max="24" width="17.140625" style="111" hidden="1" customWidth="1"/>
    <col min="25" max="25" width="21.42578125" style="111" hidden="1" customWidth="1"/>
    <col min="26" max="26" width="21" style="111" hidden="1" customWidth="1"/>
    <col min="27" max="27" width="19.42578125" style="111" hidden="1" customWidth="1"/>
    <col min="28" max="29" width="14.28515625" style="111" hidden="1" customWidth="1"/>
    <col min="30" max="30" width="16.42578125" style="111" hidden="1" customWidth="1"/>
    <col min="31" max="31" width="15.42578125" style="111" hidden="1" customWidth="1"/>
    <col min="32" max="32" width="19.28515625" style="111" hidden="1" customWidth="1"/>
    <col min="33" max="33" width="18.85546875" style="111" hidden="1" customWidth="1"/>
    <col min="34" max="34" width="18.140625" style="111" hidden="1" customWidth="1"/>
    <col min="35" max="35" width="14.28515625" style="111" hidden="1" customWidth="1"/>
    <col min="36" max="36" width="18.28515625" style="111" hidden="1" customWidth="1"/>
    <col min="37" max="37" width="14.28515625" style="111" hidden="1" customWidth="1"/>
    <col min="38" max="38" width="17.42578125" style="111" hidden="1" customWidth="1"/>
    <col min="39" max="39" width="16.5703125" style="111" hidden="1" customWidth="1"/>
    <col min="40" max="40" width="18.7109375" style="111" hidden="1" customWidth="1"/>
    <col min="41" max="41" width="16.7109375" style="111" hidden="1" customWidth="1"/>
    <col min="42" max="43" width="13.42578125" style="111" hidden="1" customWidth="1"/>
    <col min="44" max="44" width="19.140625" style="111" hidden="1" customWidth="1"/>
    <col min="45" max="45" width="15.85546875" style="111" hidden="1" customWidth="1"/>
    <col min="46" max="46" width="17.28515625" style="111" hidden="1" customWidth="1"/>
    <col min="47" max="47" width="18" style="111" hidden="1" customWidth="1"/>
    <col min="48" max="48" width="13.42578125" style="111" hidden="1" customWidth="1"/>
    <col min="49" max="49" width="17.28515625" style="111" hidden="1" customWidth="1"/>
    <col min="50" max="50" width="13.42578125" style="111" hidden="1" customWidth="1"/>
    <col min="51" max="51" width="17.28515625" style="111" hidden="1" customWidth="1"/>
    <col min="52" max="52" width="18.140625" style="111" hidden="1" customWidth="1"/>
    <col min="53" max="53" width="21.28515625" style="111" hidden="1" customWidth="1"/>
    <col min="54" max="54" width="18.42578125" style="111" hidden="1" customWidth="1"/>
    <col min="55" max="55" width="18" style="111" hidden="1" customWidth="1"/>
    <col min="56" max="60" width="13.42578125" style="111" hidden="1" customWidth="1"/>
    <col min="61" max="61" width="14.85546875" style="111" hidden="1" customWidth="1"/>
    <col min="62" max="62" width="15.85546875" style="111" hidden="1" customWidth="1"/>
    <col min="63" max="63" width="13.42578125" style="111" hidden="1" customWidth="1"/>
    <col min="64" max="64" width="16.42578125" style="111" hidden="1" customWidth="1"/>
    <col min="65" max="65" width="16.140625" style="111" hidden="1" customWidth="1"/>
    <col min="66" max="69" width="13.42578125" style="111" hidden="1" customWidth="1"/>
    <col min="70" max="70" width="15.28515625" style="111" hidden="1" customWidth="1"/>
    <col min="71" max="71" width="13.42578125" style="111" hidden="1" customWidth="1"/>
    <col min="72" max="72" width="15.85546875" style="111" hidden="1" customWidth="1"/>
    <col min="73" max="73" width="13.42578125" style="111" hidden="1" customWidth="1"/>
    <col min="74" max="74" width="16.140625" style="111" hidden="1" customWidth="1"/>
    <col min="75" max="78" width="13.42578125" style="111" hidden="1" customWidth="1"/>
    <col min="79" max="79" width="17.140625" style="111" hidden="1" customWidth="1"/>
    <col min="80" max="83" width="13.42578125" style="111" hidden="1" customWidth="1"/>
    <col min="84" max="89" width="9.140625" customWidth="1"/>
  </cols>
  <sheetData>
    <row r="1" spans="1:90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3"/>
      <c r="P1" s="203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</row>
    <row r="2" spans="1:90" ht="21" thickTop="1" thickBot="1" x14ac:dyDescent="0.4">
      <c r="A2" s="1"/>
      <c r="B2" s="98"/>
      <c r="C2" s="3"/>
      <c r="D2" s="3"/>
      <c r="E2" s="10"/>
      <c r="Q2" s="166"/>
      <c r="R2" s="166"/>
    </row>
    <row r="3" spans="1:90" s="209" customFormat="1" ht="75.75" customHeight="1" thickBot="1" x14ac:dyDescent="0.3">
      <c r="B3" s="230" t="s">
        <v>1</v>
      </c>
      <c r="C3" s="230"/>
      <c r="D3" s="207"/>
      <c r="E3" s="99" t="str">
        <f>'Model Inputs'!F5</f>
        <v>Niagara-on-the-Lake Hydro Inc.</v>
      </c>
      <c r="F3" s="210"/>
      <c r="G3" s="210"/>
      <c r="H3" s="211"/>
      <c r="I3" s="211"/>
      <c r="J3" s="211"/>
      <c r="K3" s="211"/>
      <c r="N3" s="212"/>
      <c r="O3" s="168">
        <v>1</v>
      </c>
      <c r="P3" s="168" t="s">
        <v>267</v>
      </c>
      <c r="Q3" s="208" t="s">
        <v>268</v>
      </c>
      <c r="R3" s="208" t="s">
        <v>203</v>
      </c>
      <c r="S3" s="208" t="s">
        <v>204</v>
      </c>
      <c r="T3" s="208" t="s">
        <v>205</v>
      </c>
      <c r="U3" s="208" t="s">
        <v>206</v>
      </c>
      <c r="V3" s="208" t="s">
        <v>207</v>
      </c>
      <c r="W3" s="208" t="s">
        <v>208</v>
      </c>
      <c r="X3" s="208" t="s">
        <v>209</v>
      </c>
      <c r="Y3" s="208" t="s">
        <v>210</v>
      </c>
      <c r="Z3" s="208" t="s">
        <v>211</v>
      </c>
      <c r="AA3" s="208" t="s">
        <v>212</v>
      </c>
      <c r="AB3" s="208" t="s">
        <v>213</v>
      </c>
      <c r="AC3" s="208" t="s">
        <v>269</v>
      </c>
      <c r="AD3" s="208" t="s">
        <v>214</v>
      </c>
      <c r="AE3" s="208" t="s">
        <v>215</v>
      </c>
      <c r="AF3" s="208" t="s">
        <v>216</v>
      </c>
      <c r="AG3" s="208" t="s">
        <v>217</v>
      </c>
      <c r="AH3" s="208" t="s">
        <v>218</v>
      </c>
      <c r="AI3" s="208" t="s">
        <v>219</v>
      </c>
      <c r="AJ3" s="208" t="s">
        <v>220</v>
      </c>
      <c r="AK3" s="208" t="s">
        <v>221</v>
      </c>
      <c r="AL3" s="208" t="s">
        <v>222</v>
      </c>
      <c r="AM3" s="208" t="s">
        <v>223</v>
      </c>
      <c r="AN3" s="208" t="s">
        <v>224</v>
      </c>
      <c r="AO3" s="208" t="s">
        <v>225</v>
      </c>
      <c r="AP3" s="208" t="s">
        <v>226</v>
      </c>
      <c r="AQ3" s="208" t="s">
        <v>227</v>
      </c>
      <c r="AR3" s="208" t="s">
        <v>228</v>
      </c>
      <c r="AS3" s="208" t="s">
        <v>229</v>
      </c>
      <c r="AT3" s="208" t="s">
        <v>270</v>
      </c>
      <c r="AU3" s="208" t="s">
        <v>230</v>
      </c>
      <c r="AV3" s="208" t="s">
        <v>231</v>
      </c>
      <c r="AW3" s="208" t="s">
        <v>232</v>
      </c>
      <c r="AX3" s="208" t="s">
        <v>233</v>
      </c>
      <c r="AY3" s="208" t="s">
        <v>234</v>
      </c>
      <c r="AZ3" s="208" t="s">
        <v>235</v>
      </c>
      <c r="BA3" s="208" t="s">
        <v>236</v>
      </c>
      <c r="BB3" s="208" t="s">
        <v>237</v>
      </c>
      <c r="BC3" s="208" t="s">
        <v>238</v>
      </c>
      <c r="BD3" s="208" t="s">
        <v>239</v>
      </c>
      <c r="BE3" s="208" t="s">
        <v>240</v>
      </c>
      <c r="BF3" s="208" t="s">
        <v>241</v>
      </c>
      <c r="BG3" s="208" t="s">
        <v>242</v>
      </c>
      <c r="BH3" s="208" t="s">
        <v>243</v>
      </c>
      <c r="BI3" s="208" t="s">
        <v>244</v>
      </c>
      <c r="BJ3" s="208" t="s">
        <v>245</v>
      </c>
      <c r="BK3" s="208" t="s">
        <v>246</v>
      </c>
      <c r="BL3" s="208" t="s">
        <v>247</v>
      </c>
      <c r="BM3" s="208" t="s">
        <v>248</v>
      </c>
      <c r="BN3" s="208" t="s">
        <v>249</v>
      </c>
      <c r="BO3" s="208" t="s">
        <v>250</v>
      </c>
      <c r="BP3" s="208" t="s">
        <v>251</v>
      </c>
      <c r="BQ3" s="208" t="s">
        <v>252</v>
      </c>
      <c r="BR3" s="208" t="s">
        <v>253</v>
      </c>
      <c r="BS3" s="208" t="s">
        <v>254</v>
      </c>
      <c r="BT3" s="208" t="s">
        <v>255</v>
      </c>
      <c r="BU3" s="208" t="s">
        <v>256</v>
      </c>
      <c r="BV3" s="208" t="s">
        <v>257</v>
      </c>
      <c r="BW3" s="208" t="s">
        <v>258</v>
      </c>
      <c r="BX3" s="208" t="s">
        <v>259</v>
      </c>
      <c r="BY3" s="208" t="s">
        <v>260</v>
      </c>
      <c r="BZ3" s="208" t="s">
        <v>261</v>
      </c>
      <c r="CA3" s="208" t="s">
        <v>262</v>
      </c>
      <c r="CB3" s="208" t="s">
        <v>263</v>
      </c>
      <c r="CC3" s="208" t="s">
        <v>264</v>
      </c>
      <c r="CD3" s="168"/>
      <c r="CE3" s="168"/>
      <c r="CF3" s="168"/>
      <c r="CG3" s="168"/>
      <c r="CH3" s="168"/>
      <c r="CI3" s="168"/>
      <c r="CJ3" s="168"/>
      <c r="CK3" s="168"/>
      <c r="CL3" s="168"/>
    </row>
    <row r="4" spans="1:90" ht="19.5" x14ac:dyDescent="0.35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1">
        <v>2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</row>
    <row r="5" spans="1:90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4" t="s">
        <v>265</v>
      </c>
      <c r="O5" s="111">
        <v>3</v>
      </c>
      <c r="CG5" s="52"/>
    </row>
    <row r="6" spans="1:90" x14ac:dyDescent="0.2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90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32"/>
      <c r="N7" s="58"/>
      <c r="O7" s="111">
        <v>5</v>
      </c>
      <c r="P7" s="111">
        <v>0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">
      <c r="A8" s="9"/>
      <c r="B8" s="3"/>
      <c r="O8" s="111">
        <v>6</v>
      </c>
      <c r="P8" s="111">
        <v>0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</row>
    <row r="9" spans="1:90" x14ac:dyDescent="0.2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90" outlineLevel="1" x14ac:dyDescent="0.2">
      <c r="A10" s="9"/>
      <c r="B10" s="10">
        <v>2</v>
      </c>
      <c r="C10" s="12">
        <v>5005</v>
      </c>
      <c r="D10" s="206">
        <v>2</v>
      </c>
      <c r="E10" s="12" t="s">
        <v>8</v>
      </c>
      <c r="F10" s="101"/>
      <c r="G10" s="101">
        <f t="shared" ref="G10:G41" si="0">HLOOKUP($E$3,$P$3:$CE$269,O10,TRUE)</f>
        <v>101427.31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3">
        <v>14538841.82</v>
      </c>
      <c r="R10" s="163">
        <v>125547.46</v>
      </c>
      <c r="S10" s="163">
        <v>0</v>
      </c>
      <c r="T10" s="163">
        <v>567322.68999999994</v>
      </c>
      <c r="U10" s="163">
        <v>626279.94999999995</v>
      </c>
      <c r="V10" s="163">
        <v>0</v>
      </c>
      <c r="W10" s="163">
        <v>69802.19</v>
      </c>
      <c r="X10" s="214">
        <v>76480.789999999994</v>
      </c>
      <c r="Y10" s="163">
        <v>0</v>
      </c>
      <c r="Z10" s="163">
        <v>277267.52</v>
      </c>
      <c r="AA10" s="163">
        <v>0</v>
      </c>
      <c r="AB10" s="163">
        <v>23577.89</v>
      </c>
      <c r="AC10" s="163">
        <v>730278.1</v>
      </c>
      <c r="AD10" s="163">
        <v>108694.38</v>
      </c>
      <c r="AE10" s="163">
        <v>2629755.5099999998</v>
      </c>
      <c r="AF10" s="163">
        <v>243916.42</v>
      </c>
      <c r="AG10" s="163">
        <v>67084.52</v>
      </c>
      <c r="AH10" s="163">
        <v>60719.23</v>
      </c>
      <c r="AI10" s="163">
        <v>110235.42</v>
      </c>
      <c r="AJ10" s="163">
        <v>97663.96</v>
      </c>
      <c r="AK10" s="163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20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">
      <c r="A11" s="9"/>
      <c r="B11" s="10">
        <v>3</v>
      </c>
      <c r="C11" s="12">
        <v>5010</v>
      </c>
      <c r="D11" s="206">
        <v>3</v>
      </c>
      <c r="E11" s="12" t="s">
        <v>9</v>
      </c>
      <c r="F11" s="101"/>
      <c r="G11" s="101">
        <f t="shared" si="0"/>
        <v>41093.230000000003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3">
        <v>11126069.35</v>
      </c>
      <c r="R11" s="163">
        <v>127236.97</v>
      </c>
      <c r="S11" s="163">
        <v>0</v>
      </c>
      <c r="T11" s="163">
        <v>414026.18</v>
      </c>
      <c r="U11" s="163">
        <v>100246.43</v>
      </c>
      <c r="V11" s="163">
        <v>1732285.22</v>
      </c>
      <c r="W11" s="163">
        <v>259513.59</v>
      </c>
      <c r="X11" s="214">
        <v>13227.09</v>
      </c>
      <c r="Y11" s="163">
        <v>0</v>
      </c>
      <c r="Z11" s="163">
        <v>63196.89</v>
      </c>
      <c r="AA11" s="163">
        <v>0</v>
      </c>
      <c r="AB11" s="163">
        <v>0</v>
      </c>
      <c r="AC11" s="163">
        <v>624939.07999999996</v>
      </c>
      <c r="AD11" s="163">
        <v>48134.73</v>
      </c>
      <c r="AE11" s="163">
        <v>398549.86</v>
      </c>
      <c r="AF11" s="163">
        <v>0</v>
      </c>
      <c r="AG11" s="163">
        <v>0</v>
      </c>
      <c r="AH11" s="163">
        <v>7994.92</v>
      </c>
      <c r="AI11" s="163">
        <v>54942.79</v>
      </c>
      <c r="AJ11" s="163">
        <v>0</v>
      </c>
      <c r="AK11" s="163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20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">
      <c r="A12" s="9"/>
      <c r="B12" s="10">
        <v>4</v>
      </c>
      <c r="C12" s="12">
        <v>5012</v>
      </c>
      <c r="D12" s="206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3">
        <v>939300.17</v>
      </c>
      <c r="R12" s="163">
        <v>65629.440000000002</v>
      </c>
      <c r="S12" s="163">
        <v>0</v>
      </c>
      <c r="T12" s="163">
        <v>23511.5</v>
      </c>
      <c r="U12" s="163">
        <v>23204.87</v>
      </c>
      <c r="V12" s="163">
        <v>101377.81</v>
      </c>
      <c r="W12" s="163">
        <v>138198.66</v>
      </c>
      <c r="X12" s="214">
        <v>65928.95</v>
      </c>
      <c r="Y12" s="163">
        <v>0</v>
      </c>
      <c r="Z12" s="163">
        <v>28405.83</v>
      </c>
      <c r="AA12" s="163">
        <v>1220.1400000000001</v>
      </c>
      <c r="AB12" s="163">
        <v>0</v>
      </c>
      <c r="AC12" s="163">
        <v>0</v>
      </c>
      <c r="AD12" s="163">
        <v>0</v>
      </c>
      <c r="AE12" s="163">
        <v>0</v>
      </c>
      <c r="AF12" s="163">
        <v>0</v>
      </c>
      <c r="AG12" s="163">
        <v>2791.81</v>
      </c>
      <c r="AH12" s="163">
        <v>0</v>
      </c>
      <c r="AI12" s="163">
        <v>16682.189999999999</v>
      </c>
      <c r="AJ12" s="163">
        <v>90913.17</v>
      </c>
      <c r="AK12" s="163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20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">
      <c r="A13" s="9"/>
      <c r="B13" s="10">
        <v>5</v>
      </c>
      <c r="C13" s="12">
        <v>5014</v>
      </c>
      <c r="D13" s="206">
        <v>5</v>
      </c>
      <c r="E13" s="12" t="s">
        <v>11</v>
      </c>
      <c r="F13" s="101"/>
      <c r="G13" s="101">
        <f t="shared" si="0"/>
        <v>12412.63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3">
        <v>309175.32</v>
      </c>
      <c r="R13" s="163">
        <v>0</v>
      </c>
      <c r="S13" s="163">
        <v>0</v>
      </c>
      <c r="T13" s="163">
        <v>0</v>
      </c>
      <c r="U13" s="163">
        <v>10757.64</v>
      </c>
      <c r="V13" s="163">
        <v>0</v>
      </c>
      <c r="W13" s="163">
        <v>0</v>
      </c>
      <c r="X13" s="214">
        <v>0</v>
      </c>
      <c r="Y13" s="163">
        <v>0</v>
      </c>
      <c r="Z13" s="163">
        <v>0</v>
      </c>
      <c r="AA13" s="163">
        <v>0</v>
      </c>
      <c r="AB13" s="163">
        <v>0</v>
      </c>
      <c r="AC13" s="163">
        <v>5791.61</v>
      </c>
      <c r="AD13" s="163">
        <v>0</v>
      </c>
      <c r="AE13" s="163">
        <v>0</v>
      </c>
      <c r="AF13" s="163">
        <v>0</v>
      </c>
      <c r="AG13" s="163">
        <v>0</v>
      </c>
      <c r="AH13" s="163">
        <v>0</v>
      </c>
      <c r="AI13" s="163">
        <v>4103.18</v>
      </c>
      <c r="AJ13" s="163">
        <v>20502.03</v>
      </c>
      <c r="AK13" s="163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20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">
      <c r="A14" s="9"/>
      <c r="B14" s="10">
        <v>6</v>
      </c>
      <c r="C14" s="12">
        <v>5015</v>
      </c>
      <c r="D14" s="206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3">
        <v>635.67999999999995</v>
      </c>
      <c r="R14" s="163">
        <v>0</v>
      </c>
      <c r="S14" s="163">
        <v>0</v>
      </c>
      <c r="T14" s="163">
        <v>0</v>
      </c>
      <c r="U14" s="163">
        <v>90387.72</v>
      </c>
      <c r="V14" s="163">
        <v>0</v>
      </c>
      <c r="W14" s="163">
        <v>0</v>
      </c>
      <c r="X14" s="214">
        <v>0</v>
      </c>
      <c r="Y14" s="163">
        <v>0</v>
      </c>
      <c r="Z14" s="163">
        <v>0</v>
      </c>
      <c r="AA14" s="163">
        <v>0</v>
      </c>
      <c r="AB14" s="163">
        <v>0</v>
      </c>
      <c r="AC14" s="163">
        <v>163528.93</v>
      </c>
      <c r="AD14" s="163">
        <v>0</v>
      </c>
      <c r="AE14" s="163">
        <v>0</v>
      </c>
      <c r="AF14" s="163">
        <v>0</v>
      </c>
      <c r="AG14" s="163">
        <v>0</v>
      </c>
      <c r="AH14" s="163">
        <v>0</v>
      </c>
      <c r="AI14" s="163">
        <v>114239.16</v>
      </c>
      <c r="AJ14" s="163">
        <v>8794.58</v>
      </c>
      <c r="AK14" s="163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20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9.5" outlineLevel="1" x14ac:dyDescent="0.35">
      <c r="A15" s="9"/>
      <c r="B15" s="10">
        <v>7</v>
      </c>
      <c r="C15" s="12">
        <v>5016</v>
      </c>
      <c r="D15" s="206">
        <v>7</v>
      </c>
      <c r="E15" s="12" t="s">
        <v>13</v>
      </c>
      <c r="F15" s="101"/>
      <c r="G15" s="101">
        <f t="shared" si="0"/>
        <v>0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3">
        <v>3308599.78</v>
      </c>
      <c r="R15" s="163">
        <v>33010.85</v>
      </c>
      <c r="S15" s="163">
        <v>5953.46</v>
      </c>
      <c r="T15" s="163">
        <v>24789</v>
      </c>
      <c r="U15" s="163">
        <v>0</v>
      </c>
      <c r="V15" s="163">
        <v>214360.87</v>
      </c>
      <c r="W15" s="163">
        <v>138983.09</v>
      </c>
      <c r="X15" s="214">
        <v>44.69</v>
      </c>
      <c r="Y15" s="163">
        <v>2030.44</v>
      </c>
      <c r="Z15" s="163">
        <v>0</v>
      </c>
      <c r="AA15" s="163">
        <v>0</v>
      </c>
      <c r="AB15" s="163">
        <v>620.49</v>
      </c>
      <c r="AC15" s="163">
        <v>0</v>
      </c>
      <c r="AD15" s="163">
        <v>56260.78</v>
      </c>
      <c r="AE15" s="163">
        <v>0</v>
      </c>
      <c r="AF15" s="163">
        <v>0</v>
      </c>
      <c r="AG15" s="163">
        <v>4797.96</v>
      </c>
      <c r="AH15" s="163">
        <v>0</v>
      </c>
      <c r="AI15" s="163">
        <v>0</v>
      </c>
      <c r="AJ15" s="163">
        <v>0</v>
      </c>
      <c r="AK15" s="163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20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">
      <c r="A16" s="9"/>
      <c r="B16" s="10">
        <v>8</v>
      </c>
      <c r="C16" s="12">
        <v>5017</v>
      </c>
      <c r="D16" s="206">
        <v>8</v>
      </c>
      <c r="E16" s="12" t="s">
        <v>14</v>
      </c>
      <c r="F16" s="101"/>
      <c r="G16" s="101">
        <f t="shared" si="0"/>
        <v>0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3">
        <v>533488.93999999994</v>
      </c>
      <c r="R16" s="163">
        <v>7797.84</v>
      </c>
      <c r="S16" s="163">
        <v>0</v>
      </c>
      <c r="T16" s="163">
        <v>3513.77</v>
      </c>
      <c r="U16" s="163">
        <v>0</v>
      </c>
      <c r="V16" s="163">
        <v>278611.52</v>
      </c>
      <c r="W16" s="163">
        <v>36261.18</v>
      </c>
      <c r="X16" s="214">
        <v>18471.8</v>
      </c>
      <c r="Y16" s="163">
        <v>50</v>
      </c>
      <c r="Z16" s="163">
        <v>0</v>
      </c>
      <c r="AA16" s="163">
        <v>0</v>
      </c>
      <c r="AB16" s="163">
        <v>0</v>
      </c>
      <c r="AC16" s="163">
        <v>0</v>
      </c>
      <c r="AD16" s="163">
        <v>82658.94</v>
      </c>
      <c r="AE16" s="163">
        <v>0</v>
      </c>
      <c r="AF16" s="163">
        <v>0</v>
      </c>
      <c r="AG16" s="163">
        <v>20215.32</v>
      </c>
      <c r="AH16" s="163">
        <v>0</v>
      </c>
      <c r="AI16" s="163">
        <v>0</v>
      </c>
      <c r="AJ16" s="163">
        <v>0</v>
      </c>
      <c r="AK16" s="163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20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">
      <c r="A17" s="9"/>
      <c r="B17" s="10">
        <v>9</v>
      </c>
      <c r="C17" s="12">
        <v>5020</v>
      </c>
      <c r="D17" s="206">
        <v>9</v>
      </c>
      <c r="E17" s="12" t="s">
        <v>15</v>
      </c>
      <c r="F17" s="101"/>
      <c r="G17" s="101">
        <f t="shared" si="0"/>
        <v>107003.72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3">
        <v>3826300.9</v>
      </c>
      <c r="R17" s="163">
        <v>107741.9</v>
      </c>
      <c r="S17" s="163">
        <v>363877.05</v>
      </c>
      <c r="T17" s="163">
        <v>785666</v>
      </c>
      <c r="U17" s="163">
        <v>12527.59</v>
      </c>
      <c r="V17" s="163">
        <v>245126.2</v>
      </c>
      <c r="W17" s="163">
        <v>111267.65</v>
      </c>
      <c r="X17" s="214">
        <v>4917.1899999999996</v>
      </c>
      <c r="Y17" s="163">
        <v>162956.96</v>
      </c>
      <c r="Z17" s="163">
        <v>12362.99</v>
      </c>
      <c r="AA17" s="163">
        <v>0</v>
      </c>
      <c r="AB17" s="163">
        <v>14131.39</v>
      </c>
      <c r="AC17" s="163">
        <v>216751.98</v>
      </c>
      <c r="AD17" s="163">
        <v>66004.17</v>
      </c>
      <c r="AE17" s="163">
        <v>1738847.09</v>
      </c>
      <c r="AF17" s="163">
        <v>0</v>
      </c>
      <c r="AG17" s="163">
        <v>53406.66</v>
      </c>
      <c r="AH17" s="163">
        <v>142388.87</v>
      </c>
      <c r="AI17" s="163">
        <v>12191.05</v>
      </c>
      <c r="AJ17" s="163">
        <v>387.78</v>
      </c>
      <c r="AK17" s="163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20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">
      <c r="A18" s="9"/>
      <c r="B18" s="10">
        <v>10</v>
      </c>
      <c r="C18" s="12">
        <v>5025</v>
      </c>
      <c r="D18" s="206">
        <v>10</v>
      </c>
      <c r="E18" s="12" t="s">
        <v>16</v>
      </c>
      <c r="F18" s="101"/>
      <c r="G18" s="101">
        <f t="shared" si="0"/>
        <v>78590.100000000006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3">
        <v>914458.56</v>
      </c>
      <c r="R18" s="163">
        <v>49490.32</v>
      </c>
      <c r="S18" s="163">
        <v>44649.47</v>
      </c>
      <c r="T18" s="163">
        <v>393036.12</v>
      </c>
      <c r="U18" s="163">
        <v>57211.05</v>
      </c>
      <c r="V18" s="163">
        <v>431178.16</v>
      </c>
      <c r="W18" s="163">
        <v>14144.58</v>
      </c>
      <c r="X18" s="214">
        <v>5060.7700000000004</v>
      </c>
      <c r="Y18" s="163">
        <v>63380.92</v>
      </c>
      <c r="Z18" s="163">
        <v>73841.440000000002</v>
      </c>
      <c r="AA18" s="163">
        <v>0</v>
      </c>
      <c r="AB18" s="163">
        <v>723.21</v>
      </c>
      <c r="AC18" s="163">
        <v>200700.81</v>
      </c>
      <c r="AD18" s="163">
        <v>7104.01</v>
      </c>
      <c r="AE18" s="163">
        <v>427510.49</v>
      </c>
      <c r="AF18" s="163">
        <v>0</v>
      </c>
      <c r="AG18" s="163">
        <v>45664.27</v>
      </c>
      <c r="AH18" s="163">
        <v>45935.45</v>
      </c>
      <c r="AI18" s="163">
        <v>25430.11</v>
      </c>
      <c r="AJ18" s="163">
        <v>1714.2</v>
      </c>
      <c r="AK18" s="163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20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">
      <c r="A19" s="9"/>
      <c r="B19" s="10">
        <v>11</v>
      </c>
      <c r="C19" s="12">
        <v>5035</v>
      </c>
      <c r="D19" s="206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3">
        <v>158855.91</v>
      </c>
      <c r="R19" s="163">
        <v>1705.92</v>
      </c>
      <c r="S19" s="163">
        <v>0</v>
      </c>
      <c r="T19" s="163">
        <v>295</v>
      </c>
      <c r="U19" s="163">
        <v>0</v>
      </c>
      <c r="V19" s="163">
        <v>9209.34</v>
      </c>
      <c r="W19" s="163">
        <v>39392.46</v>
      </c>
      <c r="X19" s="214">
        <v>440.92</v>
      </c>
      <c r="Y19" s="163">
        <v>0</v>
      </c>
      <c r="Z19" s="163">
        <v>12172.33</v>
      </c>
      <c r="AA19" s="163">
        <v>4563.8599999999997</v>
      </c>
      <c r="AB19" s="163">
        <v>2591.3000000000002</v>
      </c>
      <c r="AC19" s="163">
        <v>28603.38</v>
      </c>
      <c r="AD19" s="163">
        <v>500</v>
      </c>
      <c r="AE19" s="163">
        <v>62049.22</v>
      </c>
      <c r="AF19" s="163">
        <v>0</v>
      </c>
      <c r="AG19" s="163">
        <v>10546.09</v>
      </c>
      <c r="AH19" s="163">
        <v>0</v>
      </c>
      <c r="AI19" s="163">
        <v>8799.93</v>
      </c>
      <c r="AJ19" s="163">
        <v>0</v>
      </c>
      <c r="AK19" s="163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20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">
      <c r="A20" s="9"/>
      <c r="B20" s="10">
        <v>12</v>
      </c>
      <c r="C20" s="12">
        <v>5040</v>
      </c>
      <c r="D20" s="206">
        <v>12</v>
      </c>
      <c r="E20" s="12" t="s">
        <v>18</v>
      </c>
      <c r="F20" s="101"/>
      <c r="G20" s="101">
        <f t="shared" si="0"/>
        <v>2294.29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3">
        <v>872931.9</v>
      </c>
      <c r="R20" s="163">
        <v>4251.5600000000004</v>
      </c>
      <c r="S20" s="163">
        <v>0</v>
      </c>
      <c r="T20" s="163">
        <v>392833.26</v>
      </c>
      <c r="U20" s="163">
        <v>115271.53</v>
      </c>
      <c r="V20" s="163">
        <v>15382.92</v>
      </c>
      <c r="W20" s="163">
        <v>77048.63</v>
      </c>
      <c r="X20" s="214">
        <v>96.62</v>
      </c>
      <c r="Y20" s="163">
        <v>0</v>
      </c>
      <c r="Z20" s="163">
        <v>6461.47</v>
      </c>
      <c r="AA20" s="163">
        <v>0</v>
      </c>
      <c r="AB20" s="163">
        <v>206784.92</v>
      </c>
      <c r="AC20" s="163">
        <v>52194.1</v>
      </c>
      <c r="AD20" s="163">
        <v>202634.34</v>
      </c>
      <c r="AE20" s="163">
        <v>732496.07</v>
      </c>
      <c r="AF20" s="163">
        <v>0</v>
      </c>
      <c r="AG20" s="163">
        <v>29426.57</v>
      </c>
      <c r="AH20" s="163">
        <v>55111.54</v>
      </c>
      <c r="AI20" s="163">
        <v>7474.92</v>
      </c>
      <c r="AJ20" s="163">
        <v>10684.97</v>
      </c>
      <c r="AK20" s="163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20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75" outlineLevel="1" x14ac:dyDescent="0.25">
      <c r="A21" s="9"/>
      <c r="B21" s="10">
        <v>13</v>
      </c>
      <c r="C21" s="12">
        <v>5045</v>
      </c>
      <c r="D21" s="206">
        <v>13</v>
      </c>
      <c r="E21" s="12" t="s">
        <v>19</v>
      </c>
      <c r="F21" s="101"/>
      <c r="G21" s="101">
        <f t="shared" si="0"/>
        <v>9911.6200000000008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3">
        <v>1349252.5</v>
      </c>
      <c r="R21" s="163">
        <v>0</v>
      </c>
      <c r="S21" s="163">
        <v>0</v>
      </c>
      <c r="T21" s="163">
        <v>70912.289999999994</v>
      </c>
      <c r="U21" s="163">
        <v>0</v>
      </c>
      <c r="V21" s="163">
        <v>421209.41</v>
      </c>
      <c r="W21" s="163">
        <v>104181.04</v>
      </c>
      <c r="X21" s="214">
        <v>0</v>
      </c>
      <c r="Y21" s="163">
        <v>0</v>
      </c>
      <c r="Z21" s="163">
        <v>755.24</v>
      </c>
      <c r="AA21" s="163">
        <v>0</v>
      </c>
      <c r="AB21" s="163">
        <v>0</v>
      </c>
      <c r="AC21" s="163">
        <v>120512.63</v>
      </c>
      <c r="AD21" s="163">
        <v>158660.76999999999</v>
      </c>
      <c r="AE21" s="163">
        <v>310288.46000000002</v>
      </c>
      <c r="AF21" s="163">
        <v>0</v>
      </c>
      <c r="AG21" s="163">
        <v>9695.43</v>
      </c>
      <c r="AH21" s="163">
        <v>16206.53</v>
      </c>
      <c r="AI21" s="163">
        <v>212.97</v>
      </c>
      <c r="AJ21" s="163">
        <v>1941.5</v>
      </c>
      <c r="AK21" s="163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20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">
      <c r="A22" s="9"/>
      <c r="B22" s="10">
        <v>14</v>
      </c>
      <c r="C22" s="12">
        <v>5055</v>
      </c>
      <c r="D22" s="206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3">
        <v>230916.72</v>
      </c>
      <c r="R22" s="163">
        <v>0</v>
      </c>
      <c r="S22" s="163">
        <v>0</v>
      </c>
      <c r="T22" s="163">
        <v>20.47</v>
      </c>
      <c r="U22" s="163">
        <v>0</v>
      </c>
      <c r="V22" s="163">
        <v>9622.44</v>
      </c>
      <c r="W22" s="163">
        <v>1398.76</v>
      </c>
      <c r="X22" s="214">
        <v>525.77</v>
      </c>
      <c r="Y22" s="163">
        <v>0</v>
      </c>
      <c r="Z22" s="163">
        <v>1008.16</v>
      </c>
      <c r="AA22" s="163">
        <v>0</v>
      </c>
      <c r="AB22" s="163">
        <v>10981.54</v>
      </c>
      <c r="AC22" s="163">
        <v>60501.38</v>
      </c>
      <c r="AD22" s="163">
        <v>3199.06</v>
      </c>
      <c r="AE22" s="163">
        <v>242432.47</v>
      </c>
      <c r="AF22" s="163">
        <v>0</v>
      </c>
      <c r="AG22" s="163">
        <v>2187.69</v>
      </c>
      <c r="AH22" s="163">
        <v>27812.3</v>
      </c>
      <c r="AI22" s="163">
        <v>9603.32</v>
      </c>
      <c r="AJ22" s="163">
        <v>0</v>
      </c>
      <c r="AK22" s="163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20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">
      <c r="A23" s="9"/>
      <c r="B23" s="10">
        <v>15</v>
      </c>
      <c r="C23" s="12">
        <v>5065</v>
      </c>
      <c r="D23" s="206">
        <v>15</v>
      </c>
      <c r="E23" s="12" t="s">
        <v>21</v>
      </c>
      <c r="F23" s="101"/>
      <c r="G23" s="101">
        <f t="shared" si="0"/>
        <v>25495.21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3">
        <v>7322884.21</v>
      </c>
      <c r="R23" s="163">
        <v>345813.97</v>
      </c>
      <c r="S23" s="163">
        <v>16788.38</v>
      </c>
      <c r="T23" s="163">
        <v>470216.39</v>
      </c>
      <c r="U23" s="163">
        <v>279306.90000000002</v>
      </c>
      <c r="V23" s="163">
        <v>167000.57999999999</v>
      </c>
      <c r="W23" s="163">
        <v>348418.38</v>
      </c>
      <c r="X23" s="214">
        <v>81009.119999999995</v>
      </c>
      <c r="Y23" s="163">
        <v>7009.77</v>
      </c>
      <c r="Z23" s="163">
        <v>3400.36</v>
      </c>
      <c r="AA23" s="163">
        <v>1555</v>
      </c>
      <c r="AB23" s="163">
        <v>16060</v>
      </c>
      <c r="AC23" s="163">
        <v>946841.09</v>
      </c>
      <c r="AD23" s="163">
        <v>62214.27</v>
      </c>
      <c r="AE23" s="163">
        <v>651910.63</v>
      </c>
      <c r="AF23" s="163">
        <v>0</v>
      </c>
      <c r="AG23" s="163">
        <v>2160.25</v>
      </c>
      <c r="AH23" s="163">
        <v>241167.04</v>
      </c>
      <c r="AI23" s="163">
        <v>343672.27</v>
      </c>
      <c r="AJ23" s="163">
        <v>16103.19</v>
      </c>
      <c r="AK23" s="163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20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">
      <c r="A24" s="9"/>
      <c r="B24" s="10">
        <v>16</v>
      </c>
      <c r="C24" s="12">
        <v>5070</v>
      </c>
      <c r="D24" s="206">
        <v>16</v>
      </c>
      <c r="E24" s="12" t="s">
        <v>22</v>
      </c>
      <c r="F24" s="101"/>
      <c r="G24" s="101">
        <f t="shared" si="0"/>
        <v>32998.39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3">
        <v>4123170.69</v>
      </c>
      <c r="R24" s="163">
        <v>105597.96</v>
      </c>
      <c r="S24" s="163">
        <v>0</v>
      </c>
      <c r="T24" s="163">
        <v>322263</v>
      </c>
      <c r="U24" s="163">
        <v>0</v>
      </c>
      <c r="V24" s="163">
        <v>268541.67</v>
      </c>
      <c r="W24" s="163">
        <v>1173.8900000000001</v>
      </c>
      <c r="X24" s="214">
        <v>0</v>
      </c>
      <c r="Y24" s="163">
        <v>0</v>
      </c>
      <c r="Z24" s="163">
        <v>0</v>
      </c>
      <c r="AA24" s="163">
        <v>0</v>
      </c>
      <c r="AB24" s="163">
        <v>0</v>
      </c>
      <c r="AC24" s="163">
        <v>1987.06</v>
      </c>
      <c r="AD24" s="163">
        <v>2289.33</v>
      </c>
      <c r="AE24" s="163">
        <v>13868.53</v>
      </c>
      <c r="AF24" s="163">
        <v>0</v>
      </c>
      <c r="AG24" s="163">
        <v>26419.759999999998</v>
      </c>
      <c r="AH24" s="163">
        <v>368541.35</v>
      </c>
      <c r="AI24" s="163">
        <v>179092.48000000001</v>
      </c>
      <c r="AJ24" s="163">
        <v>53641.64</v>
      </c>
      <c r="AK24" s="163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20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">
      <c r="A25" s="9"/>
      <c r="B25" s="10">
        <v>17</v>
      </c>
      <c r="C25" s="12">
        <v>5075</v>
      </c>
      <c r="D25" s="206">
        <v>17</v>
      </c>
      <c r="E25" s="12" t="s">
        <v>23</v>
      </c>
      <c r="F25" s="101"/>
      <c r="G25" s="101">
        <f t="shared" si="0"/>
        <v>100373.28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3">
        <v>2490102.21</v>
      </c>
      <c r="R25" s="163">
        <v>17458.400000000001</v>
      </c>
      <c r="S25" s="163">
        <v>0</v>
      </c>
      <c r="T25" s="163">
        <v>0</v>
      </c>
      <c r="U25" s="163">
        <v>0</v>
      </c>
      <c r="V25" s="163">
        <v>82943.63</v>
      </c>
      <c r="W25" s="163">
        <v>12923</v>
      </c>
      <c r="X25" s="214">
        <v>0</v>
      </c>
      <c r="Y25" s="163">
        <v>0</v>
      </c>
      <c r="Z25" s="163">
        <v>0</v>
      </c>
      <c r="AA25" s="163">
        <v>19444.62</v>
      </c>
      <c r="AB25" s="163">
        <v>0</v>
      </c>
      <c r="AC25" s="163">
        <v>790.7</v>
      </c>
      <c r="AD25" s="163">
        <v>2266.8200000000002</v>
      </c>
      <c r="AE25" s="163">
        <v>4247.68</v>
      </c>
      <c r="AF25" s="163">
        <v>0</v>
      </c>
      <c r="AG25" s="163">
        <v>1589.49</v>
      </c>
      <c r="AH25" s="163">
        <v>3415</v>
      </c>
      <c r="AI25" s="163">
        <v>7572.33</v>
      </c>
      <c r="AJ25" s="163">
        <v>5924.93</v>
      </c>
      <c r="AK25" s="163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20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">
      <c r="A26" s="9"/>
      <c r="B26" s="10">
        <v>18</v>
      </c>
      <c r="C26" s="12">
        <v>5085</v>
      </c>
      <c r="D26" s="206">
        <v>18</v>
      </c>
      <c r="E26" s="12" t="s">
        <v>24</v>
      </c>
      <c r="F26" s="101"/>
      <c r="G26" s="101">
        <f t="shared" si="0"/>
        <v>145614.44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3">
        <v>9708107.3499999996</v>
      </c>
      <c r="R26" s="163">
        <v>303967.52</v>
      </c>
      <c r="S26" s="163">
        <v>8274.34</v>
      </c>
      <c r="T26" s="163">
        <v>452517.56</v>
      </c>
      <c r="U26" s="163">
        <v>162030.32</v>
      </c>
      <c r="V26" s="163">
        <v>0</v>
      </c>
      <c r="W26" s="163">
        <v>384643.62</v>
      </c>
      <c r="X26" s="214">
        <v>77625.17</v>
      </c>
      <c r="Y26" s="163">
        <v>0</v>
      </c>
      <c r="Z26" s="163">
        <v>234374.1</v>
      </c>
      <c r="AA26" s="163">
        <v>7472.9</v>
      </c>
      <c r="AB26" s="163">
        <v>0</v>
      </c>
      <c r="AC26" s="163">
        <v>0</v>
      </c>
      <c r="AD26" s="163">
        <v>0</v>
      </c>
      <c r="AE26" s="163">
        <v>57902.86</v>
      </c>
      <c r="AF26" s="163">
        <v>161242.73000000001</v>
      </c>
      <c r="AG26" s="163">
        <v>10079.84</v>
      </c>
      <c r="AH26" s="163">
        <v>61592.95</v>
      </c>
      <c r="AI26" s="163">
        <v>6646.19</v>
      </c>
      <c r="AJ26" s="163">
        <v>142871.59</v>
      </c>
      <c r="AK26" s="163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20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">
      <c r="A27" s="9"/>
      <c r="B27" s="10">
        <v>19</v>
      </c>
      <c r="C27" s="12">
        <v>5090</v>
      </c>
      <c r="D27" s="206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3">
        <v>0</v>
      </c>
      <c r="R27" s="163">
        <v>5675</v>
      </c>
      <c r="S27" s="163">
        <v>0</v>
      </c>
      <c r="T27" s="163">
        <v>0</v>
      </c>
      <c r="U27" s="163">
        <v>0</v>
      </c>
      <c r="V27" s="163">
        <v>0</v>
      </c>
      <c r="W27" s="163">
        <v>0</v>
      </c>
      <c r="X27" s="214">
        <v>0</v>
      </c>
      <c r="Y27" s="163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20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">
      <c r="A28" s="9"/>
      <c r="B28" s="10">
        <v>20</v>
      </c>
      <c r="C28" s="12">
        <v>5095</v>
      </c>
      <c r="D28" s="206">
        <v>20</v>
      </c>
      <c r="E28" s="12" t="s">
        <v>26</v>
      </c>
      <c r="F28" s="101"/>
      <c r="G28" s="101">
        <f t="shared" si="0"/>
        <v>16653.12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3">
        <v>118578.17</v>
      </c>
      <c r="R28" s="163">
        <v>51043.41</v>
      </c>
      <c r="S28" s="163">
        <v>0</v>
      </c>
      <c r="T28" s="163">
        <v>14407.11</v>
      </c>
      <c r="U28" s="163">
        <v>0</v>
      </c>
      <c r="V28" s="163">
        <v>0</v>
      </c>
      <c r="W28" s="163">
        <v>35742.44</v>
      </c>
      <c r="X28" s="214">
        <v>5420.73</v>
      </c>
      <c r="Y28" s="163">
        <v>2480.9699999999998</v>
      </c>
      <c r="Z28" s="163">
        <v>0</v>
      </c>
      <c r="AA28" s="163">
        <v>0</v>
      </c>
      <c r="AB28" s="163">
        <v>9113.1</v>
      </c>
      <c r="AC28" s="163">
        <v>51572.53</v>
      </c>
      <c r="AD28" s="163">
        <v>0</v>
      </c>
      <c r="AE28" s="163">
        <v>0</v>
      </c>
      <c r="AF28" s="163">
        <v>0</v>
      </c>
      <c r="AG28" s="163">
        <v>14556</v>
      </c>
      <c r="AH28" s="163">
        <v>0</v>
      </c>
      <c r="AI28" s="163">
        <v>14261.64</v>
      </c>
      <c r="AJ28" s="163">
        <v>0</v>
      </c>
      <c r="AK28" s="163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20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">
      <c r="A29" s="9"/>
      <c r="B29" s="10">
        <v>21</v>
      </c>
      <c r="C29" s="12">
        <v>5096</v>
      </c>
      <c r="D29" s="206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3">
        <v>392904.63</v>
      </c>
      <c r="R29" s="163">
        <v>9697.2199999999993</v>
      </c>
      <c r="S29" s="163">
        <v>50</v>
      </c>
      <c r="T29" s="163">
        <v>0</v>
      </c>
      <c r="U29" s="163">
        <v>560</v>
      </c>
      <c r="V29" s="163">
        <v>0</v>
      </c>
      <c r="W29" s="163">
        <v>0</v>
      </c>
      <c r="X29" s="214">
        <v>0</v>
      </c>
      <c r="Y29" s="163">
        <v>0</v>
      </c>
      <c r="Z29" s="163">
        <v>172800</v>
      </c>
      <c r="AA29" s="163">
        <v>0</v>
      </c>
      <c r="AB29" s="163">
        <v>0</v>
      </c>
      <c r="AC29" s="163">
        <v>0</v>
      </c>
      <c r="AD29" s="163">
        <v>0</v>
      </c>
      <c r="AE29" s="163">
        <v>0</v>
      </c>
      <c r="AF29" s="163">
        <v>810</v>
      </c>
      <c r="AG29" s="163">
        <v>0</v>
      </c>
      <c r="AH29" s="163">
        <v>78886.11</v>
      </c>
      <c r="AI29" s="163">
        <v>0</v>
      </c>
      <c r="AJ29" s="163">
        <v>0</v>
      </c>
      <c r="AK29" s="163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20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">
      <c r="A30" s="9"/>
      <c r="B30" s="10">
        <v>22</v>
      </c>
      <c r="C30" s="16"/>
      <c r="D30" s="206"/>
      <c r="E30" s="17" t="s">
        <v>28</v>
      </c>
      <c r="F30" s="102"/>
      <c r="G30" s="101">
        <f t="shared" si="0"/>
        <v>673867.34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3">
        <v>62264574.81000001</v>
      </c>
      <c r="R30" s="163">
        <v>1361665.7399999998</v>
      </c>
      <c r="S30" s="163">
        <v>439592.7</v>
      </c>
      <c r="T30" s="163">
        <v>3935330.34</v>
      </c>
      <c r="U30" s="163">
        <v>1477784</v>
      </c>
      <c r="V30" s="163">
        <v>3976849.77</v>
      </c>
      <c r="W30" s="163">
        <v>1773093.1599999997</v>
      </c>
      <c r="X30" s="214">
        <v>349249.60999999993</v>
      </c>
      <c r="Y30" s="163">
        <v>237909.06</v>
      </c>
      <c r="Z30" s="163">
        <v>886046.33</v>
      </c>
      <c r="AA30" s="163">
        <v>34256.519999999997</v>
      </c>
      <c r="AB30" s="163">
        <v>284583.83999999997</v>
      </c>
      <c r="AC30" s="163">
        <v>3204993.38</v>
      </c>
      <c r="AD30" s="163">
        <v>800621.6</v>
      </c>
      <c r="AE30" s="163">
        <v>7269858.8700000001</v>
      </c>
      <c r="AF30" s="163">
        <v>405969.15</v>
      </c>
      <c r="AG30" s="163">
        <v>300621.66000000003</v>
      </c>
      <c r="AH30" s="163">
        <v>1109771.29</v>
      </c>
      <c r="AI30" s="163">
        <v>915159.94999999984</v>
      </c>
      <c r="AJ30" s="163">
        <v>451143.54000000004</v>
      </c>
      <c r="AK30" s="163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20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">
      <c r="A31" s="9"/>
      <c r="B31" s="10">
        <v>23</v>
      </c>
      <c r="C31" s="12">
        <v>5105</v>
      </c>
      <c r="D31" s="206">
        <v>22</v>
      </c>
      <c r="E31" s="12" t="s">
        <v>30</v>
      </c>
      <c r="F31" s="101"/>
      <c r="G31" s="101">
        <f t="shared" si="0"/>
        <v>33982.65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3">
        <v>255473.14</v>
      </c>
      <c r="R31" s="163">
        <v>80796.77</v>
      </c>
      <c r="S31" s="163">
        <v>0</v>
      </c>
      <c r="T31" s="163">
        <v>0</v>
      </c>
      <c r="U31" s="163">
        <v>194368.13</v>
      </c>
      <c r="V31" s="163">
        <v>0</v>
      </c>
      <c r="W31" s="163">
        <v>18509.71</v>
      </c>
      <c r="X31" s="214">
        <v>19060.080000000002</v>
      </c>
      <c r="Y31" s="163">
        <v>0</v>
      </c>
      <c r="Z31" s="163">
        <v>174452.92</v>
      </c>
      <c r="AA31" s="163">
        <v>0</v>
      </c>
      <c r="AB31" s="163">
        <v>0</v>
      </c>
      <c r="AC31" s="163">
        <v>0</v>
      </c>
      <c r="AD31" s="163">
        <v>614714.51</v>
      </c>
      <c r="AE31" s="163">
        <v>0</v>
      </c>
      <c r="AF31" s="163">
        <v>0</v>
      </c>
      <c r="AG31" s="163">
        <v>71095.679999999993</v>
      </c>
      <c r="AH31" s="163">
        <v>34298.83</v>
      </c>
      <c r="AI31" s="163">
        <v>0</v>
      </c>
      <c r="AJ31" s="163">
        <v>77585.31</v>
      </c>
      <c r="AK31" s="163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20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">
      <c r="A32" s="9"/>
      <c r="B32" s="10">
        <v>24</v>
      </c>
      <c r="C32" s="12">
        <v>5110</v>
      </c>
      <c r="D32" s="206">
        <v>23</v>
      </c>
      <c r="E32" s="12" t="s">
        <v>31</v>
      </c>
      <c r="F32" s="101"/>
      <c r="G32" s="101">
        <f t="shared" si="0"/>
        <v>0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3">
        <v>325150.39</v>
      </c>
      <c r="R32" s="163">
        <v>886.56</v>
      </c>
      <c r="S32" s="163">
        <v>0</v>
      </c>
      <c r="T32" s="163">
        <v>0</v>
      </c>
      <c r="U32" s="163">
        <v>9845.26</v>
      </c>
      <c r="V32" s="163">
        <v>497501.26</v>
      </c>
      <c r="W32" s="163">
        <v>59961.23</v>
      </c>
      <c r="X32" s="214">
        <v>0</v>
      </c>
      <c r="Y32" s="163">
        <v>0</v>
      </c>
      <c r="Z32" s="163">
        <v>17276.13</v>
      </c>
      <c r="AA32" s="163">
        <v>8105.75</v>
      </c>
      <c r="AB32" s="163">
        <v>0</v>
      </c>
      <c r="AC32" s="163">
        <v>16352.76</v>
      </c>
      <c r="AD32" s="163">
        <v>0</v>
      </c>
      <c r="AE32" s="163">
        <v>0</v>
      </c>
      <c r="AF32" s="163">
        <v>157714.23999999999</v>
      </c>
      <c r="AG32" s="163">
        <v>8677.43</v>
      </c>
      <c r="AH32" s="163">
        <v>0</v>
      </c>
      <c r="AI32" s="163">
        <v>1047.6600000000001</v>
      </c>
      <c r="AJ32" s="163">
        <v>340.43</v>
      </c>
      <c r="AK32" s="163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20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">
      <c r="A33" s="3"/>
      <c r="B33" s="10">
        <v>25</v>
      </c>
      <c r="C33" s="12">
        <v>5112</v>
      </c>
      <c r="D33" s="206">
        <v>24</v>
      </c>
      <c r="E33" s="12" t="s">
        <v>32</v>
      </c>
      <c r="F33" s="101"/>
      <c r="G33" s="101">
        <f t="shared" si="0"/>
        <v>26549.21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3">
        <v>398872.09</v>
      </c>
      <c r="R33" s="163">
        <v>0</v>
      </c>
      <c r="S33" s="163">
        <v>0</v>
      </c>
      <c r="T33" s="163">
        <v>0</v>
      </c>
      <c r="U33" s="163">
        <v>26686.03</v>
      </c>
      <c r="V33" s="163">
        <v>0</v>
      </c>
      <c r="W33" s="163">
        <v>0</v>
      </c>
      <c r="X33" s="214">
        <v>0</v>
      </c>
      <c r="Y33" s="163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237820.71</v>
      </c>
      <c r="AF33" s="163">
        <v>0</v>
      </c>
      <c r="AG33" s="163">
        <v>0</v>
      </c>
      <c r="AH33" s="163">
        <v>0</v>
      </c>
      <c r="AI33" s="163">
        <v>0</v>
      </c>
      <c r="AJ33" s="163">
        <v>22517.08</v>
      </c>
      <c r="AK33" s="163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20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">
      <c r="A34" s="3"/>
      <c r="B34" s="10">
        <v>26</v>
      </c>
      <c r="C34" s="12">
        <v>5114</v>
      </c>
      <c r="D34" s="206">
        <v>25</v>
      </c>
      <c r="E34" s="12" t="s">
        <v>33</v>
      </c>
      <c r="F34" s="101"/>
      <c r="G34" s="101">
        <f t="shared" si="0"/>
        <v>0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3">
        <v>660713.32999999996</v>
      </c>
      <c r="R34" s="163">
        <v>33794.480000000003</v>
      </c>
      <c r="S34" s="163">
        <v>7280.86</v>
      </c>
      <c r="T34" s="163">
        <v>38135</v>
      </c>
      <c r="U34" s="163">
        <v>2124.8200000000002</v>
      </c>
      <c r="V34" s="163">
        <v>432853.89</v>
      </c>
      <c r="W34" s="163">
        <v>108395.57</v>
      </c>
      <c r="X34" s="214">
        <v>16523.07</v>
      </c>
      <c r="Y34" s="163">
        <v>0</v>
      </c>
      <c r="Z34" s="163">
        <v>45677.74</v>
      </c>
      <c r="AA34" s="163">
        <v>4306.3900000000003</v>
      </c>
      <c r="AB34" s="163">
        <v>0</v>
      </c>
      <c r="AC34" s="163">
        <v>0</v>
      </c>
      <c r="AD34" s="163">
        <v>135679.70000000001</v>
      </c>
      <c r="AE34" s="163">
        <v>51816.08</v>
      </c>
      <c r="AF34" s="163">
        <v>16634.669999999998</v>
      </c>
      <c r="AG34" s="163">
        <v>12961.16</v>
      </c>
      <c r="AH34" s="163">
        <v>0</v>
      </c>
      <c r="AI34" s="163">
        <v>0</v>
      </c>
      <c r="AJ34" s="163">
        <v>0</v>
      </c>
      <c r="AK34" s="163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20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">
      <c r="A35" s="3"/>
      <c r="B35" s="10">
        <v>27</v>
      </c>
      <c r="C35" s="12">
        <v>5120</v>
      </c>
      <c r="D35" s="206">
        <v>26</v>
      </c>
      <c r="E35" s="12" t="s">
        <v>34</v>
      </c>
      <c r="F35" s="101"/>
      <c r="G35" s="101">
        <f t="shared" si="0"/>
        <v>79908.81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3">
        <v>353316.26</v>
      </c>
      <c r="R35" s="163">
        <v>121216.64</v>
      </c>
      <c r="S35" s="163">
        <v>0</v>
      </c>
      <c r="T35" s="163">
        <v>10489.91</v>
      </c>
      <c r="U35" s="163">
        <v>40512.61</v>
      </c>
      <c r="V35" s="163">
        <v>81238.179999999993</v>
      </c>
      <c r="W35" s="163">
        <v>81885.179999999993</v>
      </c>
      <c r="X35" s="214">
        <v>17797.009999999998</v>
      </c>
      <c r="Y35" s="163">
        <v>0</v>
      </c>
      <c r="Z35" s="163">
        <v>39631.440000000002</v>
      </c>
      <c r="AA35" s="163">
        <v>6436.5</v>
      </c>
      <c r="AB35" s="163">
        <v>32848.9</v>
      </c>
      <c r="AC35" s="163">
        <v>70182</v>
      </c>
      <c r="AD35" s="163">
        <v>56469.7</v>
      </c>
      <c r="AE35" s="163">
        <v>0</v>
      </c>
      <c r="AF35" s="163">
        <v>37148.75</v>
      </c>
      <c r="AG35" s="163">
        <v>24712.85</v>
      </c>
      <c r="AH35" s="163">
        <v>82270.03</v>
      </c>
      <c r="AI35" s="163">
        <v>55739.83</v>
      </c>
      <c r="AJ35" s="163">
        <v>32865.54</v>
      </c>
      <c r="AK35" s="163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20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">
      <c r="A36" s="3"/>
      <c r="B36" s="10">
        <v>28</v>
      </c>
      <c r="C36" s="12">
        <v>5125</v>
      </c>
      <c r="D36" s="206">
        <v>27</v>
      </c>
      <c r="E36" s="12" t="s">
        <v>35</v>
      </c>
      <c r="F36" s="101"/>
      <c r="G36" s="101">
        <f t="shared" si="0"/>
        <v>37312.28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3">
        <v>7627446.1699999999</v>
      </c>
      <c r="R36" s="163">
        <v>902031.8</v>
      </c>
      <c r="S36" s="163">
        <v>0</v>
      </c>
      <c r="T36" s="163">
        <v>91191.42</v>
      </c>
      <c r="U36" s="163">
        <v>215189.21</v>
      </c>
      <c r="V36" s="163">
        <v>1565791</v>
      </c>
      <c r="W36" s="163">
        <v>468548.37</v>
      </c>
      <c r="X36" s="214">
        <v>16644.43</v>
      </c>
      <c r="Y36" s="163">
        <v>0</v>
      </c>
      <c r="Z36" s="163">
        <v>173952.66</v>
      </c>
      <c r="AA36" s="163">
        <v>3803</v>
      </c>
      <c r="AB36" s="163">
        <v>122561.37</v>
      </c>
      <c r="AC36" s="163">
        <v>680076.61</v>
      </c>
      <c r="AD36" s="163">
        <v>240484.08</v>
      </c>
      <c r="AE36" s="163">
        <v>0</v>
      </c>
      <c r="AF36" s="163">
        <v>0</v>
      </c>
      <c r="AG36" s="163">
        <v>44196.93</v>
      </c>
      <c r="AH36" s="163">
        <v>145791.99</v>
      </c>
      <c r="AI36" s="163">
        <v>95605.48</v>
      </c>
      <c r="AJ36" s="163">
        <v>30300.560000000001</v>
      </c>
      <c r="AK36" s="163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20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">
      <c r="A37" s="3"/>
      <c r="B37" s="10">
        <v>29</v>
      </c>
      <c r="C37" s="12">
        <v>5130</v>
      </c>
      <c r="D37" s="206">
        <v>28</v>
      </c>
      <c r="E37" s="12" t="s">
        <v>36</v>
      </c>
      <c r="F37" s="101"/>
      <c r="G37" s="101">
        <f t="shared" si="0"/>
        <v>36250.26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3">
        <v>827812.71</v>
      </c>
      <c r="R37" s="163">
        <v>225342.74</v>
      </c>
      <c r="S37" s="163">
        <v>0</v>
      </c>
      <c r="T37" s="163">
        <v>0</v>
      </c>
      <c r="U37" s="163">
        <v>401233.29</v>
      </c>
      <c r="V37" s="163">
        <v>374351.35</v>
      </c>
      <c r="W37" s="163">
        <v>303530.76</v>
      </c>
      <c r="X37" s="214">
        <v>43437.37</v>
      </c>
      <c r="Y37" s="163">
        <v>0</v>
      </c>
      <c r="Z37" s="163">
        <v>106358.26</v>
      </c>
      <c r="AA37" s="163">
        <v>0</v>
      </c>
      <c r="AB37" s="163">
        <v>55453.58</v>
      </c>
      <c r="AC37" s="163">
        <v>360745.16</v>
      </c>
      <c r="AD37" s="163">
        <v>170483.49</v>
      </c>
      <c r="AE37" s="163">
        <v>758585.98</v>
      </c>
      <c r="AF37" s="163">
        <v>133223.75</v>
      </c>
      <c r="AG37" s="163">
        <v>50209.87</v>
      </c>
      <c r="AH37" s="163">
        <v>140193.79</v>
      </c>
      <c r="AI37" s="163">
        <v>747346.94</v>
      </c>
      <c r="AJ37" s="163">
        <v>4214.92</v>
      </c>
      <c r="AK37" s="163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20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">
      <c r="A38" s="3"/>
      <c r="B38" s="10">
        <v>30</v>
      </c>
      <c r="C38" s="12">
        <v>5135</v>
      </c>
      <c r="D38" s="206">
        <v>29</v>
      </c>
      <c r="E38" s="12" t="s">
        <v>37</v>
      </c>
      <c r="F38" s="101"/>
      <c r="G38" s="101">
        <f t="shared" si="0"/>
        <v>27851.26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3">
        <v>5175915.7300000004</v>
      </c>
      <c r="R38" s="163">
        <v>3409082.31</v>
      </c>
      <c r="S38" s="163">
        <v>60544.41</v>
      </c>
      <c r="T38" s="163">
        <v>0</v>
      </c>
      <c r="U38" s="163">
        <v>360889.88</v>
      </c>
      <c r="V38" s="163">
        <v>579254.32999999996</v>
      </c>
      <c r="W38" s="163">
        <v>442526.91</v>
      </c>
      <c r="X38" s="214">
        <v>64462.51</v>
      </c>
      <c r="Y38" s="163">
        <v>0</v>
      </c>
      <c r="Z38" s="163">
        <v>67171.77</v>
      </c>
      <c r="AA38" s="163">
        <v>12114</v>
      </c>
      <c r="AB38" s="163">
        <v>64818.92</v>
      </c>
      <c r="AC38" s="163">
        <v>504332.59</v>
      </c>
      <c r="AD38" s="163">
        <v>209686.76</v>
      </c>
      <c r="AE38" s="163">
        <v>867897.35</v>
      </c>
      <c r="AF38" s="163">
        <v>76598.14</v>
      </c>
      <c r="AG38" s="163">
        <v>62205.7</v>
      </c>
      <c r="AH38" s="163">
        <v>401440.16</v>
      </c>
      <c r="AI38" s="163">
        <v>166952.15</v>
      </c>
      <c r="AJ38" s="163">
        <v>106773.27</v>
      </c>
      <c r="AK38" s="163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20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">
      <c r="A39" s="3"/>
      <c r="B39" s="10">
        <v>31</v>
      </c>
      <c r="C39" s="12">
        <v>5145</v>
      </c>
      <c r="D39" s="206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3">
        <v>156592.34</v>
      </c>
      <c r="R39" s="163">
        <v>0</v>
      </c>
      <c r="S39" s="163">
        <v>0</v>
      </c>
      <c r="T39" s="163">
        <v>1103.97</v>
      </c>
      <c r="U39" s="163">
        <v>36586.54</v>
      </c>
      <c r="V39" s="163">
        <v>59964.98</v>
      </c>
      <c r="W39" s="163">
        <v>3798.4</v>
      </c>
      <c r="X39" s="214">
        <v>228.91</v>
      </c>
      <c r="Y39" s="163">
        <v>0</v>
      </c>
      <c r="Z39" s="163">
        <v>0</v>
      </c>
      <c r="AA39" s="163">
        <v>0</v>
      </c>
      <c r="AB39" s="163">
        <v>0</v>
      </c>
      <c r="AC39" s="163">
        <v>30605.360000000001</v>
      </c>
      <c r="AD39" s="163">
        <v>2865.32</v>
      </c>
      <c r="AE39" s="163">
        <v>0</v>
      </c>
      <c r="AF39" s="163">
        <v>0</v>
      </c>
      <c r="AG39" s="163">
        <v>0</v>
      </c>
      <c r="AH39" s="163">
        <v>186.82</v>
      </c>
      <c r="AI39" s="163">
        <v>16244.6</v>
      </c>
      <c r="AJ39" s="163">
        <v>312.01</v>
      </c>
      <c r="AK39" s="163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20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">
      <c r="A40" s="3"/>
      <c r="B40" s="10">
        <v>32</v>
      </c>
      <c r="C40" s="12">
        <v>5150</v>
      </c>
      <c r="D40" s="206">
        <v>31</v>
      </c>
      <c r="E40" s="12" t="s">
        <v>39</v>
      </c>
      <c r="F40" s="101"/>
      <c r="G40" s="101">
        <f t="shared" si="0"/>
        <v>20477.97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3">
        <v>11380737.800000001</v>
      </c>
      <c r="R40" s="163">
        <v>0</v>
      </c>
      <c r="S40" s="163">
        <v>0</v>
      </c>
      <c r="T40" s="163">
        <v>15085.98</v>
      </c>
      <c r="U40" s="163">
        <v>97576.55</v>
      </c>
      <c r="V40" s="163">
        <v>577517.44999999995</v>
      </c>
      <c r="W40" s="163">
        <v>37923.089999999997</v>
      </c>
      <c r="X40" s="214">
        <v>5242.05</v>
      </c>
      <c r="Y40" s="163">
        <v>0</v>
      </c>
      <c r="Z40" s="163">
        <v>116660.82</v>
      </c>
      <c r="AA40" s="163">
        <v>8069</v>
      </c>
      <c r="AB40" s="163">
        <v>89246.83</v>
      </c>
      <c r="AC40" s="163">
        <v>606278.74</v>
      </c>
      <c r="AD40" s="163">
        <v>16513.68</v>
      </c>
      <c r="AE40" s="163">
        <v>0</v>
      </c>
      <c r="AF40" s="163">
        <v>19624.150000000001</v>
      </c>
      <c r="AG40" s="163">
        <v>2976.9</v>
      </c>
      <c r="AH40" s="163">
        <v>110177.93</v>
      </c>
      <c r="AI40" s="163">
        <v>86916.28</v>
      </c>
      <c r="AJ40" s="163">
        <v>6768.27</v>
      </c>
      <c r="AK40" s="163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20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">
      <c r="A41" s="3"/>
      <c r="B41" s="10">
        <v>33</v>
      </c>
      <c r="C41" s="12">
        <v>5155</v>
      </c>
      <c r="D41" s="206">
        <v>32</v>
      </c>
      <c r="E41" s="12" t="s">
        <v>40</v>
      </c>
      <c r="F41" s="101"/>
      <c r="G41" s="101">
        <f t="shared" si="0"/>
        <v>58649.7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3">
        <v>1507622.83</v>
      </c>
      <c r="R41" s="163">
        <v>0</v>
      </c>
      <c r="S41" s="163">
        <v>0</v>
      </c>
      <c r="T41" s="163">
        <v>84.33</v>
      </c>
      <c r="U41" s="163">
        <v>180315.76</v>
      </c>
      <c r="V41" s="163">
        <v>389491.95</v>
      </c>
      <c r="W41" s="163">
        <v>53967.63</v>
      </c>
      <c r="X41" s="214">
        <v>174432.28</v>
      </c>
      <c r="Y41" s="163">
        <v>0</v>
      </c>
      <c r="Z41" s="163">
        <v>195519.04</v>
      </c>
      <c r="AA41" s="163">
        <v>1800</v>
      </c>
      <c r="AB41" s="163">
        <v>101913.43</v>
      </c>
      <c r="AC41" s="163">
        <v>132172.64000000001</v>
      </c>
      <c r="AD41" s="163">
        <v>178813.43</v>
      </c>
      <c r="AE41" s="163">
        <v>535918.93999999994</v>
      </c>
      <c r="AF41" s="163">
        <v>200432.45</v>
      </c>
      <c r="AG41" s="163">
        <v>1209.25</v>
      </c>
      <c r="AH41" s="163">
        <v>205894.79</v>
      </c>
      <c r="AI41" s="163">
        <v>84254.28</v>
      </c>
      <c r="AJ41" s="163">
        <v>162.27000000000001</v>
      </c>
      <c r="AK41" s="163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20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">
      <c r="A42" s="3"/>
      <c r="B42" s="10">
        <v>34</v>
      </c>
      <c r="C42" s="12">
        <v>5160</v>
      </c>
      <c r="D42" s="206">
        <v>33</v>
      </c>
      <c r="E42" s="12" t="s">
        <v>41</v>
      </c>
      <c r="F42" s="101"/>
      <c r="G42" s="101">
        <f t="shared" ref="G42:G73" si="1">HLOOKUP($E$3,$P$3:$CE$269,O42,TRUE)</f>
        <v>40319.89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3">
        <v>298426.8</v>
      </c>
      <c r="R42" s="163">
        <v>1069.96</v>
      </c>
      <c r="S42" s="163">
        <v>1025.51</v>
      </c>
      <c r="T42" s="163">
        <v>15174.41</v>
      </c>
      <c r="U42" s="163">
        <v>44802.28</v>
      </c>
      <c r="V42" s="163">
        <v>87540.13</v>
      </c>
      <c r="W42" s="163">
        <v>59803.17</v>
      </c>
      <c r="X42" s="214">
        <v>38968.769999999997</v>
      </c>
      <c r="Y42" s="163">
        <v>0</v>
      </c>
      <c r="Z42" s="163">
        <v>80465.97</v>
      </c>
      <c r="AA42" s="163">
        <v>696.25</v>
      </c>
      <c r="AB42" s="163">
        <v>22731.040000000001</v>
      </c>
      <c r="AC42" s="163">
        <v>140942.12</v>
      </c>
      <c r="AD42" s="163">
        <v>15889.92</v>
      </c>
      <c r="AE42" s="163">
        <v>35196.980000000003</v>
      </c>
      <c r="AF42" s="163">
        <v>69681.64</v>
      </c>
      <c r="AG42" s="163">
        <v>3835.43</v>
      </c>
      <c r="AH42" s="163">
        <v>67098.28</v>
      </c>
      <c r="AI42" s="163">
        <v>13962.88</v>
      </c>
      <c r="AJ42" s="163">
        <v>2320.09</v>
      </c>
      <c r="AK42" s="163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20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">
      <c r="A43" s="3"/>
      <c r="B43" s="10">
        <v>35</v>
      </c>
      <c r="C43" s="12">
        <v>5175</v>
      </c>
      <c r="D43" s="206">
        <v>34</v>
      </c>
      <c r="E43" s="12" t="s">
        <v>42</v>
      </c>
      <c r="F43" s="101"/>
      <c r="G43" s="101">
        <f t="shared" si="1"/>
        <v>53434.49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3">
        <v>1949760.46</v>
      </c>
      <c r="R43" s="163">
        <v>489340.64</v>
      </c>
      <c r="S43" s="163">
        <v>34081.08</v>
      </c>
      <c r="T43" s="163">
        <v>2632.12</v>
      </c>
      <c r="U43" s="163">
        <v>117.16</v>
      </c>
      <c r="V43" s="163">
        <v>452933.53</v>
      </c>
      <c r="W43" s="163">
        <v>515464.25</v>
      </c>
      <c r="X43" s="214">
        <v>14.97</v>
      </c>
      <c r="Y43" s="163">
        <v>0</v>
      </c>
      <c r="Z43" s="163">
        <v>286680.90999999997</v>
      </c>
      <c r="AA43" s="163">
        <v>801.29</v>
      </c>
      <c r="AB43" s="163">
        <v>132405.85</v>
      </c>
      <c r="AC43" s="163">
        <v>0</v>
      </c>
      <c r="AD43" s="163">
        <v>190109.94</v>
      </c>
      <c r="AE43" s="163">
        <v>0</v>
      </c>
      <c r="AF43" s="163">
        <v>158991.60999999999</v>
      </c>
      <c r="AG43" s="163">
        <v>3205.48</v>
      </c>
      <c r="AH43" s="163">
        <v>863.52</v>
      </c>
      <c r="AI43" s="163">
        <v>85555.16</v>
      </c>
      <c r="AJ43" s="163">
        <v>40670.550000000003</v>
      </c>
      <c r="AK43" s="163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20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">
      <c r="A44" s="3"/>
      <c r="B44" s="10">
        <v>36</v>
      </c>
      <c r="C44" s="16"/>
      <c r="D44" s="206"/>
      <c r="E44" s="17" t="s">
        <v>43</v>
      </c>
      <c r="F44" s="102"/>
      <c r="G44" s="101">
        <f t="shared" si="1"/>
        <v>414736.52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3">
        <v>30917840.050000001</v>
      </c>
      <c r="R44" s="163">
        <v>5263561.8999999994</v>
      </c>
      <c r="S44" s="163">
        <v>102931.86</v>
      </c>
      <c r="T44" s="163">
        <v>173897.14</v>
      </c>
      <c r="U44" s="163">
        <v>1610247.52</v>
      </c>
      <c r="V44" s="163">
        <v>5098438.0500000007</v>
      </c>
      <c r="W44" s="163">
        <v>2154314.2699999996</v>
      </c>
      <c r="X44" s="214">
        <v>396811.44999999995</v>
      </c>
      <c r="Y44" s="163">
        <v>0</v>
      </c>
      <c r="Z44" s="163">
        <v>1303847.6599999999</v>
      </c>
      <c r="AA44" s="163">
        <v>46132.18</v>
      </c>
      <c r="AB44" s="163">
        <v>621979.91999999993</v>
      </c>
      <c r="AC44" s="163">
        <v>2541687.9800000004</v>
      </c>
      <c r="AD44" s="163">
        <v>1831710.5299999998</v>
      </c>
      <c r="AE44" s="163">
        <v>2487236.04</v>
      </c>
      <c r="AF44" s="163">
        <v>870049.4</v>
      </c>
      <c r="AG44" s="163">
        <v>285286.68</v>
      </c>
      <c r="AH44" s="163">
        <v>1188216.1400000001</v>
      </c>
      <c r="AI44" s="163">
        <v>1353625.2599999998</v>
      </c>
      <c r="AJ44" s="163">
        <v>324830.30000000005</v>
      </c>
      <c r="AK44" s="163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20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">
      <c r="A45" s="3"/>
      <c r="B45" s="10">
        <v>37</v>
      </c>
      <c r="C45" s="12">
        <v>5305</v>
      </c>
      <c r="D45" s="206">
        <v>35</v>
      </c>
      <c r="E45" s="12" t="s">
        <v>44</v>
      </c>
      <c r="F45" s="101"/>
      <c r="G45" s="101">
        <f t="shared" si="1"/>
        <v>66056.100000000006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3">
        <v>9644889.7300000004</v>
      </c>
      <c r="R45" s="163">
        <v>91708.52</v>
      </c>
      <c r="S45" s="163">
        <v>3044.88</v>
      </c>
      <c r="T45" s="163">
        <v>157280.84</v>
      </c>
      <c r="U45" s="163">
        <v>203941.97</v>
      </c>
      <c r="V45" s="163">
        <v>0</v>
      </c>
      <c r="W45" s="163">
        <v>182918.02</v>
      </c>
      <c r="X45" s="214">
        <v>62336.13</v>
      </c>
      <c r="Y45" s="163">
        <v>0</v>
      </c>
      <c r="Z45" s="163">
        <v>99716.28</v>
      </c>
      <c r="AA45" s="163">
        <v>0</v>
      </c>
      <c r="AB45" s="163">
        <v>119989.52</v>
      </c>
      <c r="AC45" s="163">
        <v>868836.28</v>
      </c>
      <c r="AD45" s="163">
        <v>285627.03999999998</v>
      </c>
      <c r="AE45" s="163">
        <v>0</v>
      </c>
      <c r="AF45" s="163">
        <v>0</v>
      </c>
      <c r="AG45" s="163">
        <v>0</v>
      </c>
      <c r="AH45" s="163">
        <v>192390.89</v>
      </c>
      <c r="AI45" s="163">
        <v>26679.97</v>
      </c>
      <c r="AJ45" s="163">
        <v>24294.6</v>
      </c>
      <c r="AK45" s="163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20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">
      <c r="A46" s="3"/>
      <c r="B46" s="10">
        <v>38</v>
      </c>
      <c r="C46" s="12">
        <v>5310</v>
      </c>
      <c r="D46" s="206">
        <v>36</v>
      </c>
      <c r="E46" s="12" t="s">
        <v>45</v>
      </c>
      <c r="F46" s="101"/>
      <c r="G46" s="101">
        <f t="shared" si="1"/>
        <v>96976.82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3">
        <v>6087079.1299999999</v>
      </c>
      <c r="R46" s="163">
        <v>131602.15</v>
      </c>
      <c r="S46" s="163">
        <v>30322.86</v>
      </c>
      <c r="T46" s="163">
        <v>291163.78999999998</v>
      </c>
      <c r="U46" s="163">
        <v>543874.06999999995</v>
      </c>
      <c r="V46" s="163">
        <v>336201.04</v>
      </c>
      <c r="W46" s="163">
        <v>85960.4</v>
      </c>
      <c r="X46" s="214">
        <v>105052.09</v>
      </c>
      <c r="Y46" s="163">
        <v>41027.29</v>
      </c>
      <c r="Z46" s="163">
        <v>187458.41</v>
      </c>
      <c r="AA46" s="163">
        <v>179.04</v>
      </c>
      <c r="AB46" s="163">
        <v>73635.83</v>
      </c>
      <c r="AC46" s="163">
        <v>372667.66</v>
      </c>
      <c r="AD46" s="163">
        <v>70647.199999999997</v>
      </c>
      <c r="AE46" s="163">
        <v>603240.43000000005</v>
      </c>
      <c r="AF46" s="163">
        <v>0</v>
      </c>
      <c r="AG46" s="163">
        <v>65820.679999999993</v>
      </c>
      <c r="AH46" s="163">
        <v>109149.09</v>
      </c>
      <c r="AI46" s="163">
        <v>250860.13</v>
      </c>
      <c r="AJ46" s="163">
        <v>7718.92</v>
      </c>
      <c r="AK46" s="163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20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">
      <c r="A47" s="3"/>
      <c r="B47" s="10">
        <v>39</v>
      </c>
      <c r="C47" s="12">
        <v>5315</v>
      </c>
      <c r="D47" s="206">
        <v>37</v>
      </c>
      <c r="E47" s="12" t="s">
        <v>46</v>
      </c>
      <c r="F47" s="101"/>
      <c r="G47" s="101">
        <f t="shared" si="1"/>
        <v>313658.23999999999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3">
        <v>11959079.65</v>
      </c>
      <c r="R47" s="163">
        <v>168690.23</v>
      </c>
      <c r="S47" s="163">
        <v>135740.91</v>
      </c>
      <c r="T47" s="163">
        <v>1016774.73</v>
      </c>
      <c r="U47" s="163">
        <v>972261.1</v>
      </c>
      <c r="V47" s="163">
        <v>846308.15</v>
      </c>
      <c r="W47" s="163">
        <v>440537.35</v>
      </c>
      <c r="X47" s="214">
        <v>249547.17</v>
      </c>
      <c r="Y47" s="163">
        <v>80401.11</v>
      </c>
      <c r="Z47" s="163">
        <v>493860.08</v>
      </c>
      <c r="AA47" s="163">
        <v>181308.44</v>
      </c>
      <c r="AB47" s="163">
        <v>247438.75</v>
      </c>
      <c r="AC47" s="163">
        <v>1347173.46</v>
      </c>
      <c r="AD47" s="163">
        <v>1774337.06</v>
      </c>
      <c r="AE47" s="163">
        <v>1389773.54</v>
      </c>
      <c r="AF47" s="163">
        <v>844827.54</v>
      </c>
      <c r="AG47" s="163">
        <v>183805.78</v>
      </c>
      <c r="AH47" s="163">
        <v>597990.51</v>
      </c>
      <c r="AI47" s="163">
        <v>577068.05000000005</v>
      </c>
      <c r="AJ47" s="163">
        <v>191813.23</v>
      </c>
      <c r="AK47" s="163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20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">
      <c r="A48" s="3"/>
      <c r="B48" s="10">
        <v>40</v>
      </c>
      <c r="C48" s="12">
        <v>5320</v>
      </c>
      <c r="D48" s="206">
        <v>38</v>
      </c>
      <c r="E48" s="12" t="s">
        <v>47</v>
      </c>
      <c r="F48" s="101"/>
      <c r="G48" s="101">
        <f t="shared" si="1"/>
        <v>73126.97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3">
        <v>6431170.3899999997</v>
      </c>
      <c r="R48" s="163">
        <v>214197.28</v>
      </c>
      <c r="S48" s="163">
        <v>188.69</v>
      </c>
      <c r="T48" s="163">
        <v>286538.8</v>
      </c>
      <c r="U48" s="163">
        <v>293522.84999999998</v>
      </c>
      <c r="V48" s="163">
        <v>202973.19</v>
      </c>
      <c r="W48" s="163">
        <v>299082.63</v>
      </c>
      <c r="X48" s="214">
        <v>81069.240000000005</v>
      </c>
      <c r="Y48" s="163">
        <v>0</v>
      </c>
      <c r="Z48" s="163">
        <v>115562.44</v>
      </c>
      <c r="AA48" s="163">
        <v>0</v>
      </c>
      <c r="AB48" s="163">
        <v>123217.38</v>
      </c>
      <c r="AC48" s="163">
        <v>278290.24</v>
      </c>
      <c r="AD48" s="163">
        <v>101280.77</v>
      </c>
      <c r="AE48" s="163">
        <v>102366.8</v>
      </c>
      <c r="AF48" s="163">
        <v>126273.31</v>
      </c>
      <c r="AG48" s="163">
        <v>128223.93</v>
      </c>
      <c r="AH48" s="163">
        <v>220272.52</v>
      </c>
      <c r="AI48" s="163">
        <v>154724.6</v>
      </c>
      <c r="AJ48" s="163">
        <v>66541.679999999993</v>
      </c>
      <c r="AK48" s="163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20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">
      <c r="A49" s="3"/>
      <c r="B49" s="10">
        <v>41</v>
      </c>
      <c r="C49" s="12">
        <v>5325</v>
      </c>
      <c r="D49" s="206">
        <v>39</v>
      </c>
      <c r="E49" s="12" t="s">
        <v>48</v>
      </c>
      <c r="F49" s="101"/>
      <c r="G49" s="101">
        <f t="shared" si="1"/>
        <v>-0.99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3">
        <v>578.97</v>
      </c>
      <c r="R49" s="163">
        <v>0</v>
      </c>
      <c r="S49" s="163">
        <v>-2.11</v>
      </c>
      <c r="T49" s="163">
        <v>0</v>
      </c>
      <c r="U49" s="163">
        <v>988.21</v>
      </c>
      <c r="V49" s="163">
        <v>0</v>
      </c>
      <c r="W49" s="163">
        <v>0</v>
      </c>
      <c r="X49" s="214">
        <v>-8.9700000000000006</v>
      </c>
      <c r="Y49" s="163">
        <v>0</v>
      </c>
      <c r="Z49" s="163">
        <v>19.04</v>
      </c>
      <c r="AA49" s="163">
        <v>0</v>
      </c>
      <c r="AB49" s="163">
        <v>-14.89</v>
      </c>
      <c r="AC49" s="163">
        <v>-1.53</v>
      </c>
      <c r="AD49" s="163">
        <v>0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20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">
      <c r="A50" s="3"/>
      <c r="B50" s="10">
        <v>42</v>
      </c>
      <c r="C50" s="12">
        <v>5330</v>
      </c>
      <c r="D50" s="206">
        <v>40</v>
      </c>
      <c r="E50" s="12" t="s">
        <v>49</v>
      </c>
      <c r="F50" s="101"/>
      <c r="G50" s="101">
        <f t="shared" si="1"/>
        <v>0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3">
        <v>-186976.71</v>
      </c>
      <c r="R50" s="163">
        <v>0</v>
      </c>
      <c r="S50" s="163">
        <v>14.37</v>
      </c>
      <c r="T50" s="163">
        <v>0</v>
      </c>
      <c r="U50" s="163">
        <v>0</v>
      </c>
      <c r="V50" s="163">
        <v>123139.03</v>
      </c>
      <c r="W50" s="163">
        <v>0</v>
      </c>
      <c r="X50" s="214">
        <v>0</v>
      </c>
      <c r="Y50" s="163">
        <v>0</v>
      </c>
      <c r="Z50" s="163">
        <v>0</v>
      </c>
      <c r="AA50" s="163">
        <v>2056.65</v>
      </c>
      <c r="AB50" s="163">
        <v>11520.77</v>
      </c>
      <c r="AC50" s="163">
        <v>18214.71</v>
      </c>
      <c r="AD50" s="163">
        <v>0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-803.14</v>
      </c>
      <c r="AK50" s="163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20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">
      <c r="A51" s="3"/>
      <c r="B51" s="10">
        <v>43</v>
      </c>
      <c r="C51" s="12">
        <v>5340</v>
      </c>
      <c r="D51" s="206">
        <v>41</v>
      </c>
      <c r="E51" s="12" t="s">
        <v>50</v>
      </c>
      <c r="F51" s="101"/>
      <c r="G51" s="101">
        <f t="shared" si="1"/>
        <v>5548.02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3">
        <v>9604334.9000000004</v>
      </c>
      <c r="R51" s="163">
        <v>219015.79</v>
      </c>
      <c r="S51" s="163">
        <v>75</v>
      </c>
      <c r="T51" s="163">
        <v>0</v>
      </c>
      <c r="U51" s="163">
        <v>618175.02</v>
      </c>
      <c r="V51" s="163">
        <v>683594.18</v>
      </c>
      <c r="W51" s="163">
        <v>482190.56</v>
      </c>
      <c r="X51" s="214">
        <v>0</v>
      </c>
      <c r="Y51" s="163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4039.43</v>
      </c>
      <c r="AI51" s="163">
        <v>163931.01</v>
      </c>
      <c r="AJ51" s="163">
        <v>0</v>
      </c>
      <c r="AK51" s="163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20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">
      <c r="A52" s="3"/>
      <c r="B52" s="10">
        <v>44</v>
      </c>
      <c r="C52" s="16"/>
      <c r="D52" s="206"/>
      <c r="E52" s="17" t="s">
        <v>51</v>
      </c>
      <c r="F52" s="102"/>
      <c r="G52" s="101">
        <f t="shared" si="1"/>
        <v>555365.16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3">
        <v>43540156.059999995</v>
      </c>
      <c r="R52" s="163">
        <v>825213.97000000009</v>
      </c>
      <c r="S52" s="163">
        <v>169384.6</v>
      </c>
      <c r="T52" s="163">
        <v>1751758.16</v>
      </c>
      <c r="U52" s="163">
        <v>2632763.2199999997</v>
      </c>
      <c r="V52" s="163">
        <v>2192215.59</v>
      </c>
      <c r="W52" s="163">
        <v>1490688.96</v>
      </c>
      <c r="X52" s="214">
        <v>497995.66000000003</v>
      </c>
      <c r="Y52" s="163">
        <v>121428.4</v>
      </c>
      <c r="Z52" s="163">
        <v>896616.25</v>
      </c>
      <c r="AA52" s="163">
        <v>183544.13</v>
      </c>
      <c r="AB52" s="163">
        <v>575787.36</v>
      </c>
      <c r="AC52" s="163">
        <v>2885180.82</v>
      </c>
      <c r="AD52" s="163">
        <v>2231892.0699999998</v>
      </c>
      <c r="AE52" s="163">
        <v>2095380.7700000003</v>
      </c>
      <c r="AF52" s="163">
        <v>971100.85000000009</v>
      </c>
      <c r="AG52" s="163">
        <v>377850.39</v>
      </c>
      <c r="AH52" s="163">
        <v>1123842.44</v>
      </c>
      <c r="AI52" s="163">
        <v>1173263.76</v>
      </c>
      <c r="AJ52" s="163">
        <v>289565.28999999998</v>
      </c>
      <c r="AK52" s="163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20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">
      <c r="A53" s="3"/>
      <c r="B53" s="10">
        <v>45</v>
      </c>
      <c r="C53" s="12">
        <v>5405</v>
      </c>
      <c r="D53" s="206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3">
        <v>1574020.9</v>
      </c>
      <c r="R53" s="163">
        <v>0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214">
        <v>0</v>
      </c>
      <c r="Y53" s="163">
        <v>0</v>
      </c>
      <c r="Z53" s="163">
        <v>0</v>
      </c>
      <c r="AA53" s="163">
        <v>0</v>
      </c>
      <c r="AB53" s="163">
        <v>0</v>
      </c>
      <c r="AC53" s="163">
        <v>2934.53</v>
      </c>
      <c r="AD53" s="163">
        <v>0</v>
      </c>
      <c r="AE53" s="163">
        <v>0</v>
      </c>
      <c r="AF53" s="163">
        <v>0</v>
      </c>
      <c r="AG53" s="163">
        <v>0</v>
      </c>
      <c r="AH53" s="163">
        <v>0</v>
      </c>
      <c r="AI53" s="163">
        <v>975</v>
      </c>
      <c r="AJ53" s="163">
        <v>32537.91</v>
      </c>
      <c r="AK53" s="163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20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">
      <c r="A54" s="3"/>
      <c r="B54" s="10">
        <v>46</v>
      </c>
      <c r="C54" s="12">
        <v>5410</v>
      </c>
      <c r="D54" s="206">
        <v>43</v>
      </c>
      <c r="E54" s="12" t="s">
        <v>53</v>
      </c>
      <c r="F54" s="101"/>
      <c r="G54" s="101">
        <f t="shared" si="1"/>
        <v>0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3">
        <v>1389062.54</v>
      </c>
      <c r="R54" s="163">
        <v>20078.57</v>
      </c>
      <c r="S54" s="163">
        <v>0</v>
      </c>
      <c r="T54" s="163">
        <v>142896.35999999999</v>
      </c>
      <c r="U54" s="163">
        <v>32460.53</v>
      </c>
      <c r="V54" s="163">
        <v>0</v>
      </c>
      <c r="W54" s="163">
        <v>0</v>
      </c>
      <c r="X54" s="214">
        <v>27777.61</v>
      </c>
      <c r="Y54" s="163">
        <v>415</v>
      </c>
      <c r="Z54" s="163">
        <v>1180</v>
      </c>
      <c r="AA54" s="163">
        <v>4443.17</v>
      </c>
      <c r="AB54" s="163">
        <v>3497.13</v>
      </c>
      <c r="AC54" s="163">
        <v>15315.47</v>
      </c>
      <c r="AD54" s="163">
        <v>31049.83</v>
      </c>
      <c r="AE54" s="163">
        <v>132384.85999999999</v>
      </c>
      <c r="AF54" s="163">
        <v>33109.93</v>
      </c>
      <c r="AG54" s="163">
        <v>0</v>
      </c>
      <c r="AH54" s="163">
        <v>13983.86</v>
      </c>
      <c r="AI54" s="163">
        <v>0</v>
      </c>
      <c r="AJ54" s="163">
        <v>13365.82</v>
      </c>
      <c r="AK54" s="163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20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">
      <c r="A55" s="3"/>
      <c r="B55" s="10">
        <v>47</v>
      </c>
      <c r="C55" s="12">
        <v>5420</v>
      </c>
      <c r="D55" s="206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3">
        <v>15300</v>
      </c>
      <c r="R55" s="163">
        <v>4121.22</v>
      </c>
      <c r="S55" s="163">
        <v>0</v>
      </c>
      <c r="T55" s="163">
        <v>142076.87</v>
      </c>
      <c r="U55" s="163">
        <v>6000</v>
      </c>
      <c r="V55" s="163">
        <v>35025.9</v>
      </c>
      <c r="W55" s="163">
        <v>9670</v>
      </c>
      <c r="X55" s="214">
        <v>6960</v>
      </c>
      <c r="Y55" s="163">
        <v>0</v>
      </c>
      <c r="Z55" s="163">
        <v>0</v>
      </c>
      <c r="AA55" s="163">
        <v>0</v>
      </c>
      <c r="AB55" s="163">
        <v>0</v>
      </c>
      <c r="AC55" s="163">
        <v>79461.63</v>
      </c>
      <c r="AD55" s="163">
        <v>0</v>
      </c>
      <c r="AE55" s="163">
        <v>0</v>
      </c>
      <c r="AF55" s="163">
        <v>2610</v>
      </c>
      <c r="AG55" s="163">
        <v>0</v>
      </c>
      <c r="AH55" s="163">
        <v>0</v>
      </c>
      <c r="AI55" s="163">
        <v>12425.15</v>
      </c>
      <c r="AJ55" s="163">
        <v>422.17</v>
      </c>
      <c r="AK55" s="163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20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">
      <c r="A56" s="3"/>
      <c r="B56" s="10">
        <v>48</v>
      </c>
      <c r="C56" s="12">
        <v>5425</v>
      </c>
      <c r="D56" s="206">
        <v>45</v>
      </c>
      <c r="E56" s="12" t="s">
        <v>55</v>
      </c>
      <c r="F56" s="101"/>
      <c r="G56" s="101">
        <f t="shared" si="1"/>
        <v>4161.21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3">
        <v>69861.03</v>
      </c>
      <c r="R56" s="163">
        <v>23352.48</v>
      </c>
      <c r="S56" s="163">
        <v>0</v>
      </c>
      <c r="T56" s="163">
        <v>1269.27</v>
      </c>
      <c r="U56" s="163">
        <v>0</v>
      </c>
      <c r="V56" s="163">
        <v>0</v>
      </c>
      <c r="W56" s="163">
        <v>21450.82</v>
      </c>
      <c r="X56" s="214">
        <v>9571.92</v>
      </c>
      <c r="Y56" s="163">
        <v>0</v>
      </c>
      <c r="Z56" s="163">
        <v>224166.14</v>
      </c>
      <c r="AA56" s="163">
        <v>0</v>
      </c>
      <c r="AB56" s="163">
        <v>0</v>
      </c>
      <c r="AC56" s="163">
        <v>0</v>
      </c>
      <c r="AD56" s="163">
        <v>0</v>
      </c>
      <c r="AE56" s="163">
        <v>0</v>
      </c>
      <c r="AF56" s="163">
        <v>29318.28</v>
      </c>
      <c r="AG56" s="163">
        <v>0</v>
      </c>
      <c r="AH56" s="163">
        <v>0</v>
      </c>
      <c r="AI56" s="163">
        <v>0</v>
      </c>
      <c r="AJ56" s="163">
        <v>22983.81</v>
      </c>
      <c r="AK56" s="163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20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">
      <c r="A57" s="3"/>
      <c r="B57" s="10">
        <v>49</v>
      </c>
      <c r="C57" s="16"/>
      <c r="D57" s="206"/>
      <c r="E57" s="17" t="s">
        <v>56</v>
      </c>
      <c r="F57" s="102"/>
      <c r="G57" s="101">
        <f t="shared" si="1"/>
        <v>4161.21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3">
        <v>3048244.4699999997</v>
      </c>
      <c r="R57" s="163">
        <v>47552.270000000004</v>
      </c>
      <c r="S57" s="163">
        <v>0</v>
      </c>
      <c r="T57" s="163">
        <v>286242.5</v>
      </c>
      <c r="U57" s="163">
        <v>38460.53</v>
      </c>
      <c r="V57" s="163">
        <v>35025.9</v>
      </c>
      <c r="W57" s="163">
        <v>31120.82</v>
      </c>
      <c r="X57" s="214">
        <v>44309.53</v>
      </c>
      <c r="Y57" s="163">
        <v>415</v>
      </c>
      <c r="Z57" s="163">
        <v>225346.14</v>
      </c>
      <c r="AA57" s="163">
        <v>4443.17</v>
      </c>
      <c r="AB57" s="163">
        <v>3497.13</v>
      </c>
      <c r="AC57" s="163">
        <v>97711.63</v>
      </c>
      <c r="AD57" s="163">
        <v>31049.83</v>
      </c>
      <c r="AE57" s="163">
        <v>132384.85999999999</v>
      </c>
      <c r="AF57" s="163">
        <v>65038.21</v>
      </c>
      <c r="AG57" s="163">
        <v>0</v>
      </c>
      <c r="AH57" s="163">
        <v>13983.86</v>
      </c>
      <c r="AI57" s="163">
        <v>13400.15</v>
      </c>
      <c r="AJ57" s="163">
        <v>69309.709999999992</v>
      </c>
      <c r="AK57" s="163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20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">
      <c r="A58" s="3"/>
      <c r="B58" s="10">
        <v>50</v>
      </c>
      <c r="C58" s="12">
        <v>5605</v>
      </c>
      <c r="D58" s="206">
        <v>47</v>
      </c>
      <c r="E58" s="12" t="s">
        <v>57</v>
      </c>
      <c r="F58" s="101"/>
      <c r="G58" s="101">
        <f t="shared" si="1"/>
        <v>129543.25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3">
        <v>8187062.25</v>
      </c>
      <c r="R58" s="163">
        <v>499618.44</v>
      </c>
      <c r="S58" s="163">
        <v>9561.56</v>
      </c>
      <c r="T58" s="163">
        <v>1872247.06</v>
      </c>
      <c r="U58" s="163">
        <v>1089234.6499999999</v>
      </c>
      <c r="V58" s="163">
        <v>1620874.83</v>
      </c>
      <c r="W58" s="163">
        <v>556292.88</v>
      </c>
      <c r="X58" s="214">
        <v>0</v>
      </c>
      <c r="Y58" s="163">
        <v>13100</v>
      </c>
      <c r="Z58" s="163">
        <v>48457.5</v>
      </c>
      <c r="AA58" s="163">
        <v>31818</v>
      </c>
      <c r="AB58" s="163">
        <v>19685.93</v>
      </c>
      <c r="AC58" s="163">
        <v>1823432.83</v>
      </c>
      <c r="AD58" s="163">
        <v>497770.66</v>
      </c>
      <c r="AE58" s="163">
        <v>0</v>
      </c>
      <c r="AF58" s="163">
        <v>94999.94</v>
      </c>
      <c r="AG58" s="163">
        <v>18540</v>
      </c>
      <c r="AH58" s="163">
        <v>384434</v>
      </c>
      <c r="AI58" s="163">
        <v>750264.43</v>
      </c>
      <c r="AJ58" s="163">
        <v>182993.25</v>
      </c>
      <c r="AK58" s="163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20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">
      <c r="A59" s="3"/>
      <c r="B59" s="10">
        <v>51</v>
      </c>
      <c r="C59" s="12">
        <v>5610</v>
      </c>
      <c r="D59" s="206">
        <v>48</v>
      </c>
      <c r="E59" s="12" t="s">
        <v>58</v>
      </c>
      <c r="F59" s="101"/>
      <c r="G59" s="101">
        <f t="shared" si="1"/>
        <v>144141.71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3">
        <v>20461338.629999999</v>
      </c>
      <c r="R59" s="163">
        <v>516285.96</v>
      </c>
      <c r="S59" s="163">
        <v>112791.72</v>
      </c>
      <c r="T59" s="163">
        <v>90273.22</v>
      </c>
      <c r="U59" s="163">
        <v>428233.31</v>
      </c>
      <c r="V59" s="163">
        <v>102792.21</v>
      </c>
      <c r="W59" s="163">
        <v>486166.4</v>
      </c>
      <c r="X59" s="214">
        <v>371686.02</v>
      </c>
      <c r="Y59" s="163">
        <v>109621.63</v>
      </c>
      <c r="Z59" s="163">
        <v>213557.16</v>
      </c>
      <c r="AA59" s="163">
        <v>100454.15</v>
      </c>
      <c r="AB59" s="163">
        <v>385496.84</v>
      </c>
      <c r="AC59" s="163">
        <v>2211518.94</v>
      </c>
      <c r="AD59" s="163">
        <v>1830751.43</v>
      </c>
      <c r="AE59" s="163">
        <v>1476556.59</v>
      </c>
      <c r="AF59" s="163">
        <v>954153.21</v>
      </c>
      <c r="AG59" s="163">
        <v>70935.16</v>
      </c>
      <c r="AH59" s="163">
        <v>1248390.48</v>
      </c>
      <c r="AI59" s="163">
        <v>0</v>
      </c>
      <c r="AJ59" s="163">
        <v>0</v>
      </c>
      <c r="AK59" s="163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20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">
      <c r="A60" s="3"/>
      <c r="B60" s="10">
        <v>52</v>
      </c>
      <c r="C60" s="12">
        <v>5615</v>
      </c>
      <c r="D60" s="206">
        <v>49</v>
      </c>
      <c r="E60" s="12" t="s">
        <v>59</v>
      </c>
      <c r="F60" s="101"/>
      <c r="G60" s="101">
        <f t="shared" si="1"/>
        <v>141823.47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3">
        <v>12882573.6</v>
      </c>
      <c r="R60" s="163">
        <v>1836784.68</v>
      </c>
      <c r="S60" s="163">
        <v>91532.15</v>
      </c>
      <c r="T60" s="163">
        <v>1724518.7</v>
      </c>
      <c r="U60" s="163">
        <v>1229031.46</v>
      </c>
      <c r="V60" s="163">
        <v>2068840.63</v>
      </c>
      <c r="W60" s="163">
        <v>2939549.72</v>
      </c>
      <c r="X60" s="214">
        <v>200093.1</v>
      </c>
      <c r="Y60" s="163">
        <v>14465.42</v>
      </c>
      <c r="Z60" s="163">
        <v>403612.63</v>
      </c>
      <c r="AA60" s="163">
        <v>66111.12</v>
      </c>
      <c r="AB60" s="163">
        <v>73121.64</v>
      </c>
      <c r="AC60" s="163">
        <v>1345885.87</v>
      </c>
      <c r="AD60" s="163">
        <v>99481.57</v>
      </c>
      <c r="AE60" s="163">
        <v>3855780.02</v>
      </c>
      <c r="AF60" s="163">
        <v>147708.19</v>
      </c>
      <c r="AG60" s="163">
        <v>35287.480000000003</v>
      </c>
      <c r="AH60" s="163">
        <v>261136.82</v>
      </c>
      <c r="AI60" s="163">
        <v>508695.66</v>
      </c>
      <c r="AJ60" s="163">
        <v>143833.56</v>
      </c>
      <c r="AK60" s="163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20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">
      <c r="A61" s="3"/>
      <c r="B61" s="10">
        <v>53</v>
      </c>
      <c r="C61" s="12">
        <v>5620</v>
      </c>
      <c r="D61" s="206">
        <v>50</v>
      </c>
      <c r="E61" s="12" t="s">
        <v>60</v>
      </c>
      <c r="F61" s="101"/>
      <c r="G61" s="101">
        <f t="shared" si="1"/>
        <v>25362.04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3">
        <v>2564799.7799999998</v>
      </c>
      <c r="R61" s="163">
        <v>178885.63</v>
      </c>
      <c r="S61" s="163">
        <v>2340.16</v>
      </c>
      <c r="T61" s="163">
        <v>2438.1999999999998</v>
      </c>
      <c r="U61" s="163">
        <v>75543.72</v>
      </c>
      <c r="V61" s="163">
        <v>496167.87</v>
      </c>
      <c r="W61" s="163">
        <v>500120.71</v>
      </c>
      <c r="X61" s="214">
        <v>82122.44</v>
      </c>
      <c r="Y61" s="163">
        <v>19138.13</v>
      </c>
      <c r="Z61" s="163">
        <v>0</v>
      </c>
      <c r="AA61" s="163">
        <v>37011.75</v>
      </c>
      <c r="AB61" s="163">
        <v>82549.14</v>
      </c>
      <c r="AC61" s="163">
        <v>446161.73</v>
      </c>
      <c r="AD61" s="163">
        <v>284683.76</v>
      </c>
      <c r="AE61" s="163">
        <v>676458.2</v>
      </c>
      <c r="AF61" s="163">
        <v>70263.929999999993</v>
      </c>
      <c r="AG61" s="163">
        <v>74115.039999999994</v>
      </c>
      <c r="AH61" s="163">
        <v>239436.24</v>
      </c>
      <c r="AI61" s="163">
        <v>188080.78</v>
      </c>
      <c r="AJ61" s="163">
        <v>24726.57</v>
      </c>
      <c r="AK61" s="163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20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">
      <c r="A62" s="3"/>
      <c r="B62" s="10">
        <v>54</v>
      </c>
      <c r="C62" s="12">
        <v>5625</v>
      </c>
      <c r="D62" s="206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3">
        <v>-8280394.5999999996</v>
      </c>
      <c r="R62" s="163">
        <v>-426471.5</v>
      </c>
      <c r="S62" s="163">
        <v>0</v>
      </c>
      <c r="T62" s="163">
        <v>0</v>
      </c>
      <c r="U62" s="163">
        <v>0</v>
      </c>
      <c r="V62" s="163">
        <v>-312064.87</v>
      </c>
      <c r="W62" s="163">
        <v>-3992070.82</v>
      </c>
      <c r="X62" s="214">
        <v>0</v>
      </c>
      <c r="Y62" s="163">
        <v>0</v>
      </c>
      <c r="Z62" s="163">
        <v>0</v>
      </c>
      <c r="AA62" s="163">
        <v>0</v>
      </c>
      <c r="AB62" s="163">
        <v>0</v>
      </c>
      <c r="AC62" s="163">
        <v>-1200</v>
      </c>
      <c r="AD62" s="163">
        <v>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-5854.2</v>
      </c>
      <c r="AK62" s="163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20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">
      <c r="A63" s="3"/>
      <c r="B63" s="10">
        <v>55</v>
      </c>
      <c r="C63" s="12">
        <v>5630</v>
      </c>
      <c r="D63" s="206">
        <v>52</v>
      </c>
      <c r="E63" s="12" t="s">
        <v>62</v>
      </c>
      <c r="F63" s="101"/>
      <c r="G63" s="101">
        <f t="shared" si="1"/>
        <v>76798.45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3">
        <v>9541615.1999999993</v>
      </c>
      <c r="R63" s="163">
        <v>507228.75</v>
      </c>
      <c r="S63" s="163">
        <v>45998.080000000002</v>
      </c>
      <c r="T63" s="163">
        <v>-2294.77</v>
      </c>
      <c r="U63" s="163">
        <v>410100.53</v>
      </c>
      <c r="V63" s="163">
        <v>412358.98</v>
      </c>
      <c r="W63" s="163">
        <v>605989.76</v>
      </c>
      <c r="X63" s="214">
        <v>52617.62</v>
      </c>
      <c r="Y63" s="163">
        <v>65107.08</v>
      </c>
      <c r="Z63" s="163">
        <v>176031.77</v>
      </c>
      <c r="AA63" s="163">
        <v>43692.15</v>
      </c>
      <c r="AB63" s="163">
        <v>217814.99</v>
      </c>
      <c r="AC63" s="163">
        <v>511061.46</v>
      </c>
      <c r="AD63" s="163">
        <v>316537</v>
      </c>
      <c r="AE63" s="163">
        <v>2302844.63</v>
      </c>
      <c r="AF63" s="163">
        <v>275885.78000000003</v>
      </c>
      <c r="AG63" s="163">
        <v>55633.440000000002</v>
      </c>
      <c r="AH63" s="163">
        <v>91820.04</v>
      </c>
      <c r="AI63" s="163">
        <v>101581.12</v>
      </c>
      <c r="AJ63" s="163">
        <v>68683</v>
      </c>
      <c r="AK63" s="163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20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">
      <c r="A64" s="3"/>
      <c r="B64" s="10">
        <v>56</v>
      </c>
      <c r="C64" s="12">
        <v>5640</v>
      </c>
      <c r="D64" s="206">
        <v>53</v>
      </c>
      <c r="E64" s="12" t="s">
        <v>63</v>
      </c>
      <c r="F64" s="101"/>
      <c r="G64" s="101">
        <f t="shared" si="1"/>
        <v>26986.84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3">
        <v>2483247.61</v>
      </c>
      <c r="R64" s="163">
        <v>0</v>
      </c>
      <c r="S64" s="163">
        <v>0</v>
      </c>
      <c r="T64" s="163">
        <v>0</v>
      </c>
      <c r="U64" s="163">
        <v>0</v>
      </c>
      <c r="V64" s="163">
        <v>148985.25</v>
      </c>
      <c r="W64" s="163">
        <v>195</v>
      </c>
      <c r="X64" s="214">
        <v>39965.440000000002</v>
      </c>
      <c r="Y64" s="163">
        <v>8624.76</v>
      </c>
      <c r="Z64" s="163">
        <v>53262.25</v>
      </c>
      <c r="AA64" s="163">
        <v>3183.6</v>
      </c>
      <c r="AB64" s="163">
        <v>45666.18</v>
      </c>
      <c r="AC64" s="163">
        <v>177777.24</v>
      </c>
      <c r="AD64" s="163">
        <v>49.73</v>
      </c>
      <c r="AE64" s="163">
        <v>267042.5</v>
      </c>
      <c r="AF64" s="163">
        <v>0</v>
      </c>
      <c r="AG64" s="163">
        <v>10058.86</v>
      </c>
      <c r="AH64" s="163">
        <v>48708.72</v>
      </c>
      <c r="AI64" s="163">
        <v>45843.66</v>
      </c>
      <c r="AJ64" s="163">
        <v>0</v>
      </c>
      <c r="AK64" s="163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20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">
      <c r="A65" s="3"/>
      <c r="B65" s="10">
        <v>57</v>
      </c>
      <c r="C65" s="12">
        <v>5645</v>
      </c>
      <c r="D65" s="206">
        <v>54</v>
      </c>
      <c r="E65" s="12" t="s">
        <v>64</v>
      </c>
      <c r="F65" s="101"/>
      <c r="G65" s="101">
        <f t="shared" si="1"/>
        <v>26914.05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3">
        <v>133041.97</v>
      </c>
      <c r="R65" s="163">
        <v>195096.52</v>
      </c>
      <c r="S65" s="163">
        <v>63760.83</v>
      </c>
      <c r="T65" s="163">
        <v>1748310.27</v>
      </c>
      <c r="U65" s="163">
        <v>104826.27</v>
      </c>
      <c r="V65" s="163">
        <v>359958.68</v>
      </c>
      <c r="W65" s="163">
        <v>837380.02</v>
      </c>
      <c r="X65" s="214">
        <v>0</v>
      </c>
      <c r="Y65" s="163">
        <v>83741.91</v>
      </c>
      <c r="Z65" s="163">
        <v>0</v>
      </c>
      <c r="AA65" s="163">
        <v>0</v>
      </c>
      <c r="AB65" s="163">
        <v>-1072.44</v>
      </c>
      <c r="AC65" s="163">
        <v>332957.93</v>
      </c>
      <c r="AD65" s="163">
        <v>106488.57</v>
      </c>
      <c r="AE65" s="163">
        <v>0</v>
      </c>
      <c r="AF65" s="163">
        <v>1049125.18</v>
      </c>
      <c r="AG65" s="163">
        <v>4761.04</v>
      </c>
      <c r="AH65" s="163">
        <v>208694.04</v>
      </c>
      <c r="AI65" s="163">
        <v>104193.71</v>
      </c>
      <c r="AJ65" s="163">
        <v>0</v>
      </c>
      <c r="AK65" s="163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20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">
      <c r="A66" s="3"/>
      <c r="B66" s="10">
        <v>58</v>
      </c>
      <c r="C66" s="12">
        <v>5646</v>
      </c>
      <c r="D66" s="206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3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214">
        <v>19428.46</v>
      </c>
      <c r="Y66" s="163">
        <v>0</v>
      </c>
      <c r="Z66" s="163">
        <v>5487</v>
      </c>
      <c r="AA66" s="163">
        <v>0</v>
      </c>
      <c r="AB66" s="163">
        <v>0</v>
      </c>
      <c r="AC66" s="163">
        <v>0</v>
      </c>
      <c r="AD66" s="163">
        <v>130752.95</v>
      </c>
      <c r="AE66" s="163">
        <v>2893266.83</v>
      </c>
      <c r="AF66" s="163">
        <v>0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20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">
      <c r="A67" s="3"/>
      <c r="B67" s="10">
        <v>59</v>
      </c>
      <c r="C67" s="12">
        <v>5647</v>
      </c>
      <c r="D67" s="206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3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214">
        <v>0</v>
      </c>
      <c r="Y67" s="163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20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">
      <c r="A68" s="3"/>
      <c r="B68" s="10">
        <v>60</v>
      </c>
      <c r="C68" s="12">
        <v>5650</v>
      </c>
      <c r="D68" s="206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3">
        <v>0</v>
      </c>
      <c r="R68" s="163">
        <v>0</v>
      </c>
      <c r="S68" s="163">
        <v>0</v>
      </c>
      <c r="T68" s="163">
        <v>0</v>
      </c>
      <c r="U68" s="163">
        <v>63400</v>
      </c>
      <c r="V68" s="163">
        <v>0</v>
      </c>
      <c r="W68" s="163">
        <v>0</v>
      </c>
      <c r="X68" s="214">
        <v>0</v>
      </c>
      <c r="Y68" s="163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20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">
      <c r="A69" s="3"/>
      <c r="B69" s="10">
        <v>61</v>
      </c>
      <c r="C69" s="12">
        <v>5655</v>
      </c>
      <c r="D69" s="206">
        <v>58</v>
      </c>
      <c r="E69" s="12" t="s">
        <v>68</v>
      </c>
      <c r="F69" s="101"/>
      <c r="G69" s="101">
        <f t="shared" si="1"/>
        <v>46760.52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3">
        <v>4327887.6500000004</v>
      </c>
      <c r="R69" s="163">
        <v>155204.24</v>
      </c>
      <c r="S69" s="163">
        <v>31368.15</v>
      </c>
      <c r="T69" s="163">
        <v>324182.88</v>
      </c>
      <c r="U69" s="163">
        <v>184546.51</v>
      </c>
      <c r="V69" s="163">
        <v>253007.45</v>
      </c>
      <c r="W69" s="163">
        <v>262683.46999999997</v>
      </c>
      <c r="X69" s="214">
        <v>135624.43</v>
      </c>
      <c r="Y69" s="163">
        <v>8392.02</v>
      </c>
      <c r="Z69" s="163">
        <v>150823.12</v>
      </c>
      <c r="AA69" s="163">
        <v>85773.21</v>
      </c>
      <c r="AB69" s="163">
        <v>175654.79</v>
      </c>
      <c r="AC69" s="163">
        <v>661068.05000000005</v>
      </c>
      <c r="AD69" s="163">
        <v>338398.35</v>
      </c>
      <c r="AE69" s="163">
        <v>408675.58</v>
      </c>
      <c r="AF69" s="163">
        <v>63370.69</v>
      </c>
      <c r="AG69" s="163">
        <v>93182.74</v>
      </c>
      <c r="AH69" s="163">
        <v>419617.69</v>
      </c>
      <c r="AI69" s="163">
        <v>111891.35</v>
      </c>
      <c r="AJ69" s="163">
        <v>18391.62</v>
      </c>
      <c r="AK69" s="163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20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">
      <c r="A70" s="3"/>
      <c r="B70" s="10">
        <v>62</v>
      </c>
      <c r="C70" s="12">
        <v>5665</v>
      </c>
      <c r="D70" s="206">
        <v>59</v>
      </c>
      <c r="E70" s="12" t="s">
        <v>69</v>
      </c>
      <c r="F70" s="101"/>
      <c r="G70" s="101">
        <f t="shared" si="1"/>
        <v>66162.850000000006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3">
        <v>35003486.689999998</v>
      </c>
      <c r="R70" s="163">
        <v>70401.06</v>
      </c>
      <c r="S70" s="163">
        <v>24670.17</v>
      </c>
      <c r="T70" s="163">
        <v>910827.27</v>
      </c>
      <c r="U70" s="163">
        <v>10719.25</v>
      </c>
      <c r="V70" s="163">
        <v>751487.47</v>
      </c>
      <c r="W70" s="163">
        <v>385580.74</v>
      </c>
      <c r="X70" s="214">
        <v>88932.91</v>
      </c>
      <c r="Y70" s="163">
        <v>23457.91</v>
      </c>
      <c r="Z70" s="163">
        <v>88115</v>
      </c>
      <c r="AA70" s="163">
        <v>0</v>
      </c>
      <c r="AB70" s="163">
        <v>5555.64</v>
      </c>
      <c r="AC70" s="163">
        <v>1001.26</v>
      </c>
      <c r="AD70" s="163">
        <v>25570.78</v>
      </c>
      <c r="AE70" s="163">
        <v>126136.76</v>
      </c>
      <c r="AF70" s="163">
        <v>762355.11</v>
      </c>
      <c r="AG70" s="163">
        <v>1153.9000000000001</v>
      </c>
      <c r="AH70" s="163">
        <v>115743.77</v>
      </c>
      <c r="AI70" s="163">
        <v>82189.899999999994</v>
      </c>
      <c r="AJ70" s="163">
        <v>72148.990000000005</v>
      </c>
      <c r="AK70" s="163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20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">
      <c r="A71" s="3"/>
      <c r="B71" s="10">
        <v>63</v>
      </c>
      <c r="C71" s="12">
        <v>5670</v>
      </c>
      <c r="D71" s="206">
        <v>60</v>
      </c>
      <c r="E71" s="12" t="s">
        <v>70</v>
      </c>
      <c r="F71" s="101"/>
      <c r="G71" s="101">
        <f t="shared" si="1"/>
        <v>0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3">
        <v>1301033.28</v>
      </c>
      <c r="R71" s="163">
        <v>244882.83</v>
      </c>
      <c r="S71" s="163">
        <v>0</v>
      </c>
      <c r="T71" s="163">
        <v>0</v>
      </c>
      <c r="U71" s="163">
        <v>0</v>
      </c>
      <c r="V71" s="163">
        <v>32621.759999999998</v>
      </c>
      <c r="W71" s="163">
        <v>342502.68</v>
      </c>
      <c r="X71" s="214">
        <v>0</v>
      </c>
      <c r="Y71" s="163">
        <v>0</v>
      </c>
      <c r="Z71" s="163">
        <v>43200</v>
      </c>
      <c r="AA71" s="163">
        <v>15000</v>
      </c>
      <c r="AB71" s="163">
        <v>0</v>
      </c>
      <c r="AC71" s="163">
        <v>36865.129999999997</v>
      </c>
      <c r="AD71" s="163">
        <v>0</v>
      </c>
      <c r="AE71" s="163">
        <v>0</v>
      </c>
      <c r="AF71" s="163">
        <v>239545.67</v>
      </c>
      <c r="AG71" s="163">
        <v>0</v>
      </c>
      <c r="AH71" s="163">
        <v>0</v>
      </c>
      <c r="AI71" s="163">
        <v>0</v>
      </c>
      <c r="AJ71" s="163">
        <v>16680</v>
      </c>
      <c r="AK71" s="163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20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">
      <c r="A72" s="3"/>
      <c r="B72" s="10">
        <v>64</v>
      </c>
      <c r="C72" s="12">
        <v>5672</v>
      </c>
      <c r="D72" s="206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3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214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20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">
      <c r="A73" s="3"/>
      <c r="B73" s="10">
        <v>65</v>
      </c>
      <c r="C73" s="12">
        <v>5675</v>
      </c>
      <c r="D73" s="206">
        <v>62</v>
      </c>
      <c r="E73" s="12" t="s">
        <v>72</v>
      </c>
      <c r="F73" s="101"/>
      <c r="G73" s="101">
        <f t="shared" si="1"/>
        <v>202528.91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3">
        <v>24429102.870000001</v>
      </c>
      <c r="R73" s="163">
        <v>619045.54</v>
      </c>
      <c r="S73" s="163">
        <v>26205.08</v>
      </c>
      <c r="T73" s="163">
        <v>259743.15</v>
      </c>
      <c r="U73" s="163">
        <v>0</v>
      </c>
      <c r="V73" s="163">
        <v>409581.78</v>
      </c>
      <c r="W73" s="163">
        <v>543357.65</v>
      </c>
      <c r="X73" s="214">
        <v>21043.08</v>
      </c>
      <c r="Y73" s="163">
        <v>0</v>
      </c>
      <c r="Z73" s="163">
        <v>2465.86</v>
      </c>
      <c r="AA73" s="163">
        <v>0</v>
      </c>
      <c r="AB73" s="163">
        <v>49981.53</v>
      </c>
      <c r="AC73" s="163">
        <v>1205199.29</v>
      </c>
      <c r="AD73" s="163">
        <v>506892.88</v>
      </c>
      <c r="AE73" s="163">
        <v>2236053.67</v>
      </c>
      <c r="AF73" s="163">
        <v>268897.27</v>
      </c>
      <c r="AG73" s="163">
        <v>0</v>
      </c>
      <c r="AH73" s="163">
        <v>342671.41</v>
      </c>
      <c r="AI73" s="163">
        <v>152746.26999999999</v>
      </c>
      <c r="AJ73" s="163">
        <v>0</v>
      </c>
      <c r="AK73" s="163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20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">
      <c r="A74" s="3"/>
      <c r="B74" s="10">
        <v>66</v>
      </c>
      <c r="C74" s="12">
        <v>5680</v>
      </c>
      <c r="D74" s="206">
        <v>63</v>
      </c>
      <c r="E74" s="12" t="s">
        <v>73</v>
      </c>
      <c r="F74" s="101"/>
      <c r="G74" s="101">
        <f t="shared" ref="G74:G81" si="2">HLOOKUP($E$3,$P$3:$CE$269,O74,TRUE)</f>
        <v>5194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3">
        <v>169850.61</v>
      </c>
      <c r="R74" s="163">
        <v>13790</v>
      </c>
      <c r="S74" s="163">
        <v>0</v>
      </c>
      <c r="T74" s="163">
        <v>816</v>
      </c>
      <c r="U74" s="163">
        <v>17222</v>
      </c>
      <c r="V74" s="163">
        <v>0</v>
      </c>
      <c r="W74" s="163">
        <v>14303.94</v>
      </c>
      <c r="X74" s="214">
        <v>10199.219999999999</v>
      </c>
      <c r="Y74" s="163">
        <v>0</v>
      </c>
      <c r="Z74" s="163">
        <v>7751</v>
      </c>
      <c r="AA74" s="163">
        <v>1898</v>
      </c>
      <c r="AB74" s="163">
        <v>5129</v>
      </c>
      <c r="AC74" s="163">
        <v>0</v>
      </c>
      <c r="AD74" s="163">
        <v>0</v>
      </c>
      <c r="AE74" s="163">
        <v>42011</v>
      </c>
      <c r="AF74" s="163">
        <v>0</v>
      </c>
      <c r="AG74" s="163">
        <v>3017</v>
      </c>
      <c r="AH74" s="163">
        <v>13616</v>
      </c>
      <c r="AI74" s="163">
        <v>11222.04</v>
      </c>
      <c r="AJ74" s="163">
        <v>5416</v>
      </c>
      <c r="AK74" s="163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20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">
      <c r="A75" s="3"/>
      <c r="B75" s="10">
        <v>67</v>
      </c>
      <c r="C75" s="13"/>
      <c r="D75" s="206"/>
      <c r="E75" s="17" t="s">
        <v>74</v>
      </c>
      <c r="F75" s="102"/>
      <c r="G75" s="101">
        <f t="shared" si="2"/>
        <v>892216.09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3">
        <v>113204645.54000001</v>
      </c>
      <c r="R75" s="163">
        <v>4410752.1500000004</v>
      </c>
      <c r="S75" s="163">
        <v>408227.9</v>
      </c>
      <c r="T75" s="163">
        <v>6931061.9800000004</v>
      </c>
      <c r="U75" s="163">
        <v>3612857.7</v>
      </c>
      <c r="V75" s="163">
        <v>6344612.04</v>
      </c>
      <c r="W75" s="163">
        <v>3482052.15</v>
      </c>
      <c r="X75" s="214">
        <v>1021712.72</v>
      </c>
      <c r="Y75" s="163">
        <v>345648.86000000004</v>
      </c>
      <c r="Z75" s="163">
        <v>1192763.2900000003</v>
      </c>
      <c r="AA75" s="163">
        <v>384941.98</v>
      </c>
      <c r="AB75" s="163">
        <v>1059583.2400000002</v>
      </c>
      <c r="AC75" s="163">
        <v>8751729.7300000004</v>
      </c>
      <c r="AD75" s="163">
        <v>4137377.6799999997</v>
      </c>
      <c r="AE75" s="163">
        <v>14284825.780000001</v>
      </c>
      <c r="AF75" s="163">
        <v>3926304.9699999993</v>
      </c>
      <c r="AG75" s="163">
        <v>366684.66</v>
      </c>
      <c r="AH75" s="163">
        <v>3374269.2100000004</v>
      </c>
      <c r="AI75" s="163">
        <v>2056708.9200000002</v>
      </c>
      <c r="AJ75" s="163">
        <v>527018.79</v>
      </c>
      <c r="AK75" s="163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20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">
      <c r="A76" s="3"/>
      <c r="B76" s="10">
        <v>68</v>
      </c>
      <c r="C76" s="12">
        <v>5635</v>
      </c>
      <c r="D76" s="206">
        <v>64</v>
      </c>
      <c r="E76" s="12" t="s">
        <v>75</v>
      </c>
      <c r="F76" s="101"/>
      <c r="G76" s="101">
        <f t="shared" si="2"/>
        <v>29079.75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3">
        <v>593647.94999999995</v>
      </c>
      <c r="R76" s="163">
        <v>40710.120000000003</v>
      </c>
      <c r="S76" s="163">
        <v>7903.94</v>
      </c>
      <c r="T76" s="163">
        <v>166827.32999999999</v>
      </c>
      <c r="U76" s="163">
        <v>128621.73</v>
      </c>
      <c r="V76" s="163">
        <v>25776.86</v>
      </c>
      <c r="W76" s="163">
        <v>48755.56</v>
      </c>
      <c r="X76" s="214">
        <v>5717.52</v>
      </c>
      <c r="Y76" s="163">
        <v>9393</v>
      </c>
      <c r="Z76" s="163">
        <v>15767.24</v>
      </c>
      <c r="AA76" s="163">
        <v>1855.98</v>
      </c>
      <c r="AB76" s="163">
        <v>34524.769999999997</v>
      </c>
      <c r="AC76" s="163">
        <v>27721.31</v>
      </c>
      <c r="AD76" s="163">
        <v>121517.28</v>
      </c>
      <c r="AE76" s="163">
        <v>449339.71</v>
      </c>
      <c r="AF76" s="163">
        <v>28229.07</v>
      </c>
      <c r="AG76" s="163">
        <v>5814.72</v>
      </c>
      <c r="AH76" s="163">
        <v>15641</v>
      </c>
      <c r="AI76" s="163">
        <v>0</v>
      </c>
      <c r="AJ76" s="163">
        <v>14342.83</v>
      </c>
      <c r="AK76" s="163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20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">
      <c r="A77" s="3"/>
      <c r="B77" s="10">
        <v>69</v>
      </c>
      <c r="C77" s="12">
        <v>6210</v>
      </c>
      <c r="D77" s="206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3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214">
        <v>0</v>
      </c>
      <c r="Y77" s="163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20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29079.75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3">
        <v>593647.94999999995</v>
      </c>
      <c r="R78" s="163">
        <v>40710.120000000003</v>
      </c>
      <c r="S78" s="163">
        <v>7903.94</v>
      </c>
      <c r="T78" s="163">
        <v>166827.32999999999</v>
      </c>
      <c r="U78" s="163">
        <v>128621.73</v>
      </c>
      <c r="V78" s="163">
        <v>25776.86</v>
      </c>
      <c r="W78" s="163">
        <v>48755.56</v>
      </c>
      <c r="X78" s="214">
        <v>5717.52</v>
      </c>
      <c r="Y78" s="163">
        <v>9393</v>
      </c>
      <c r="Z78" s="163">
        <v>15767.24</v>
      </c>
      <c r="AA78" s="163">
        <v>1855.98</v>
      </c>
      <c r="AB78" s="163">
        <v>34524.769999999997</v>
      </c>
      <c r="AC78" s="163">
        <v>27721.31</v>
      </c>
      <c r="AD78" s="163">
        <v>121517.28</v>
      </c>
      <c r="AE78" s="163">
        <v>449339.71</v>
      </c>
      <c r="AF78" s="163">
        <v>28229.07</v>
      </c>
      <c r="AG78" s="163">
        <v>5814.72</v>
      </c>
      <c r="AH78" s="163">
        <v>15641</v>
      </c>
      <c r="AI78" s="163">
        <v>0</v>
      </c>
      <c r="AJ78" s="163">
        <v>14342.83</v>
      </c>
      <c r="AK78" s="163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20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">
      <c r="A79" s="3"/>
      <c r="B79" s="10">
        <v>71</v>
      </c>
      <c r="C79" s="20">
        <v>5515</v>
      </c>
      <c r="D79" s="206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214">
        <v>0</v>
      </c>
      <c r="Y79" s="163">
        <v>0</v>
      </c>
      <c r="Z79" s="163">
        <v>0</v>
      </c>
      <c r="AA79" s="163">
        <v>2523.5</v>
      </c>
      <c r="AB79" s="163">
        <v>0</v>
      </c>
      <c r="AC79" s="163">
        <v>0</v>
      </c>
      <c r="AD79" s="163">
        <v>0</v>
      </c>
      <c r="AE79" s="163">
        <v>0</v>
      </c>
      <c r="AF79" s="163">
        <v>5927.31</v>
      </c>
      <c r="AG79" s="163">
        <v>0</v>
      </c>
      <c r="AH79" s="163">
        <v>374.75</v>
      </c>
      <c r="AI79" s="163">
        <v>0</v>
      </c>
      <c r="AJ79" s="163">
        <v>0</v>
      </c>
      <c r="AK79" s="163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20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3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214">
        <v>0</v>
      </c>
      <c r="Y80" s="163">
        <v>0</v>
      </c>
      <c r="Z80" s="163">
        <v>0</v>
      </c>
      <c r="AA80" s="163">
        <v>2523.5</v>
      </c>
      <c r="AB80" s="163">
        <v>0</v>
      </c>
      <c r="AC80" s="163">
        <v>0</v>
      </c>
      <c r="AD80" s="163">
        <v>0</v>
      </c>
      <c r="AE80" s="163">
        <v>0</v>
      </c>
      <c r="AF80" s="163">
        <v>5927.31</v>
      </c>
      <c r="AG80" s="163">
        <v>0</v>
      </c>
      <c r="AH80" s="163">
        <v>374.75</v>
      </c>
      <c r="AI80" s="163">
        <v>0</v>
      </c>
      <c r="AJ80" s="163">
        <v>0</v>
      </c>
      <c r="AK80" s="163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20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2569426.0699999998</v>
      </c>
      <c r="H81" s="3"/>
      <c r="I81" s="3"/>
      <c r="J81" s="3"/>
      <c r="K81" s="3"/>
      <c r="L81" s="3"/>
      <c r="O81" s="111">
        <v>79</v>
      </c>
      <c r="P81" s="111">
        <v>0</v>
      </c>
      <c r="Q81" s="163">
        <v>253569108.88</v>
      </c>
      <c r="R81" s="163">
        <v>11949456.149999997</v>
      </c>
      <c r="S81" s="163">
        <v>1128041</v>
      </c>
      <c r="T81" s="163">
        <v>13245117.450000001</v>
      </c>
      <c r="U81" s="163">
        <v>9500734.7000000011</v>
      </c>
      <c r="V81" s="163">
        <v>17672918.210000001</v>
      </c>
      <c r="W81" s="163">
        <v>8980024.9199999999</v>
      </c>
      <c r="X81" s="214">
        <v>2315796.4899999998</v>
      </c>
      <c r="Y81" s="163">
        <v>714794.32000000007</v>
      </c>
      <c r="Z81" s="163">
        <v>4520386.91</v>
      </c>
      <c r="AA81" s="163">
        <v>657697.46</v>
      </c>
      <c r="AB81" s="163">
        <v>2579956.2600000002</v>
      </c>
      <c r="AC81" s="163">
        <v>17509024.849999998</v>
      </c>
      <c r="AD81" s="163">
        <v>9154168.9899999984</v>
      </c>
      <c r="AE81" s="163">
        <v>26719026.030000001</v>
      </c>
      <c r="AF81" s="163">
        <v>6272618.96</v>
      </c>
      <c r="AG81" s="163">
        <v>1336258.1100000001</v>
      </c>
      <c r="AH81" s="163">
        <v>6826098.6900000004</v>
      </c>
      <c r="AI81" s="163">
        <v>5512158.04</v>
      </c>
      <c r="AJ81" s="163">
        <v>1676210.4600000002</v>
      </c>
      <c r="AK81" s="163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20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4"/>
      <c r="O82" s="111">
        <v>80</v>
      </c>
      <c r="P82" s="111">
        <v>0</v>
      </c>
      <c r="Q82" s="163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214">
        <v>0</v>
      </c>
      <c r="Y82" s="163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20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3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214">
        <v>0</v>
      </c>
      <c r="Y83" s="163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20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12412.63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3">
        <v>309175.32</v>
      </c>
      <c r="R84" s="163">
        <v>0</v>
      </c>
      <c r="S84" s="163">
        <v>0</v>
      </c>
      <c r="T84" s="163">
        <v>0</v>
      </c>
      <c r="U84" s="163">
        <v>10757.64</v>
      </c>
      <c r="V84" s="163">
        <v>0</v>
      </c>
      <c r="W84" s="163">
        <v>0</v>
      </c>
      <c r="X84" s="214">
        <v>0</v>
      </c>
      <c r="Y84" s="163">
        <v>0</v>
      </c>
      <c r="Z84" s="163">
        <v>0</v>
      </c>
      <c r="AA84" s="163">
        <v>0</v>
      </c>
      <c r="AB84" s="163">
        <v>0</v>
      </c>
      <c r="AC84" s="163">
        <v>5791.61</v>
      </c>
      <c r="AD84" s="163">
        <v>0</v>
      </c>
      <c r="AE84" s="163">
        <v>0</v>
      </c>
      <c r="AF84" s="163">
        <v>0</v>
      </c>
      <c r="AG84" s="163">
        <v>0</v>
      </c>
      <c r="AH84" s="163">
        <v>0</v>
      </c>
      <c r="AI84" s="163">
        <v>4103.18</v>
      </c>
      <c r="AJ84" s="163">
        <v>20502.03</v>
      </c>
      <c r="AK84" s="163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20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3">
        <v>635.67999999999995</v>
      </c>
      <c r="R85" s="163">
        <v>0</v>
      </c>
      <c r="S85" s="163">
        <v>0</v>
      </c>
      <c r="T85" s="163">
        <v>0</v>
      </c>
      <c r="U85" s="163">
        <v>90387.72</v>
      </c>
      <c r="V85" s="163">
        <v>0</v>
      </c>
      <c r="W85" s="163">
        <v>0</v>
      </c>
      <c r="X85" s="214">
        <v>0</v>
      </c>
      <c r="Y85" s="163">
        <v>0</v>
      </c>
      <c r="Z85" s="163">
        <v>0</v>
      </c>
      <c r="AA85" s="163">
        <v>0</v>
      </c>
      <c r="AB85" s="163">
        <v>0</v>
      </c>
      <c r="AC85" s="163">
        <v>163528.93</v>
      </c>
      <c r="AD85" s="163">
        <v>0</v>
      </c>
      <c r="AE85" s="163">
        <v>0</v>
      </c>
      <c r="AF85" s="163">
        <v>0</v>
      </c>
      <c r="AG85" s="163">
        <v>0</v>
      </c>
      <c r="AH85" s="163">
        <v>0</v>
      </c>
      <c r="AI85" s="163">
        <v>114239.16</v>
      </c>
      <c r="AJ85" s="163">
        <v>8794.58</v>
      </c>
      <c r="AK85" s="163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20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26549.21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3">
        <v>398872.09</v>
      </c>
      <c r="R86" s="163">
        <v>0</v>
      </c>
      <c r="S86" s="163">
        <v>0</v>
      </c>
      <c r="T86" s="163">
        <v>0</v>
      </c>
      <c r="U86" s="163">
        <v>26686.03</v>
      </c>
      <c r="V86" s="163">
        <v>0</v>
      </c>
      <c r="W86" s="163">
        <v>0</v>
      </c>
      <c r="X86" s="214">
        <v>0</v>
      </c>
      <c r="Y86" s="163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237820.71</v>
      </c>
      <c r="AF86" s="163">
        <v>0</v>
      </c>
      <c r="AG86" s="163">
        <v>0</v>
      </c>
      <c r="AH86" s="163">
        <v>0</v>
      </c>
      <c r="AI86" s="163">
        <v>0</v>
      </c>
      <c r="AJ86" s="163">
        <v>22517.08</v>
      </c>
      <c r="AK86" s="163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20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38961.839999999997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3">
        <v>708683.09000000008</v>
      </c>
      <c r="R87" s="163">
        <v>0</v>
      </c>
      <c r="S87" s="163">
        <v>0</v>
      </c>
      <c r="T87" s="163">
        <v>0</v>
      </c>
      <c r="U87" s="163">
        <v>127831.39</v>
      </c>
      <c r="V87" s="163">
        <v>0</v>
      </c>
      <c r="W87" s="163">
        <v>0</v>
      </c>
      <c r="X87" s="214">
        <v>0</v>
      </c>
      <c r="Y87" s="163">
        <v>0</v>
      </c>
      <c r="Z87" s="163">
        <v>0</v>
      </c>
      <c r="AA87" s="163">
        <v>0</v>
      </c>
      <c r="AB87" s="163">
        <v>0</v>
      </c>
      <c r="AC87" s="163">
        <v>169320.53999999998</v>
      </c>
      <c r="AD87" s="163">
        <v>0</v>
      </c>
      <c r="AE87" s="163">
        <v>237820.71</v>
      </c>
      <c r="AF87" s="163">
        <v>0</v>
      </c>
      <c r="AG87" s="163">
        <v>0</v>
      </c>
      <c r="AH87" s="163">
        <v>0</v>
      </c>
      <c r="AI87" s="163">
        <v>118342.34</v>
      </c>
      <c r="AJ87" s="163">
        <v>51813.69</v>
      </c>
      <c r="AK87" s="163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20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0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3">
        <v>274971.79999999964</v>
      </c>
      <c r="R88" s="163">
        <v>0</v>
      </c>
      <c r="S88" s="163">
        <v>0</v>
      </c>
      <c r="T88" s="163">
        <v>82139.000000000029</v>
      </c>
      <c r="U88" s="163">
        <v>0</v>
      </c>
      <c r="V88" s="163">
        <v>0</v>
      </c>
      <c r="W88" s="163">
        <v>0</v>
      </c>
      <c r="X88" s="214">
        <v>51114.960000000014</v>
      </c>
      <c r="Y88" s="163">
        <v>0</v>
      </c>
      <c r="Z88" s="163">
        <v>43880.29</v>
      </c>
      <c r="AA88" s="163">
        <v>9168.1200000000008</v>
      </c>
      <c r="AB88" s="163">
        <v>21250.63</v>
      </c>
      <c r="AC88" s="163">
        <v>0</v>
      </c>
      <c r="AD88" s="163">
        <v>93019.510000000009</v>
      </c>
      <c r="AE88" s="163">
        <v>0</v>
      </c>
      <c r="AF88" s="163">
        <v>30525.52</v>
      </c>
      <c r="AG88" s="163">
        <v>115921.20850000001</v>
      </c>
      <c r="AH88" s="163">
        <v>77939.210000000021</v>
      </c>
      <c r="AI88" s="163">
        <v>30127.97</v>
      </c>
      <c r="AJ88" s="163">
        <v>0</v>
      </c>
      <c r="AK88" s="163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20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2530464.23</v>
      </c>
      <c r="H89" s="170">
        <f>'Model Inputs'!H31</f>
        <v>2817838.1135195917</v>
      </c>
      <c r="I89" s="171">
        <f>'Model Inputs'!I31</f>
        <v>2912264.6500616958</v>
      </c>
      <c r="J89" s="171">
        <f>'Model Inputs'!J31</f>
        <v>0</v>
      </c>
      <c r="K89" s="171">
        <f>'Model Inputs'!K31</f>
        <v>0</v>
      </c>
      <c r="L89" s="171">
        <f>'Model Inputs'!L31</f>
        <v>0</v>
      </c>
      <c r="M89" s="172">
        <f>'Model Inputs'!M31</f>
        <v>0</v>
      </c>
      <c r="N89" s="58">
        <v>11</v>
      </c>
      <c r="O89" s="111">
        <v>87</v>
      </c>
      <c r="P89" s="111">
        <v>0</v>
      </c>
      <c r="Q89" s="163">
        <v>253135397.59</v>
      </c>
      <c r="R89" s="163">
        <v>11949456.149999997</v>
      </c>
      <c r="S89" s="163">
        <v>1128041</v>
      </c>
      <c r="T89" s="163">
        <v>13327256.450000001</v>
      </c>
      <c r="U89" s="163">
        <v>9372903.3100000005</v>
      </c>
      <c r="V89" s="163">
        <v>17672918.210000001</v>
      </c>
      <c r="W89" s="163">
        <v>8980024.9199999999</v>
      </c>
      <c r="X89" s="214">
        <v>2366911.4499999997</v>
      </c>
      <c r="Y89" s="163">
        <v>714794.32000000007</v>
      </c>
      <c r="Z89" s="163">
        <v>4564267.2</v>
      </c>
      <c r="AA89" s="163">
        <v>666865.57999999996</v>
      </c>
      <c r="AB89" s="163">
        <v>2601206.89</v>
      </c>
      <c r="AC89" s="163">
        <v>17339704.309999999</v>
      </c>
      <c r="AD89" s="163">
        <v>9247188.4999999981</v>
      </c>
      <c r="AE89" s="163">
        <v>26481205.32</v>
      </c>
      <c r="AF89" s="163">
        <v>6303144.4799999995</v>
      </c>
      <c r="AG89" s="163">
        <v>1452179.3185000001</v>
      </c>
      <c r="AH89" s="163">
        <v>6904037.9000000004</v>
      </c>
      <c r="AI89" s="163">
        <v>5423943.6699999999</v>
      </c>
      <c r="AJ89" s="163">
        <v>1624396.7700000003</v>
      </c>
      <c r="AK89" s="163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20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3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214">
        <v>0</v>
      </c>
      <c r="Y90" s="163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20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5" thickBot="1" x14ac:dyDescent="0.25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3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214">
        <v>0</v>
      </c>
      <c r="Y91" s="163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20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1622011.43</v>
      </c>
      <c r="H92" s="170">
        <f>'Model Inputs'!H9</f>
        <v>4701280.4636666672</v>
      </c>
      <c r="I92" s="171">
        <f>'Model Inputs'!I9</f>
        <v>5848590</v>
      </c>
      <c r="J92" s="171">
        <f>'Model Inputs'!J9</f>
        <v>0</v>
      </c>
      <c r="K92" s="171">
        <f>'Model Inputs'!K9</f>
        <v>0</v>
      </c>
      <c r="L92" s="171">
        <f>'Model Inputs'!L9</f>
        <v>0</v>
      </c>
      <c r="M92" s="172">
        <f>'Model Inputs'!M9</f>
        <v>0</v>
      </c>
      <c r="N92" s="58">
        <v>1</v>
      </c>
      <c r="O92" s="111">
        <v>90</v>
      </c>
      <c r="P92" s="111">
        <v>0</v>
      </c>
      <c r="Q92" s="163">
        <v>319754362.11000001</v>
      </c>
      <c r="R92" s="163">
        <v>7472000</v>
      </c>
      <c r="S92" s="163">
        <v>260787</v>
      </c>
      <c r="T92" s="163">
        <v>7707327</v>
      </c>
      <c r="U92" s="163">
        <v>4357574.1900000004</v>
      </c>
      <c r="V92" s="163">
        <v>13264151.289999999</v>
      </c>
      <c r="W92" s="163">
        <v>10493000</v>
      </c>
      <c r="X92" s="214">
        <v>1501988.05</v>
      </c>
      <c r="Y92" s="163">
        <v>56756.160000000003</v>
      </c>
      <c r="Z92" s="163">
        <v>3469137</v>
      </c>
      <c r="AA92" s="163">
        <v>1750905</v>
      </c>
      <c r="AB92" s="163">
        <v>815789.24</v>
      </c>
      <c r="AC92" s="163">
        <v>18873628.719999999</v>
      </c>
      <c r="AD92" s="163">
        <v>10212277.800000001</v>
      </c>
      <c r="AE92" s="163">
        <v>16024514</v>
      </c>
      <c r="AF92" s="163">
        <v>3874526</v>
      </c>
      <c r="AG92" s="163">
        <v>641888.93999999994</v>
      </c>
      <c r="AH92" s="163">
        <v>6373188.5099999998</v>
      </c>
      <c r="AI92" s="163">
        <v>2908328.77</v>
      </c>
      <c r="AJ92" s="163">
        <v>641862.68999999994</v>
      </c>
      <c r="AK92" s="163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20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62902.18</v>
      </c>
      <c r="H93" s="170">
        <f>'Model Inputs'!H10</f>
        <v>165000</v>
      </c>
      <c r="I93" s="171">
        <f>'Model Inputs'!I10</f>
        <v>3310000</v>
      </c>
      <c r="J93" s="171">
        <f>'Model Inputs'!J10</f>
        <v>0</v>
      </c>
      <c r="K93" s="171">
        <f>'Model Inputs'!K10</f>
        <v>0</v>
      </c>
      <c r="L93" s="171">
        <f>'Model Inputs'!L10</f>
        <v>0</v>
      </c>
      <c r="M93" s="172">
        <f>'Model Inputs'!M10</f>
        <v>0</v>
      </c>
      <c r="N93" s="58">
        <v>2</v>
      </c>
      <c r="O93" s="111">
        <v>91</v>
      </c>
      <c r="P93" s="111">
        <v>0</v>
      </c>
      <c r="Q93" s="163">
        <v>31664249.870000001</v>
      </c>
      <c r="R93" s="163">
        <v>0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214">
        <v>0</v>
      </c>
      <c r="Y93" s="163">
        <v>0</v>
      </c>
      <c r="Z93" s="163">
        <v>0</v>
      </c>
      <c r="AA93" s="163">
        <v>1539094</v>
      </c>
      <c r="AB93" s="163">
        <v>0</v>
      </c>
      <c r="AC93" s="163">
        <v>0</v>
      </c>
      <c r="AD93" s="163">
        <v>0</v>
      </c>
      <c r="AE93" s="163">
        <v>1086645</v>
      </c>
      <c r="AF93" s="163">
        <v>0</v>
      </c>
      <c r="AG93" s="163">
        <v>165932.32</v>
      </c>
      <c r="AH93" s="163">
        <v>0</v>
      </c>
      <c r="AI93" s="163">
        <v>0</v>
      </c>
      <c r="AJ93" s="163">
        <v>0</v>
      </c>
      <c r="AK93" s="163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20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3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214">
        <v>0</v>
      </c>
      <c r="Y94" s="163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20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5" thickBot="1" x14ac:dyDescent="0.25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3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214">
        <v>0</v>
      </c>
      <c r="Y95" s="163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20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9377</v>
      </c>
      <c r="H96" s="170">
        <f>'Model Inputs'!H13</f>
        <v>9472.5492188784738</v>
      </c>
      <c r="I96" s="171">
        <f>'Model Inputs'!I13</f>
        <v>9653.0416666666661</v>
      </c>
      <c r="J96" s="171">
        <f>'Model Inputs'!J13</f>
        <v>0</v>
      </c>
      <c r="K96" s="171">
        <f>'Model Inputs'!K13</f>
        <v>0</v>
      </c>
      <c r="L96" s="171">
        <f>'Model Inputs'!L13</f>
        <v>0</v>
      </c>
      <c r="M96" s="172">
        <f>'Model Inputs'!M13</f>
        <v>0</v>
      </c>
      <c r="N96" s="101">
        <v>3</v>
      </c>
      <c r="O96" s="111">
        <v>94</v>
      </c>
      <c r="P96" s="111">
        <v>0</v>
      </c>
      <c r="Q96" s="163">
        <v>982023</v>
      </c>
      <c r="R96" s="163">
        <v>11724</v>
      </c>
      <c r="S96" s="163">
        <v>1637</v>
      </c>
      <c r="T96" s="163">
        <v>36585</v>
      </c>
      <c r="U96" s="163">
        <v>39623</v>
      </c>
      <c r="V96" s="163">
        <v>67122</v>
      </c>
      <c r="W96" s="163">
        <v>29057</v>
      </c>
      <c r="X96" s="214">
        <v>6916</v>
      </c>
      <c r="Y96" s="163">
        <v>1241</v>
      </c>
      <c r="Z96" s="163">
        <v>17172</v>
      </c>
      <c r="AA96" s="163">
        <v>2242</v>
      </c>
      <c r="AB96" s="163">
        <v>12345</v>
      </c>
      <c r="AC96" s="163">
        <v>64726</v>
      </c>
      <c r="AD96" s="163">
        <v>41143</v>
      </c>
      <c r="AE96" s="163">
        <v>88422</v>
      </c>
      <c r="AF96" s="163">
        <v>18952</v>
      </c>
      <c r="AG96" s="163">
        <v>3288</v>
      </c>
      <c r="AH96" s="163">
        <v>29756</v>
      </c>
      <c r="AI96" s="163">
        <v>21108</v>
      </c>
      <c r="AJ96" s="163">
        <v>3748</v>
      </c>
      <c r="AK96" s="163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20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195849659.70000002</v>
      </c>
      <c r="H97" s="170">
        <f>'Model Inputs'!H14</f>
        <v>203154503.62971276</v>
      </c>
      <c r="I97" s="171">
        <f>'Model Inputs'!I14</f>
        <v>223029214.45153823</v>
      </c>
      <c r="J97" s="171">
        <f>'Model Inputs'!J14</f>
        <v>0</v>
      </c>
      <c r="K97" s="171">
        <f>'Model Inputs'!K14</f>
        <v>0</v>
      </c>
      <c r="L97" s="171">
        <f>'Model Inputs'!L14</f>
        <v>0</v>
      </c>
      <c r="M97" s="172">
        <f>'Model Inputs'!M14</f>
        <v>0</v>
      </c>
      <c r="N97" s="101">
        <v>4</v>
      </c>
      <c r="O97" s="111">
        <v>95</v>
      </c>
      <c r="P97" s="111">
        <v>0</v>
      </c>
      <c r="Q97" s="163">
        <v>24226360755</v>
      </c>
      <c r="R97" s="163">
        <v>202481240.72000003</v>
      </c>
      <c r="S97" s="163">
        <v>29155291.82</v>
      </c>
      <c r="T97" s="163">
        <v>970536909</v>
      </c>
      <c r="U97" s="163">
        <v>933023699.69000006</v>
      </c>
      <c r="V97" s="163">
        <v>1544296648</v>
      </c>
      <c r="W97" s="163">
        <v>449467120.70000005</v>
      </c>
      <c r="X97" s="214">
        <v>136491826.69999999</v>
      </c>
      <c r="Y97" s="163">
        <v>24275428</v>
      </c>
      <c r="Z97" s="163">
        <v>289670361.49000001</v>
      </c>
      <c r="AA97" s="163">
        <v>27528706</v>
      </c>
      <c r="AB97" s="163">
        <v>218050999</v>
      </c>
      <c r="AC97" s="163">
        <v>1632222561.6700001</v>
      </c>
      <c r="AD97" s="163">
        <v>878822638.74000013</v>
      </c>
      <c r="AE97" s="163">
        <v>2357005920.04</v>
      </c>
      <c r="AF97" s="163">
        <v>475598345.38999999</v>
      </c>
      <c r="AG97" s="163">
        <v>54029013.310000002</v>
      </c>
      <c r="AH97" s="163">
        <v>486056497.75</v>
      </c>
      <c r="AI97" s="163">
        <v>589356772.60000002</v>
      </c>
      <c r="AJ97" s="163">
        <v>71814133.549999997</v>
      </c>
      <c r="AK97" s="163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20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5" thickBot="1" x14ac:dyDescent="0.25">
      <c r="A98" s="3"/>
      <c r="B98" s="10">
        <v>90</v>
      </c>
      <c r="E98" s="3" t="s">
        <v>91</v>
      </c>
      <c r="F98" s="101"/>
      <c r="G98" s="101">
        <f>HLOOKUP($E$3,$P$3:$CE$269,O98,FALSE)</f>
        <v>39670</v>
      </c>
      <c r="H98" s="170">
        <f>'Model Inputs'!H15</f>
        <v>49690</v>
      </c>
      <c r="I98" s="171">
        <f>'Model Inputs'!I15</f>
        <v>51000</v>
      </c>
      <c r="J98" s="171">
        <f>'Model Inputs'!J15</f>
        <v>0</v>
      </c>
      <c r="K98" s="171">
        <f>'Model Inputs'!K15</f>
        <v>0</v>
      </c>
      <c r="L98" s="171">
        <f>'Model Inputs'!L15</f>
        <v>0</v>
      </c>
      <c r="M98" s="172">
        <f>'Model Inputs'!M15</f>
        <v>0</v>
      </c>
      <c r="N98" s="101">
        <v>5</v>
      </c>
      <c r="O98" s="111">
        <v>96</v>
      </c>
      <c r="P98" s="111">
        <v>0</v>
      </c>
      <c r="Q98" s="163">
        <v>4721254</v>
      </c>
      <c r="R98" s="163">
        <v>41832</v>
      </c>
      <c r="S98" s="163">
        <v>8634</v>
      </c>
      <c r="T98" s="163">
        <v>154393</v>
      </c>
      <c r="U98" s="163">
        <v>172881</v>
      </c>
      <c r="V98" s="163">
        <v>321211</v>
      </c>
      <c r="W98" s="163">
        <v>88875</v>
      </c>
      <c r="X98" s="214">
        <v>24770</v>
      </c>
      <c r="Y98" s="163">
        <v>6489</v>
      </c>
      <c r="Z98" s="163">
        <v>51563</v>
      </c>
      <c r="AA98" s="163">
        <v>6517</v>
      </c>
      <c r="AB98" s="163">
        <v>57221</v>
      </c>
      <c r="AC98" s="163">
        <v>305718</v>
      </c>
      <c r="AD98" s="163">
        <v>173916</v>
      </c>
      <c r="AE98" s="163">
        <v>464200</v>
      </c>
      <c r="AF98" s="163">
        <v>81295</v>
      </c>
      <c r="AG98" s="163">
        <v>11586</v>
      </c>
      <c r="AH98" s="163">
        <v>109252</v>
      </c>
      <c r="AI98" s="163">
        <v>104450</v>
      </c>
      <c r="AJ98" s="163">
        <v>15025</v>
      </c>
      <c r="AK98" s="163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20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5" thickBot="1" x14ac:dyDescent="0.25">
      <c r="A99" s="3"/>
      <c r="B99" s="10">
        <v>91</v>
      </c>
      <c r="E99" s="12" t="s">
        <v>92</v>
      </c>
      <c r="F99" s="101"/>
      <c r="G99" s="101">
        <f>HLOOKUP($E$3,$P$3:$CE$269,O99,FALSE)</f>
        <v>333</v>
      </c>
      <c r="H99" s="170">
        <f>'Model Inputs'!H16</f>
        <v>333</v>
      </c>
      <c r="I99" s="171">
        <f>'Model Inputs'!I16</f>
        <v>333</v>
      </c>
      <c r="J99" s="171">
        <f>'Model Inputs'!J16</f>
        <v>0</v>
      </c>
      <c r="K99" s="171">
        <f>'Model Inputs'!K16</f>
        <v>0</v>
      </c>
      <c r="L99" s="171">
        <f>'Model Inputs'!L16</f>
        <v>0</v>
      </c>
      <c r="M99" s="172">
        <f>'Model Inputs'!M16</f>
        <v>0</v>
      </c>
      <c r="N99" s="101">
        <v>6</v>
      </c>
      <c r="O99" s="111">
        <v>97</v>
      </c>
      <c r="P99" s="111">
        <v>0</v>
      </c>
      <c r="Q99" s="163">
        <v>19779</v>
      </c>
      <c r="R99" s="163">
        <v>1850</v>
      </c>
      <c r="S99" s="163">
        <v>92</v>
      </c>
      <c r="T99" s="163">
        <v>775</v>
      </c>
      <c r="U99" s="163">
        <v>507</v>
      </c>
      <c r="V99" s="163">
        <v>1534</v>
      </c>
      <c r="W99" s="163">
        <v>1027</v>
      </c>
      <c r="X99" s="214">
        <v>156</v>
      </c>
      <c r="Y99" s="163">
        <v>30</v>
      </c>
      <c r="Z99" s="163">
        <v>347</v>
      </c>
      <c r="AA99" s="163">
        <v>36</v>
      </c>
      <c r="AB99" s="163">
        <v>157</v>
      </c>
      <c r="AC99" s="163">
        <v>1487</v>
      </c>
      <c r="AD99" s="163">
        <v>988</v>
      </c>
      <c r="AE99" s="163">
        <v>4777</v>
      </c>
      <c r="AF99" s="163">
        <v>347</v>
      </c>
      <c r="AG99" s="163">
        <v>141</v>
      </c>
      <c r="AH99" s="163">
        <v>455</v>
      </c>
      <c r="AI99" s="163">
        <v>262</v>
      </c>
      <c r="AJ99" s="163">
        <v>81</v>
      </c>
      <c r="AK99" s="163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20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3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214">
        <v>0</v>
      </c>
      <c r="Y100" s="163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20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3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214">
        <v>0</v>
      </c>
      <c r="Y101" s="163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20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1"/>
      <c r="O102" s="111">
        <v>100</v>
      </c>
      <c r="P102" s="111">
        <v>0</v>
      </c>
      <c r="Q102" s="163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214">
        <v>0</v>
      </c>
      <c r="Y102" s="163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20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3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214">
        <v>0</v>
      </c>
      <c r="Y103" s="163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20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3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214">
        <v>0</v>
      </c>
      <c r="Y104" s="163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20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3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214">
        <v>0</v>
      </c>
      <c r="Y105" s="163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20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3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214">
        <v>0</v>
      </c>
      <c r="Y106" s="163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20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2530464.23</v>
      </c>
      <c r="H107" s="29">
        <f t="shared" ref="H107:K107" si="4">H89</f>
        <v>2817838.1135195917</v>
      </c>
      <c r="I107" s="29">
        <f t="shared" si="4"/>
        <v>2912264.6500616958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3">
        <v>253135397.59</v>
      </c>
      <c r="R107" s="163">
        <v>11949456.149999997</v>
      </c>
      <c r="S107" s="163">
        <v>1128041</v>
      </c>
      <c r="T107" s="163">
        <v>13327256.450000001</v>
      </c>
      <c r="U107" s="163">
        <v>9372903.3100000005</v>
      </c>
      <c r="V107" s="163">
        <v>17672918.210000001</v>
      </c>
      <c r="W107" s="163">
        <v>8980024.9199999999</v>
      </c>
      <c r="X107" s="214">
        <v>2366911.4499999997</v>
      </c>
      <c r="Y107" s="163">
        <v>714794.32000000007</v>
      </c>
      <c r="Z107" s="163">
        <v>4564267.2</v>
      </c>
      <c r="AA107" s="163">
        <v>666865.57999999996</v>
      </c>
      <c r="AB107" s="163">
        <v>2601206.89</v>
      </c>
      <c r="AC107" s="163">
        <v>17339704.309999999</v>
      </c>
      <c r="AD107" s="163">
        <v>9247188.4999999981</v>
      </c>
      <c r="AE107" s="163">
        <v>26481205.32</v>
      </c>
      <c r="AF107" s="163">
        <v>6303144.4799999995</v>
      </c>
      <c r="AG107" s="163">
        <v>1452179.3185000001</v>
      </c>
      <c r="AH107" s="163">
        <v>6904037.9000000004</v>
      </c>
      <c r="AI107" s="163">
        <v>5423943.6699999999</v>
      </c>
      <c r="AJ107" s="163">
        <v>1624396.7700000003</v>
      </c>
      <c r="AK107" s="163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20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3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214">
        <v>0</v>
      </c>
      <c r="Y108" s="163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20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5" thickBot="1" x14ac:dyDescent="0.25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214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20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5">
        <f>'Model Inputs'!H22</f>
        <v>5.6656000000000005E-2</v>
      </c>
      <c r="I110" s="186">
        <f>'Model Inputs'!I22</f>
        <v>5.6656000000000005E-2</v>
      </c>
      <c r="J110" s="186">
        <f>'Model Inputs'!J22</f>
        <v>0</v>
      </c>
      <c r="K110" s="186">
        <f>'Model Inputs'!K22</f>
        <v>0</v>
      </c>
      <c r="L110" s="186">
        <f>'Model Inputs'!L22</f>
        <v>0</v>
      </c>
      <c r="M110" s="187">
        <f>'Model Inputs'!M22</f>
        <v>0</v>
      </c>
      <c r="N110" s="101">
        <v>10</v>
      </c>
      <c r="O110" s="111">
        <v>108</v>
      </c>
      <c r="P110" s="111">
        <v>0</v>
      </c>
      <c r="Q110" s="163">
        <v>5.6656000000000005E-2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214">
        <v>5.6656000000000005E-2</v>
      </c>
      <c r="Y110" s="163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20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3">
        <v>4.5900000000000003E-2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214">
        <v>4.5900000000000003E-2</v>
      </c>
      <c r="Y111" s="163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20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8">
        <f>G112*EXP('Model Inputs'!H21)</f>
        <v>171.82062682811159</v>
      </c>
      <c r="I112" s="189">
        <f>H112*EXP('Model Inputs'!I21)</f>
        <v>176.4010206512277</v>
      </c>
      <c r="J112" s="189">
        <f>I112*EXP('Model Inputs'!J21)</f>
        <v>176.4010206512277</v>
      </c>
      <c r="K112" s="189">
        <f>J112*EXP('Model Inputs'!K21)</f>
        <v>176.4010206512277</v>
      </c>
      <c r="L112" s="189">
        <f>K112*EXP('Model Inputs'!L21)</f>
        <v>176.4010206512277</v>
      </c>
      <c r="M112" s="190">
        <f>L112*EXP('Model Inputs'!M21)</f>
        <v>176.4010206512277</v>
      </c>
      <c r="N112" s="101">
        <v>9</v>
      </c>
      <c r="O112" s="111">
        <v>110</v>
      </c>
      <c r="P112" s="111">
        <v>0</v>
      </c>
      <c r="Q112" s="163">
        <v>167.35916660014922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214">
        <v>167.35916660014922</v>
      </c>
      <c r="Y112" s="163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20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8.0968068478913526</v>
      </c>
      <c r="K113" s="29">
        <f t="shared" si="7"/>
        <v>8.0968068478913526</v>
      </c>
      <c r="L113" s="29">
        <f t="shared" si="7"/>
        <v>8.0968068478913526</v>
      </c>
      <c r="M113" s="29">
        <f t="shared" si="7"/>
        <v>8.0968068478913526</v>
      </c>
      <c r="N113" s="174"/>
      <c r="O113" s="111">
        <v>111</v>
      </c>
      <c r="P113" s="111">
        <v>0</v>
      </c>
      <c r="Q113" s="163">
        <v>17.035579942885761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214">
        <v>17.035579942885761</v>
      </c>
      <c r="Y113" s="163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20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1622011.43</v>
      </c>
      <c r="H114" s="191">
        <f>H92</f>
        <v>4701280.4636666672</v>
      </c>
      <c r="I114" s="192">
        <f t="shared" ref="I114:L114" si="8">I92</f>
        <v>5848590</v>
      </c>
      <c r="J114" s="192">
        <f t="shared" si="8"/>
        <v>0</v>
      </c>
      <c r="K114" s="192">
        <f t="shared" si="8"/>
        <v>0</v>
      </c>
      <c r="L114" s="192">
        <f t="shared" si="8"/>
        <v>0</v>
      </c>
      <c r="M114" s="193">
        <f t="shared" ref="M114" si="9">M92</f>
        <v>0</v>
      </c>
      <c r="N114" s="101">
        <v>1</v>
      </c>
      <c r="O114" s="111">
        <v>112</v>
      </c>
      <c r="P114" s="111">
        <v>0</v>
      </c>
      <c r="Q114" s="163">
        <v>319754362.11000001</v>
      </c>
      <c r="R114" s="163">
        <v>7472000</v>
      </c>
      <c r="S114" s="163">
        <v>260787</v>
      </c>
      <c r="T114" s="163">
        <v>7707327</v>
      </c>
      <c r="U114" s="163">
        <v>4357574.1900000004</v>
      </c>
      <c r="V114" s="163">
        <v>13264151.289999999</v>
      </c>
      <c r="W114" s="163">
        <v>10493000</v>
      </c>
      <c r="X114" s="214">
        <v>1501988.05</v>
      </c>
      <c r="Y114" s="163">
        <v>56756.160000000003</v>
      </c>
      <c r="Z114" s="163">
        <v>3469137</v>
      </c>
      <c r="AA114" s="163">
        <v>1750905</v>
      </c>
      <c r="AB114" s="163">
        <v>815789.24</v>
      </c>
      <c r="AC114" s="163">
        <v>18873628.719999999</v>
      </c>
      <c r="AD114" s="163">
        <v>10212277.800000001</v>
      </c>
      <c r="AE114" s="163">
        <v>16024514</v>
      </c>
      <c r="AF114" s="163">
        <v>3874526</v>
      </c>
      <c r="AG114" s="163">
        <v>641888.93999999994</v>
      </c>
      <c r="AH114" s="163">
        <v>6373188.5099999998</v>
      </c>
      <c r="AI114" s="163">
        <v>2908328.77</v>
      </c>
      <c r="AJ114" s="163">
        <v>641862.68999999994</v>
      </c>
      <c r="AK114" s="163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20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62902.18</v>
      </c>
      <c r="H115" s="194">
        <f>H93</f>
        <v>165000</v>
      </c>
      <c r="I115" s="195">
        <f t="shared" ref="I115:L115" si="10">I93</f>
        <v>3310000</v>
      </c>
      <c r="J115" s="195">
        <f t="shared" si="10"/>
        <v>0</v>
      </c>
      <c r="K115" s="195">
        <f t="shared" si="10"/>
        <v>0</v>
      </c>
      <c r="L115" s="195">
        <f t="shared" si="10"/>
        <v>0</v>
      </c>
      <c r="M115" s="196">
        <f t="shared" ref="M115" si="11">M93</f>
        <v>0</v>
      </c>
      <c r="N115" s="101">
        <v>2</v>
      </c>
      <c r="O115" s="111">
        <v>113</v>
      </c>
      <c r="P115" s="111">
        <v>0</v>
      </c>
      <c r="Q115" s="163">
        <v>31664249.870000001</v>
      </c>
      <c r="R115" s="163">
        <v>0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214">
        <v>0</v>
      </c>
      <c r="Y115" s="163">
        <v>0</v>
      </c>
      <c r="Z115" s="163">
        <v>0</v>
      </c>
      <c r="AA115" s="163">
        <v>1539094</v>
      </c>
      <c r="AB115" s="163">
        <v>0</v>
      </c>
      <c r="AC115" s="163">
        <v>0</v>
      </c>
      <c r="AD115" s="163">
        <v>0</v>
      </c>
      <c r="AE115" s="163">
        <v>1086645</v>
      </c>
      <c r="AF115" s="163">
        <v>0</v>
      </c>
      <c r="AG115" s="163">
        <v>165932.32</v>
      </c>
      <c r="AH115" s="163">
        <v>0</v>
      </c>
      <c r="AI115" s="163">
        <v>0</v>
      </c>
      <c r="AJ115" s="163">
        <v>0</v>
      </c>
      <c r="AK115" s="163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20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9315.9477408547864</v>
      </c>
      <c r="H116" s="8">
        <f t="shared" ref="H116:K116" si="12">(H114-H115)/H112</f>
        <v>26401.256632620352</v>
      </c>
      <c r="I116" s="8">
        <f t="shared" si="12"/>
        <v>14391.016506753598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3">
        <v>1721388.3057167609</v>
      </c>
      <c r="R116" s="163">
        <v>44646.493835930334</v>
      </c>
      <c r="S116" s="163">
        <v>1558.2474823328109</v>
      </c>
      <c r="T116" s="163">
        <v>46052.613409662663</v>
      </c>
      <c r="U116" s="163">
        <v>26037.26033370505</v>
      </c>
      <c r="V116" s="163">
        <v>79255.600750512895</v>
      </c>
      <c r="W116" s="163">
        <v>62697.491945987284</v>
      </c>
      <c r="X116" s="214">
        <v>8974.6386798669737</v>
      </c>
      <c r="Y116" s="163">
        <v>339.12788377824893</v>
      </c>
      <c r="Z116" s="163">
        <v>20728.694283524874</v>
      </c>
      <c r="AA116" s="163">
        <v>1265.6074017508352</v>
      </c>
      <c r="AB116" s="163">
        <v>4874.481969362726</v>
      </c>
      <c r="AC116" s="163">
        <v>112773.19972017099</v>
      </c>
      <c r="AD116" s="163">
        <v>61020.128191716838</v>
      </c>
      <c r="AE116" s="163">
        <v>89256.353885229502</v>
      </c>
      <c r="AF116" s="163">
        <v>23150.963754838303</v>
      </c>
      <c r="AG116" s="163">
        <v>2843.9232201552772</v>
      </c>
      <c r="AH116" s="163">
        <v>38080.9049152753</v>
      </c>
      <c r="AI116" s="163">
        <v>17377.768000891843</v>
      </c>
      <c r="AJ116" s="163">
        <v>3835.2407163542102</v>
      </c>
      <c r="AK116" s="163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20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10879.605101285782</v>
      </c>
      <c r="H117" s="25">
        <f t="shared" ref="H117:M117" si="14">H111*G118</f>
        <v>10807.833228441999</v>
      </c>
      <c r="I117" s="25">
        <f t="shared" si="14"/>
        <v>11523.571362693785</v>
      </c>
      <c r="J117" s="25">
        <f t="shared" si="14"/>
        <v>11655.187094806128</v>
      </c>
      <c r="K117" s="25">
        <f t="shared" si="14"/>
        <v>11120.214007154527</v>
      </c>
      <c r="L117" s="25">
        <f t="shared" si="14"/>
        <v>10609.796184226134</v>
      </c>
      <c r="M117" s="25">
        <f t="shared" si="14"/>
        <v>10122.806539370154</v>
      </c>
      <c r="N117" s="175"/>
      <c r="O117" s="111">
        <v>115</v>
      </c>
      <c r="P117" s="111">
        <v>0</v>
      </c>
      <c r="Q117" s="163">
        <v>1085613.0335544827</v>
      </c>
      <c r="R117" s="163">
        <v>34155.032688525833</v>
      </c>
      <c r="S117" s="163">
        <v>1371.595785679134</v>
      </c>
      <c r="T117" s="163">
        <v>31737.860874866568</v>
      </c>
      <c r="U117" s="163">
        <v>28645.648803086508</v>
      </c>
      <c r="V117" s="163">
        <v>61536.135858370588</v>
      </c>
      <c r="W117" s="163">
        <v>35067.698717443411</v>
      </c>
      <c r="X117" s="214">
        <v>6247.4129308958572</v>
      </c>
      <c r="Y117" s="163">
        <v>481.75998700532057</v>
      </c>
      <c r="Z117" s="163">
        <v>10919.075013706739</v>
      </c>
      <c r="AA117" s="163">
        <v>1312.0112517551393</v>
      </c>
      <c r="AB117" s="163">
        <v>6158.0780527720926</v>
      </c>
      <c r="AC117" s="163">
        <v>62659.697478269816</v>
      </c>
      <c r="AD117" s="163">
        <v>35468.154096910133</v>
      </c>
      <c r="AE117" s="163">
        <v>97569.509048575012</v>
      </c>
      <c r="AF117" s="163">
        <v>16867.513329929952</v>
      </c>
      <c r="AG117" s="163">
        <v>1902.7188728532835</v>
      </c>
      <c r="AH117" s="163">
        <v>23913.591002303318</v>
      </c>
      <c r="AI117" s="163">
        <v>20325.688347021063</v>
      </c>
      <c r="AJ117" s="163">
        <v>2271.9192723926485</v>
      </c>
      <c r="AK117" s="163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20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235464.77621877991</v>
      </c>
      <c r="H118" s="25">
        <f t="shared" ref="H118:M118" si="15">G118+H116-H117</f>
        <v>251058.19962295826</v>
      </c>
      <c r="I118" s="25">
        <f t="shared" si="15"/>
        <v>253925.64476701804</v>
      </c>
      <c r="J118" s="25">
        <f t="shared" si="15"/>
        <v>242270.45767221189</v>
      </c>
      <c r="K118" s="25">
        <f t="shared" si="15"/>
        <v>231150.24366505738</v>
      </c>
      <c r="L118" s="25">
        <f t="shared" si="15"/>
        <v>220540.44748083124</v>
      </c>
      <c r="M118" s="25">
        <f t="shared" si="15"/>
        <v>210417.64094146108</v>
      </c>
      <c r="N118" s="175"/>
      <c r="O118" s="111">
        <v>116</v>
      </c>
      <c r="P118" s="111">
        <v>0</v>
      </c>
      <c r="Q118" s="163">
        <v>24287475.349601988</v>
      </c>
      <c r="R118" s="163">
        <v>754609.82037454681</v>
      </c>
      <c r="S118" s="163">
        <v>30068.912822560735</v>
      </c>
      <c r="T118" s="163">
        <v>705771.4164752441</v>
      </c>
      <c r="U118" s="163">
        <v>621479.82074818946</v>
      </c>
      <c r="V118" s="163">
        <v>1358376.0195407388</v>
      </c>
      <c r="W118" s="163">
        <v>791631.94393537205</v>
      </c>
      <c r="X118" s="214">
        <v>138836.43992970872</v>
      </c>
      <c r="Y118" s="163">
        <v>10353.228180113245</v>
      </c>
      <c r="Z118" s="163">
        <v>247697.9637950194</v>
      </c>
      <c r="AA118" s="163">
        <v>28537.719281915939</v>
      </c>
      <c r="AB118" s="163">
        <v>132879.32445628764</v>
      </c>
      <c r="AC118" s="163">
        <v>1415248.5235549689</v>
      </c>
      <c r="AD118" s="163">
        <v>798278.64287280513</v>
      </c>
      <c r="AE118" s="163">
        <v>2117384.2097293562</v>
      </c>
      <c r="AF118" s="163">
        <v>373767.40096804447</v>
      </c>
      <c r="AG118" s="163">
        <v>42394.77456197048</v>
      </c>
      <c r="AH118" s="163">
        <v>535160.58193700935</v>
      </c>
      <c r="AI118" s="163">
        <v>439877.53383733617</v>
      </c>
      <c r="AJ118" s="163">
        <v>51060.473347940831</v>
      </c>
      <c r="AK118" s="163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20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4011279.019008731</v>
      </c>
      <c r="H119" s="25">
        <f t="shared" ref="H119:K119" si="16">H113*H118</f>
        <v>4360496.234563739</v>
      </c>
      <c r="I119" s="25">
        <f t="shared" si="16"/>
        <v>4527869.1119187502</v>
      </c>
      <c r="J119" s="25">
        <f t="shared" si="16"/>
        <v>1961617.1007221374</v>
      </c>
      <c r="K119" s="25">
        <f t="shared" si="16"/>
        <v>1871578.8757989914</v>
      </c>
      <c r="L119" s="25">
        <f t="shared" ref="L119:M119" si="17">L113*L118</f>
        <v>1785673.4053998175</v>
      </c>
      <c r="M119" s="25">
        <f t="shared" si="17"/>
        <v>1703710.9960919661</v>
      </c>
      <c r="N119" s="175"/>
      <c r="O119" s="111">
        <v>117</v>
      </c>
      <c r="P119" s="111">
        <v>0</v>
      </c>
      <c r="Q119" s="163">
        <v>413751227.92901194</v>
      </c>
      <c r="R119" s="163">
        <v>12855215.920677256</v>
      </c>
      <c r="S119" s="163">
        <v>512241.36818439612</v>
      </c>
      <c r="T119" s="163">
        <v>12023225.386767741</v>
      </c>
      <c r="U119" s="163">
        <v>10587269.169246094</v>
      </c>
      <c r="V119" s="163">
        <v>23140723.273385204</v>
      </c>
      <c r="W119" s="163">
        <v>13485909.26625309</v>
      </c>
      <c r="X119" s="214">
        <v>2365159.2714082096</v>
      </c>
      <c r="Y119" s="163">
        <v>176373.24632925683</v>
      </c>
      <c r="Z119" s="163">
        <v>4219678.4639200754</v>
      </c>
      <c r="AA119" s="163">
        <v>486156.59821471141</v>
      </c>
      <c r="AB119" s="163">
        <v>2263676.3545317431</v>
      </c>
      <c r="AC119" s="163">
        <v>24109579.362071715</v>
      </c>
      <c r="AD119" s="163">
        <v>13599139.637358025</v>
      </c>
      <c r="AE119" s="163">
        <v>36070867.974648438</v>
      </c>
      <c r="AF119" s="163">
        <v>6367344.439235758</v>
      </c>
      <c r="AG119" s="163">
        <v>722219.57121106773</v>
      </c>
      <c r="AH119" s="163">
        <v>9116770.8758691885</v>
      </c>
      <c r="AI119" s="163">
        <v>7493568.8927653767</v>
      </c>
      <c r="AJ119" s="163">
        <v>869844.77564043377</v>
      </c>
      <c r="AK119" s="163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20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3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214">
        <v>0</v>
      </c>
      <c r="Y120" s="163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20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6541743.249008731</v>
      </c>
      <c r="H121" s="25">
        <f t="shared" ref="H121:K121" si="18">H107+H119</f>
        <v>7178334.3480833303</v>
      </c>
      <c r="I121" s="25">
        <f t="shared" si="18"/>
        <v>7440133.7619804461</v>
      </c>
      <c r="J121" s="25">
        <f t="shared" si="18"/>
        <v>1961617.1007221374</v>
      </c>
      <c r="K121" s="25">
        <f t="shared" si="18"/>
        <v>1871578.8757989914</v>
      </c>
      <c r="L121" s="25">
        <f t="shared" ref="L121:M121" si="19">L107+L119</f>
        <v>1785673.4053998175</v>
      </c>
      <c r="M121" s="25">
        <f t="shared" si="19"/>
        <v>1703710.9960919661</v>
      </c>
      <c r="N121" s="175"/>
      <c r="O121" s="111">
        <v>119</v>
      </c>
      <c r="P121" s="111">
        <v>0</v>
      </c>
      <c r="Q121" s="163">
        <v>666886625.51901197</v>
      </c>
      <c r="R121" s="163">
        <v>24804672.070677251</v>
      </c>
      <c r="S121" s="163">
        <v>1640282.3681843961</v>
      </c>
      <c r="T121" s="163">
        <v>25350481.836767741</v>
      </c>
      <c r="U121" s="163">
        <v>19960172.479246095</v>
      </c>
      <c r="V121" s="163">
        <v>40813641.483385205</v>
      </c>
      <c r="W121" s="163">
        <v>22465934.186253089</v>
      </c>
      <c r="X121" s="214">
        <v>4732070.7214082088</v>
      </c>
      <c r="Y121" s="163">
        <v>891167.56632925686</v>
      </c>
      <c r="Z121" s="163">
        <v>8783945.6639200747</v>
      </c>
      <c r="AA121" s="163">
        <v>1153022.1782147114</v>
      </c>
      <c r="AB121" s="163">
        <v>4864883.2445317432</v>
      </c>
      <c r="AC121" s="163">
        <v>41449283.67207171</v>
      </c>
      <c r="AD121" s="163">
        <v>22846328.137358025</v>
      </c>
      <c r="AE121" s="163">
        <v>62552073.294648439</v>
      </c>
      <c r="AF121" s="163">
        <v>12670488.919235758</v>
      </c>
      <c r="AG121" s="163">
        <v>2174398.889711068</v>
      </c>
      <c r="AH121" s="163">
        <v>16020808.775869189</v>
      </c>
      <c r="AI121" s="163">
        <v>12917512.562765377</v>
      </c>
      <c r="AJ121" s="163">
        <v>2494241.5456404341</v>
      </c>
      <c r="AK121" s="163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20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">
      <c r="A122" s="3"/>
      <c r="B122" s="3"/>
      <c r="C122" s="3"/>
      <c r="D122" s="3"/>
      <c r="E122" s="3"/>
      <c r="O122" s="111">
        <v>120</v>
      </c>
      <c r="P122" s="111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214">
        <v>0</v>
      </c>
      <c r="Y122" s="163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20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1"/>
      <c r="O123" s="111">
        <v>121</v>
      </c>
      <c r="P123" s="111">
        <v>0</v>
      </c>
      <c r="Q123" s="163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214">
        <v>0</v>
      </c>
      <c r="Y123" s="163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20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5" thickTop="1" x14ac:dyDescent="0.2">
      <c r="A124" s="3"/>
      <c r="B124" s="3"/>
      <c r="C124" s="3"/>
      <c r="D124" s="3"/>
      <c r="E124" s="3"/>
      <c r="O124" s="111">
        <v>122</v>
      </c>
      <c r="P124" s="111">
        <v>0</v>
      </c>
      <c r="Q124" s="163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214">
        <v>0</v>
      </c>
      <c r="Y124" s="163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20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3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214">
        <v>0</v>
      </c>
      <c r="Y125" s="163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20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3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214">
        <v>0</v>
      </c>
      <c r="Y126" s="163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20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3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214">
        <v>0</v>
      </c>
      <c r="Y127" s="163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20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9377</v>
      </c>
      <c r="H128" s="8">
        <f t="shared" ref="H128:K130" si="20">H96</f>
        <v>9472.5492188784738</v>
      </c>
      <c r="I128" s="8">
        <f t="shared" si="20"/>
        <v>9653.0416666666661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3">
        <v>982023</v>
      </c>
      <c r="R128" s="163">
        <v>11724</v>
      </c>
      <c r="S128" s="163">
        <v>1637</v>
      </c>
      <c r="T128" s="163">
        <v>36585</v>
      </c>
      <c r="U128" s="163">
        <v>39623</v>
      </c>
      <c r="V128" s="163">
        <v>67122</v>
      </c>
      <c r="W128" s="163">
        <v>29057</v>
      </c>
      <c r="X128" s="214">
        <v>6916</v>
      </c>
      <c r="Y128" s="163">
        <v>1241</v>
      </c>
      <c r="Z128" s="163">
        <v>17172</v>
      </c>
      <c r="AA128" s="163">
        <v>2242</v>
      </c>
      <c r="AB128" s="163">
        <v>12345</v>
      </c>
      <c r="AC128" s="163">
        <v>64726</v>
      </c>
      <c r="AD128" s="163">
        <v>41143</v>
      </c>
      <c r="AE128" s="163">
        <v>88422</v>
      </c>
      <c r="AF128" s="163">
        <v>18952</v>
      </c>
      <c r="AG128" s="163">
        <v>3288</v>
      </c>
      <c r="AH128" s="163">
        <v>29756</v>
      </c>
      <c r="AI128" s="163">
        <v>21108</v>
      </c>
      <c r="AJ128" s="163">
        <v>3748</v>
      </c>
      <c r="AK128" s="163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20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195849659.70000002</v>
      </c>
      <c r="H129" s="39">
        <f t="shared" si="20"/>
        <v>203154503.62971276</v>
      </c>
      <c r="I129" s="39">
        <f t="shared" si="20"/>
        <v>223029214.45153823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6"/>
      <c r="O129" s="111">
        <v>127</v>
      </c>
      <c r="P129" s="111">
        <v>0</v>
      </c>
      <c r="Q129" s="163">
        <v>24226360755</v>
      </c>
      <c r="R129" s="163">
        <v>202481240.72000003</v>
      </c>
      <c r="S129" s="163">
        <v>29155291.82</v>
      </c>
      <c r="T129" s="163">
        <v>970536909</v>
      </c>
      <c r="U129" s="163">
        <v>933023699.69000006</v>
      </c>
      <c r="V129" s="163">
        <v>1544296648</v>
      </c>
      <c r="W129" s="163">
        <v>449467120.70000005</v>
      </c>
      <c r="X129" s="214">
        <v>136491826.69999999</v>
      </c>
      <c r="Y129" s="163">
        <v>24275428</v>
      </c>
      <c r="Z129" s="163">
        <v>289670361.49000001</v>
      </c>
      <c r="AA129" s="163">
        <v>27528706</v>
      </c>
      <c r="AB129" s="163">
        <v>218050999</v>
      </c>
      <c r="AC129" s="163">
        <v>1632222561.6700001</v>
      </c>
      <c r="AD129" s="163">
        <v>878822638.74000013</v>
      </c>
      <c r="AE129" s="163">
        <v>2357005920.04</v>
      </c>
      <c r="AF129" s="163">
        <v>475598345.38999999</v>
      </c>
      <c r="AG129" s="163">
        <v>54029013.310000002</v>
      </c>
      <c r="AH129" s="163">
        <v>486056497.75</v>
      </c>
      <c r="AI129" s="163">
        <v>589356772.60000002</v>
      </c>
      <c r="AJ129" s="163">
        <v>71814133.549999997</v>
      </c>
      <c r="AK129" s="163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20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39670</v>
      </c>
      <c r="H130" s="8">
        <f t="shared" si="20"/>
        <v>49690</v>
      </c>
      <c r="I130" s="8">
        <f t="shared" si="20"/>
        <v>51000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3">
        <v>4721254</v>
      </c>
      <c r="R130" s="163">
        <v>41832</v>
      </c>
      <c r="S130" s="163">
        <v>8634</v>
      </c>
      <c r="T130" s="163">
        <v>154393</v>
      </c>
      <c r="U130" s="163">
        <v>172881</v>
      </c>
      <c r="V130" s="163">
        <v>321211</v>
      </c>
      <c r="W130" s="163">
        <v>88875</v>
      </c>
      <c r="X130" s="214">
        <v>24770</v>
      </c>
      <c r="Y130" s="163">
        <v>6489</v>
      </c>
      <c r="Z130" s="163">
        <v>51563</v>
      </c>
      <c r="AA130" s="163">
        <v>6517</v>
      </c>
      <c r="AB130" s="163">
        <v>57221</v>
      </c>
      <c r="AC130" s="163">
        <v>305718</v>
      </c>
      <c r="AD130" s="163">
        <v>173916</v>
      </c>
      <c r="AE130" s="163">
        <v>464200</v>
      </c>
      <c r="AF130" s="163">
        <v>81295</v>
      </c>
      <c r="AG130" s="163">
        <v>11586</v>
      </c>
      <c r="AH130" s="163">
        <v>109252</v>
      </c>
      <c r="AI130" s="163">
        <v>104450</v>
      </c>
      <c r="AJ130" s="163">
        <v>15025</v>
      </c>
      <c r="AK130" s="163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20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45910</v>
      </c>
      <c r="H131" s="8">
        <f t="shared" ref="H131:M131" si="24">MAX(G131,H130)</f>
        <v>49690</v>
      </c>
      <c r="I131" s="8">
        <f t="shared" si="24"/>
        <v>51000</v>
      </c>
      <c r="J131" s="8">
        <f t="shared" si="24"/>
        <v>51000</v>
      </c>
      <c r="K131" s="8">
        <f t="shared" si="24"/>
        <v>51000</v>
      </c>
      <c r="L131" s="8">
        <f t="shared" si="24"/>
        <v>51000</v>
      </c>
      <c r="M131" s="8">
        <f t="shared" si="24"/>
        <v>51000</v>
      </c>
      <c r="N131" s="101"/>
      <c r="O131" s="111">
        <v>129</v>
      </c>
      <c r="P131" s="111">
        <v>0</v>
      </c>
      <c r="Q131" s="163">
        <v>5811998.2599999998</v>
      </c>
      <c r="R131" s="163">
        <v>47365</v>
      </c>
      <c r="S131" s="163">
        <v>8722</v>
      </c>
      <c r="T131" s="163">
        <v>219364</v>
      </c>
      <c r="U131" s="163">
        <v>197591</v>
      </c>
      <c r="V131" s="163">
        <v>379690</v>
      </c>
      <c r="W131" s="163">
        <v>116948</v>
      </c>
      <c r="X131" s="214">
        <v>39945</v>
      </c>
      <c r="Y131" s="163">
        <v>8879</v>
      </c>
      <c r="Z131" s="163">
        <v>70523</v>
      </c>
      <c r="AA131" s="163">
        <v>7251</v>
      </c>
      <c r="AB131" s="163">
        <v>64272</v>
      </c>
      <c r="AC131" s="163">
        <v>382435</v>
      </c>
      <c r="AD131" s="163">
        <v>236974</v>
      </c>
      <c r="AE131" s="163">
        <v>656700</v>
      </c>
      <c r="AF131" s="163">
        <v>108683</v>
      </c>
      <c r="AG131" s="163">
        <v>15590</v>
      </c>
      <c r="AH131" s="163">
        <v>143420</v>
      </c>
      <c r="AI131" s="163">
        <v>111673</v>
      </c>
      <c r="AJ131" s="163">
        <v>18859</v>
      </c>
      <c r="AK131" s="163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20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3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214">
        <v>0</v>
      </c>
      <c r="Y132" s="163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20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3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214">
        <v>0</v>
      </c>
      <c r="Y133" s="163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20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7">
        <f>G134*EXP('Model Inputs'!H21)</f>
        <v>121.5819733420026</v>
      </c>
      <c r="I134" s="198">
        <f>H134*EXP('Model Inputs'!I21)</f>
        <v>124.82310527114572</v>
      </c>
      <c r="J134" s="198">
        <f>I134*EXP('Model Inputs'!J21)</f>
        <v>124.82310527114572</v>
      </c>
      <c r="K134" s="198">
        <f>J134*EXP('Model Inputs'!K21)</f>
        <v>124.82310527114572</v>
      </c>
      <c r="L134" s="198">
        <f>K134*EXP('Model Inputs'!L21)</f>
        <v>124.82310527114572</v>
      </c>
      <c r="M134" s="199">
        <f>L134*EXP('Model Inputs'!M21)</f>
        <v>124.82310527114572</v>
      </c>
      <c r="N134" s="204">
        <v>9</v>
      </c>
      <c r="O134" s="111">
        <v>132</v>
      </c>
      <c r="P134" s="111">
        <v>0</v>
      </c>
      <c r="Q134" s="163">
        <v>118.425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214">
        <v>118.425</v>
      </c>
      <c r="Y134" s="163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20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5" thickBot="1" x14ac:dyDescent="0.25">
      <c r="A135" s="3"/>
      <c r="B135" s="10">
        <v>121</v>
      </c>
      <c r="C135" s="3"/>
      <c r="D135" s="3"/>
      <c r="E135" s="37" t="s">
        <v>266</v>
      </c>
      <c r="F135" s="41">
        <v>962.94</v>
      </c>
      <c r="G135" s="41">
        <f>HLOOKUP($E$3,$P$3:$CE$269,O135,FALSE)</f>
        <v>992.55</v>
      </c>
      <c r="H135" s="200">
        <f>G135*EXP('Model Inputs'!H20)</f>
        <v>1023.0704950464202</v>
      </c>
      <c r="I135" s="201">
        <f>H135*EXP('Model Inputs'!I20)</f>
        <v>1054.529482478996</v>
      </c>
      <c r="J135" s="201">
        <f>I135*EXP('Model Inputs'!J20)</f>
        <v>1054.529482478996</v>
      </c>
      <c r="K135" s="201">
        <f>J135*EXP('Model Inputs'!K20)</f>
        <v>1054.529482478996</v>
      </c>
      <c r="L135" s="201">
        <f>K135*EXP('Model Inputs'!L20)</f>
        <v>1054.529482478996</v>
      </c>
      <c r="M135" s="202">
        <f>L135*EXP('Model Inputs'!M20)</f>
        <v>1054.529482478996</v>
      </c>
      <c r="N135" s="204">
        <v>8</v>
      </c>
      <c r="O135" s="111">
        <v>133</v>
      </c>
      <c r="P135" s="111">
        <v>0</v>
      </c>
      <c r="Q135" s="163">
        <v>992.55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214">
        <v>992.55</v>
      </c>
      <c r="Y135" s="163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20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2.9093058452556646E-2</v>
      </c>
      <c r="I136" s="40">
        <f t="shared" ref="I136:M136" si="25">LN(I134/H134)*0.3+LN(I135/H135)*0.7</f>
        <v>2.9093058452556646E-2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7"/>
      <c r="O136" s="111">
        <v>134</v>
      </c>
      <c r="P136" s="111">
        <v>0</v>
      </c>
      <c r="Q136" s="163">
        <v>1.7466782425851788E-2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214">
        <v>1.7466782425851788E-2</v>
      </c>
      <c r="Y136" s="163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20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122.20389238769019</v>
      </c>
      <c r="H137" s="29">
        <f t="shared" ref="H137:M137" si="26">G137*EXP(H136)</f>
        <v>125.81139963390576</v>
      </c>
      <c r="I137" s="29">
        <f t="shared" si="26"/>
        <v>129.52540192113207</v>
      </c>
      <c r="J137" s="29">
        <f t="shared" si="26"/>
        <v>129.52540192113207</v>
      </c>
      <c r="K137" s="29">
        <f t="shared" si="26"/>
        <v>129.52540192113207</v>
      </c>
      <c r="L137" s="29">
        <f t="shared" si="26"/>
        <v>129.52540192113207</v>
      </c>
      <c r="M137" s="29">
        <f t="shared" si="26"/>
        <v>129.52540192113207</v>
      </c>
      <c r="N137" s="174"/>
      <c r="O137" s="111">
        <v>135</v>
      </c>
      <c r="P137" s="111">
        <v>0</v>
      </c>
      <c r="Q137" s="163">
        <v>144.91918771568427</v>
      </c>
      <c r="R137" s="163">
        <v>114.93650454568989</v>
      </c>
      <c r="S137" s="163">
        <v>122.02164572814232</v>
      </c>
      <c r="T137" s="163">
        <v>132.11194364909412</v>
      </c>
      <c r="U137" s="163">
        <v>123.913509346631</v>
      </c>
      <c r="V137" s="163">
        <v>139.21729358520494</v>
      </c>
      <c r="W137" s="163">
        <v>122.20389238769019</v>
      </c>
      <c r="X137" s="214">
        <v>130.14327960169641</v>
      </c>
      <c r="Y137" s="163">
        <v>123.62280177898599</v>
      </c>
      <c r="Z137" s="163">
        <v>117.8921714713937</v>
      </c>
      <c r="AA137" s="163">
        <v>143.80565315970563</v>
      </c>
      <c r="AB137" s="163">
        <v>148.33075337123731</v>
      </c>
      <c r="AC137" s="163">
        <v>135.23963297986805</v>
      </c>
      <c r="AD137" s="163">
        <v>126.22162414702781</v>
      </c>
      <c r="AE137" s="163">
        <v>148.33075337123731</v>
      </c>
      <c r="AF137" s="163">
        <v>126.98371470726295</v>
      </c>
      <c r="AG137" s="163">
        <v>123.62280177898599</v>
      </c>
      <c r="AH137" s="163">
        <v>148.33075337123731</v>
      </c>
      <c r="AI137" s="163">
        <v>124.05142591788095</v>
      </c>
      <c r="AJ137" s="163">
        <v>122.02164572814232</v>
      </c>
      <c r="AK137" s="163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20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4"/>
      <c r="O138" s="111">
        <v>136</v>
      </c>
      <c r="P138" s="111">
        <v>0</v>
      </c>
      <c r="Q138" s="163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214">
        <v>0</v>
      </c>
      <c r="Y138" s="163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20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17.36846771430838</v>
      </c>
      <c r="I139" s="29">
        <f t="shared" si="27"/>
        <v>17.831476281464845</v>
      </c>
      <c r="J139" s="29">
        <f t="shared" si="27"/>
        <v>8.0968068478913526</v>
      </c>
      <c r="K139" s="29">
        <f t="shared" si="27"/>
        <v>8.0968068478913526</v>
      </c>
      <c r="L139" s="29">
        <f t="shared" ref="L139:M139" si="28">L113</f>
        <v>8.0968068478913526</v>
      </c>
      <c r="M139" s="29">
        <f t="shared" si="28"/>
        <v>8.0968068478913526</v>
      </c>
      <c r="N139" s="174"/>
      <c r="O139" s="111">
        <v>137</v>
      </c>
      <c r="P139" s="111">
        <v>0</v>
      </c>
      <c r="Q139" s="163">
        <v>17.035579942885761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214">
        <v>17.035579942885761</v>
      </c>
      <c r="Y139" s="163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20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">
      <c r="A140" s="3"/>
      <c r="B140" s="10">
        <v>126</v>
      </c>
      <c r="C140" s="3"/>
      <c r="D140" s="3"/>
      <c r="O140" s="111">
        <v>138</v>
      </c>
      <c r="P140" s="111">
        <v>0</v>
      </c>
      <c r="Q140" s="163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214">
        <v>0</v>
      </c>
      <c r="Y140" s="163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20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3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214">
        <v>0</v>
      </c>
      <c r="Y141" s="163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20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333</v>
      </c>
      <c r="H142" s="42">
        <f>'Model Inputs'!H16</f>
        <v>333</v>
      </c>
      <c r="I142" s="42">
        <f>'Model Inputs'!I16</f>
        <v>333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4"/>
      <c r="O142" s="111">
        <v>140</v>
      </c>
      <c r="P142" s="111">
        <v>0</v>
      </c>
      <c r="Q142" s="163">
        <v>19779</v>
      </c>
      <c r="R142" s="163">
        <v>1850</v>
      </c>
      <c r="S142" s="163">
        <v>92</v>
      </c>
      <c r="T142" s="163">
        <v>775</v>
      </c>
      <c r="U142" s="163">
        <v>507</v>
      </c>
      <c r="V142" s="163">
        <v>1534</v>
      </c>
      <c r="W142" s="163">
        <v>1027</v>
      </c>
      <c r="X142" s="214">
        <v>156</v>
      </c>
      <c r="Y142" s="163">
        <v>30</v>
      </c>
      <c r="Z142" s="163">
        <v>347</v>
      </c>
      <c r="AA142" s="163">
        <v>36</v>
      </c>
      <c r="AB142" s="163">
        <v>157</v>
      </c>
      <c r="AC142" s="163">
        <v>1487</v>
      </c>
      <c r="AD142" s="163">
        <v>988</v>
      </c>
      <c r="AE142" s="163">
        <v>4777</v>
      </c>
      <c r="AF142" s="163">
        <v>347</v>
      </c>
      <c r="AG142" s="163">
        <v>141</v>
      </c>
      <c r="AH142" s="163">
        <v>455</v>
      </c>
      <c r="AI142" s="163">
        <v>262</v>
      </c>
      <c r="AJ142" s="163">
        <v>81</v>
      </c>
      <c r="AK142" s="163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20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332.16249999999997</v>
      </c>
      <c r="H143" s="41">
        <f>(G143*14+H142)/15</f>
        <v>332.21833333333331</v>
      </c>
      <c r="I143" s="41">
        <f>(H143*15+I142)/16</f>
        <v>332.26718749999998</v>
      </c>
      <c r="J143" s="41">
        <f>(I143*16+J142)/17</f>
        <v>312.72205882352938</v>
      </c>
      <c r="K143" s="41">
        <f>(J143*17+K142)/18</f>
        <v>295.3486111111111</v>
      </c>
      <c r="L143" s="41">
        <f>(K143*17+L142)/18</f>
        <v>278.94035493827164</v>
      </c>
      <c r="M143" s="41">
        <f>(L143*17+M142)/18</f>
        <v>263.44366855281208</v>
      </c>
      <c r="N143" s="94"/>
      <c r="O143" s="111">
        <v>141</v>
      </c>
      <c r="P143" s="111">
        <v>0</v>
      </c>
      <c r="Q143" s="163">
        <v>18822.056250000001</v>
      </c>
      <c r="R143" s="163">
        <v>1840.9875</v>
      </c>
      <c r="S143" s="163">
        <v>92.09375</v>
      </c>
      <c r="T143" s="163">
        <v>771.73749999999995</v>
      </c>
      <c r="U143" s="163">
        <v>501.25</v>
      </c>
      <c r="V143" s="163">
        <v>1531.6812500000001</v>
      </c>
      <c r="W143" s="163">
        <v>983.23749999999995</v>
      </c>
      <c r="X143" s="214">
        <v>147.0625</v>
      </c>
      <c r="Y143" s="163">
        <v>27.28125</v>
      </c>
      <c r="Z143" s="163">
        <v>332.625</v>
      </c>
      <c r="AA143" s="163">
        <v>29.256250000000001</v>
      </c>
      <c r="AB143" s="163">
        <v>147.59375000000003</v>
      </c>
      <c r="AC143" s="163">
        <v>1529.54375</v>
      </c>
      <c r="AD143" s="163">
        <v>926.78750000000002</v>
      </c>
      <c r="AE143" s="163">
        <v>1385.0625</v>
      </c>
      <c r="AF143" s="163">
        <v>324.46249999999998</v>
      </c>
      <c r="AG143" s="163">
        <v>137.09999999999997</v>
      </c>
      <c r="AH143" s="163">
        <v>456.20625000000001</v>
      </c>
      <c r="AI143" s="163">
        <v>270.29374999999993</v>
      </c>
      <c r="AJ143" s="163">
        <v>80.424999999999997</v>
      </c>
      <c r="AK143" s="163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20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7778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3">
        <v>846989</v>
      </c>
      <c r="R144" s="163">
        <v>11522</v>
      </c>
      <c r="S144" s="163">
        <v>1711</v>
      </c>
      <c r="T144" s="163">
        <v>35906</v>
      </c>
      <c r="U144" s="163">
        <v>37108</v>
      </c>
      <c r="V144" s="163">
        <v>61776</v>
      </c>
      <c r="W144" s="163">
        <v>28205</v>
      </c>
      <c r="X144" s="214">
        <v>6239</v>
      </c>
      <c r="Y144" s="163">
        <v>1338</v>
      </c>
      <c r="Z144" s="163">
        <v>14325</v>
      </c>
      <c r="AA144" s="163">
        <v>1882</v>
      </c>
      <c r="AB144" s="163">
        <v>10719</v>
      </c>
      <c r="AC144" s="163">
        <v>48944</v>
      </c>
      <c r="AD144" s="163">
        <v>39163</v>
      </c>
      <c r="AE144" s="163">
        <v>84757</v>
      </c>
      <c r="AF144" s="163">
        <v>17854</v>
      </c>
      <c r="AG144" s="163">
        <v>3316</v>
      </c>
      <c r="AH144" s="163">
        <v>27789</v>
      </c>
      <c r="AI144" s="163">
        <v>19262</v>
      </c>
      <c r="AJ144" s="163">
        <v>3864</v>
      </c>
      <c r="AK144" s="163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20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0.20557984057598355</v>
      </c>
      <c r="H145" s="30">
        <f>'Model Inputs'!H17</f>
        <v>0.214740859050843</v>
      </c>
      <c r="I145" s="30">
        <f>'Model Inputs'!I17</f>
        <v>0.22500528764805408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3">
        <v>0.15942828065063419</v>
      </c>
      <c r="R145" s="163">
        <v>1.7531678528033327E-2</v>
      </c>
      <c r="S145" s="163">
        <v>-4.3249561659848043E-2</v>
      </c>
      <c r="T145" s="163">
        <v>1.8910488497744109E-2</v>
      </c>
      <c r="U145" s="163">
        <v>6.7775142826344725E-2</v>
      </c>
      <c r="V145" s="163">
        <v>8.6538461538461536E-2</v>
      </c>
      <c r="W145" s="163">
        <v>3.0207410033681971E-2</v>
      </c>
      <c r="X145" s="214">
        <v>0.10851097932360955</v>
      </c>
      <c r="Y145" s="163">
        <v>-7.2496263079222717E-2</v>
      </c>
      <c r="Z145" s="163">
        <v>0.1987434554973822</v>
      </c>
      <c r="AA145" s="163">
        <v>0.19128586609989373</v>
      </c>
      <c r="AB145" s="163">
        <v>0.15169325496781416</v>
      </c>
      <c r="AC145" s="163">
        <v>0.32245014710689768</v>
      </c>
      <c r="AD145" s="163">
        <v>5.0557924571662027E-2</v>
      </c>
      <c r="AE145" s="163">
        <v>4.3241266208100808E-2</v>
      </c>
      <c r="AF145" s="163">
        <v>6.1498823792987566E-2</v>
      </c>
      <c r="AG145" s="163">
        <v>-8.4439083232810616E-3</v>
      </c>
      <c r="AH145" s="163">
        <v>7.078340350498398E-2</v>
      </c>
      <c r="AI145" s="163">
        <v>9.5836361748520407E-2</v>
      </c>
      <c r="AJ145" s="163">
        <v>-3.0020703933747412E-2</v>
      </c>
      <c r="AK145" s="163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20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3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214">
        <v>0</v>
      </c>
      <c r="Y146" s="163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20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3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214">
        <v>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20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3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214">
        <v>0</v>
      </c>
      <c r="Y148" s="163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20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3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214">
        <v>0</v>
      </c>
      <c r="Y149" s="163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20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3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214">
        <v>0</v>
      </c>
      <c r="Y150" s="163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20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8"/>
      <c r="O151" s="111">
        <v>149</v>
      </c>
      <c r="P151" s="111">
        <v>0</v>
      </c>
      <c r="Q151" s="163">
        <v>1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214">
        <v>1</v>
      </c>
      <c r="Y151" s="163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20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0.13940292416251862</v>
      </c>
      <c r="H152" s="44">
        <f t="shared" ref="H152:K152" si="31">H113/H137</f>
        <v>0.13805162143373559</v>
      </c>
      <c r="I152" s="44">
        <f t="shared" si="31"/>
        <v>0.13766779347515493</v>
      </c>
      <c r="J152" s="44">
        <f t="shared" si="31"/>
        <v>6.2511343163571056E-2</v>
      </c>
      <c r="K152" s="44">
        <f t="shared" si="31"/>
        <v>6.2511343163571056E-2</v>
      </c>
      <c r="L152" s="44">
        <f t="shared" ref="L152:M152" si="32">L113/L137</f>
        <v>6.2511343163571056E-2</v>
      </c>
      <c r="M152" s="44">
        <f t="shared" si="32"/>
        <v>6.2511343163571056E-2</v>
      </c>
      <c r="N152" s="179"/>
      <c r="O152" s="111">
        <v>150</v>
      </c>
      <c r="P152" s="111">
        <v>0</v>
      </c>
      <c r="Q152" s="163">
        <v>0.1175522731766046</v>
      </c>
      <c r="R152" s="163">
        <v>0.14821731363958202</v>
      </c>
      <c r="S152" s="163">
        <v>0.13961113080575982</v>
      </c>
      <c r="T152" s="163">
        <v>0.12894806837551642</v>
      </c>
      <c r="U152" s="163">
        <v>0.13747960196358469</v>
      </c>
      <c r="V152" s="163">
        <v>0.12236683751117099</v>
      </c>
      <c r="W152" s="163">
        <v>0.13940292416251862</v>
      </c>
      <c r="X152" s="214">
        <v>0.13089865258523656</v>
      </c>
      <c r="Y152" s="163">
        <v>0.13780289475514501</v>
      </c>
      <c r="Z152" s="163">
        <v>0.14450136705658537</v>
      </c>
      <c r="AA152" s="163">
        <v>0.11846251916095836</v>
      </c>
      <c r="AB152" s="163">
        <v>0.11484860391863361</v>
      </c>
      <c r="AC152" s="163">
        <v>0.12596588416815432</v>
      </c>
      <c r="AD152" s="163">
        <v>0.1349656214456729</v>
      </c>
      <c r="AE152" s="163">
        <v>0.11484860391863361</v>
      </c>
      <c r="AF152" s="163">
        <v>0.13415562761065924</v>
      </c>
      <c r="AG152" s="163">
        <v>0.13780289475514501</v>
      </c>
      <c r="AH152" s="163">
        <v>0.11484860391863361</v>
      </c>
      <c r="AI152" s="163">
        <v>0.13732675635798741</v>
      </c>
      <c r="AJ152" s="163">
        <v>0.13961113080575982</v>
      </c>
      <c r="AK152" s="163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20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9377</v>
      </c>
      <c r="H153" s="25">
        <f t="shared" ref="H153:K153" si="33">H96</f>
        <v>9472.5492188784738</v>
      </c>
      <c r="I153" s="25">
        <f t="shared" si="33"/>
        <v>9653.0416666666661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5"/>
      <c r="O153" s="111">
        <v>151</v>
      </c>
      <c r="P153" s="111">
        <v>0</v>
      </c>
      <c r="Q153" s="163">
        <v>982023</v>
      </c>
      <c r="R153" s="163">
        <v>11724</v>
      </c>
      <c r="S153" s="163">
        <v>1637</v>
      </c>
      <c r="T153" s="163">
        <v>36585</v>
      </c>
      <c r="U153" s="163">
        <v>39623</v>
      </c>
      <c r="V153" s="163">
        <v>67122</v>
      </c>
      <c r="W153" s="163">
        <v>29057</v>
      </c>
      <c r="X153" s="214">
        <v>6916</v>
      </c>
      <c r="Y153" s="163">
        <v>1241</v>
      </c>
      <c r="Z153" s="163">
        <v>17172</v>
      </c>
      <c r="AA153" s="163">
        <v>2242</v>
      </c>
      <c r="AB153" s="163">
        <v>12345</v>
      </c>
      <c r="AC153" s="163">
        <v>64726</v>
      </c>
      <c r="AD153" s="163">
        <v>41143</v>
      </c>
      <c r="AE153" s="163">
        <v>88422</v>
      </c>
      <c r="AF153" s="163">
        <v>18952</v>
      </c>
      <c r="AG153" s="163">
        <v>3288</v>
      </c>
      <c r="AH153" s="163">
        <v>29756</v>
      </c>
      <c r="AI153" s="163">
        <v>21108</v>
      </c>
      <c r="AJ153" s="163">
        <v>3748</v>
      </c>
      <c r="AK153" s="163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20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45910</v>
      </c>
      <c r="H154" s="25">
        <f t="shared" ref="H154:K154" si="35">H131</f>
        <v>49690</v>
      </c>
      <c r="I154" s="25">
        <f t="shared" si="35"/>
        <v>51000</v>
      </c>
      <c r="J154" s="25">
        <f t="shared" si="35"/>
        <v>51000</v>
      </c>
      <c r="K154" s="25">
        <f t="shared" si="35"/>
        <v>51000</v>
      </c>
      <c r="L154" s="25">
        <f t="shared" ref="L154:M154" si="36">L131</f>
        <v>51000</v>
      </c>
      <c r="M154" s="25">
        <f t="shared" si="36"/>
        <v>51000</v>
      </c>
      <c r="N154" s="175"/>
      <c r="O154" s="111">
        <v>152</v>
      </c>
      <c r="P154" s="111">
        <v>0</v>
      </c>
      <c r="Q154" s="163">
        <v>5811998.2599999998</v>
      </c>
      <c r="R154" s="163">
        <v>47365</v>
      </c>
      <c r="S154" s="163">
        <v>8722</v>
      </c>
      <c r="T154" s="163">
        <v>219364</v>
      </c>
      <c r="U154" s="163">
        <v>197591</v>
      </c>
      <c r="V154" s="163">
        <v>379690</v>
      </c>
      <c r="W154" s="163">
        <v>116948</v>
      </c>
      <c r="X154" s="214">
        <v>39945</v>
      </c>
      <c r="Y154" s="163">
        <v>8879</v>
      </c>
      <c r="Z154" s="163">
        <v>70523</v>
      </c>
      <c r="AA154" s="163">
        <v>7251</v>
      </c>
      <c r="AB154" s="163">
        <v>64272</v>
      </c>
      <c r="AC154" s="163">
        <v>382435</v>
      </c>
      <c r="AD154" s="163">
        <v>236974</v>
      </c>
      <c r="AE154" s="163">
        <v>656700</v>
      </c>
      <c r="AF154" s="163">
        <v>108683</v>
      </c>
      <c r="AG154" s="163">
        <v>15590</v>
      </c>
      <c r="AH154" s="163">
        <v>143420</v>
      </c>
      <c r="AI154" s="163">
        <v>111673</v>
      </c>
      <c r="AJ154" s="163">
        <v>18859</v>
      </c>
      <c r="AK154" s="163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20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195849659.70000002</v>
      </c>
      <c r="H155" s="39">
        <f t="shared" ref="H155:K155" si="37">H97</f>
        <v>203154503.62971276</v>
      </c>
      <c r="I155" s="39">
        <f t="shared" si="37"/>
        <v>223029214.45153823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6"/>
      <c r="O155" s="111">
        <v>153</v>
      </c>
      <c r="P155" s="111">
        <v>0</v>
      </c>
      <c r="Q155" s="163">
        <v>24226360755</v>
      </c>
      <c r="R155" s="163">
        <v>202481240.72000003</v>
      </c>
      <c r="S155" s="163">
        <v>29155291.82</v>
      </c>
      <c r="T155" s="163">
        <v>970536909</v>
      </c>
      <c r="U155" s="163">
        <v>933023699.69000006</v>
      </c>
      <c r="V155" s="163">
        <v>1544296648</v>
      </c>
      <c r="W155" s="163">
        <v>449467120.70000005</v>
      </c>
      <c r="X155" s="214">
        <v>136491826.69999999</v>
      </c>
      <c r="Y155" s="163">
        <v>24275428</v>
      </c>
      <c r="Z155" s="163">
        <v>289670361.49000001</v>
      </c>
      <c r="AA155" s="163">
        <v>27528706</v>
      </c>
      <c r="AB155" s="163">
        <v>218050999</v>
      </c>
      <c r="AC155" s="163">
        <v>1632222561.6700001</v>
      </c>
      <c r="AD155" s="163">
        <v>878822638.74000013</v>
      </c>
      <c r="AE155" s="163">
        <v>2357005920.04</v>
      </c>
      <c r="AF155" s="163">
        <v>475598345.38999999</v>
      </c>
      <c r="AG155" s="163">
        <v>54029013.310000002</v>
      </c>
      <c r="AH155" s="163">
        <v>486056497.75</v>
      </c>
      <c r="AI155" s="163">
        <v>589356772.60000002</v>
      </c>
      <c r="AJ155" s="163">
        <v>71814133.549999997</v>
      </c>
      <c r="AK155" s="163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20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332.16249999999997</v>
      </c>
      <c r="H156" s="45">
        <f t="shared" ref="H156:K156" si="39">H143</f>
        <v>332.21833333333331</v>
      </c>
      <c r="I156" s="45">
        <f t="shared" si="39"/>
        <v>332.26718749999998</v>
      </c>
      <c r="J156" s="45">
        <f t="shared" si="39"/>
        <v>312.72205882352938</v>
      </c>
      <c r="K156" s="45">
        <f t="shared" si="39"/>
        <v>295.3486111111111</v>
      </c>
      <c r="L156" s="45">
        <f t="shared" ref="L156:M156" si="40">L143</f>
        <v>278.94035493827164</v>
      </c>
      <c r="M156" s="45">
        <f t="shared" si="40"/>
        <v>263.44366855281208</v>
      </c>
      <c r="N156" s="180"/>
      <c r="O156" s="111">
        <v>154</v>
      </c>
      <c r="P156" s="111">
        <v>0</v>
      </c>
      <c r="Q156" s="163">
        <v>18822.056250000001</v>
      </c>
      <c r="R156" s="163">
        <v>1840.9875</v>
      </c>
      <c r="S156" s="163">
        <v>92.09375</v>
      </c>
      <c r="T156" s="163">
        <v>771.73749999999995</v>
      </c>
      <c r="U156" s="163">
        <v>501.25</v>
      </c>
      <c r="V156" s="163">
        <v>1531.6812500000001</v>
      </c>
      <c r="W156" s="163">
        <v>983.23749999999995</v>
      </c>
      <c r="X156" s="214">
        <v>147.0625</v>
      </c>
      <c r="Y156" s="163">
        <v>27.28125</v>
      </c>
      <c r="Z156" s="163">
        <v>332.625</v>
      </c>
      <c r="AA156" s="163">
        <v>29.256250000000001</v>
      </c>
      <c r="AB156" s="163">
        <v>147.59375000000003</v>
      </c>
      <c r="AC156" s="163">
        <v>1529.54375</v>
      </c>
      <c r="AD156" s="163">
        <v>926.78750000000002</v>
      </c>
      <c r="AE156" s="163">
        <v>1385.0625</v>
      </c>
      <c r="AF156" s="163">
        <v>324.46249999999998</v>
      </c>
      <c r="AG156" s="163">
        <v>137.09999999999997</v>
      </c>
      <c r="AH156" s="163">
        <v>456.20625000000001</v>
      </c>
      <c r="AI156" s="163">
        <v>270.29374999999993</v>
      </c>
      <c r="AJ156" s="163">
        <v>80.424999999999997</v>
      </c>
      <c r="AK156" s="163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20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0.20557984057598355</v>
      </c>
      <c r="H157" s="31">
        <f t="shared" ref="H157:L157" si="41">H145</f>
        <v>0.214740859050843</v>
      </c>
      <c r="I157" s="31">
        <f t="shared" si="41"/>
        <v>0.22500528764805408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3">
        <v>0.15942828065063419</v>
      </c>
      <c r="R157" s="163">
        <v>1.7531678528033327E-2</v>
      </c>
      <c r="S157" s="163">
        <v>-4.3249561659848043E-2</v>
      </c>
      <c r="T157" s="163">
        <v>1.8910488497744109E-2</v>
      </c>
      <c r="U157" s="163">
        <v>6.7775142826344725E-2</v>
      </c>
      <c r="V157" s="163">
        <v>8.6538461538461536E-2</v>
      </c>
      <c r="W157" s="163">
        <v>3.0207410033681971E-2</v>
      </c>
      <c r="X157" s="214">
        <v>0.10851097932360955</v>
      </c>
      <c r="Y157" s="163">
        <v>-7.2496263079222717E-2</v>
      </c>
      <c r="Z157" s="163">
        <v>0.1987434554973822</v>
      </c>
      <c r="AA157" s="163">
        <v>0.19128586609989373</v>
      </c>
      <c r="AB157" s="163">
        <v>0.15169325496781416</v>
      </c>
      <c r="AC157" s="163">
        <v>0.32245014710689768</v>
      </c>
      <c r="AD157" s="163">
        <v>5.0557924571662027E-2</v>
      </c>
      <c r="AE157" s="163">
        <v>4.3241266208100808E-2</v>
      </c>
      <c r="AF157" s="163">
        <v>6.1498823792987566E-2</v>
      </c>
      <c r="AG157" s="163">
        <v>-8.4439083232810616E-3</v>
      </c>
      <c r="AH157" s="163">
        <v>7.078340350498398E-2</v>
      </c>
      <c r="AI157" s="163">
        <v>9.5836361748520407E-2</v>
      </c>
      <c r="AJ157" s="163">
        <v>-3.0020703933747412E-2</v>
      </c>
      <c r="AK157" s="163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20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3">
        <v>11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214">
        <v>11</v>
      </c>
      <c r="Y158" s="163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20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3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214">
        <v>0</v>
      </c>
      <c r="Y159" s="163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20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3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214">
        <v>0</v>
      </c>
      <c r="Y160" s="163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20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3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214">
        <v>0</v>
      </c>
      <c r="Y161" s="163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20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12.810935258155617</v>
      </c>
      <c r="H162" s="49">
        <f t="shared" ref="H162:M179" si="45">G162</f>
        <v>12.810935258155617</v>
      </c>
      <c r="I162" s="49">
        <f t="shared" si="45"/>
        <v>12.810935258155617</v>
      </c>
      <c r="J162" s="49">
        <f t="shared" si="45"/>
        <v>12.810935258155617</v>
      </c>
      <c r="K162" s="49">
        <f t="shared" si="45"/>
        <v>12.810935258155617</v>
      </c>
      <c r="L162" s="49">
        <f t="shared" si="45"/>
        <v>12.810935258155617</v>
      </c>
      <c r="M162" s="49">
        <f t="shared" si="45"/>
        <v>12.810935258155617</v>
      </c>
      <c r="N162" s="181"/>
      <c r="O162" s="111">
        <v>160</v>
      </c>
      <c r="P162" s="111">
        <v>0</v>
      </c>
      <c r="Q162" s="163">
        <v>12.817219145404639</v>
      </c>
      <c r="R162" s="163">
        <v>12.809732041092667</v>
      </c>
      <c r="S162" s="163">
        <v>12.815667288766317</v>
      </c>
      <c r="T162" s="163">
        <v>12.814549938113361</v>
      </c>
      <c r="U162" s="163">
        <v>12.81527413480965</v>
      </c>
      <c r="V162" s="163">
        <v>12.816805233884939</v>
      </c>
      <c r="W162" s="163">
        <v>12.81288440307239</v>
      </c>
      <c r="X162" s="214">
        <v>12.81331330994302</v>
      </c>
      <c r="Y162" s="163">
        <v>12.814736982825067</v>
      </c>
      <c r="Z162" s="163">
        <v>12.812338831390388</v>
      </c>
      <c r="AA162" s="163">
        <v>12.810934558134596</v>
      </c>
      <c r="AB162" s="163">
        <v>12.811148202512005</v>
      </c>
      <c r="AC162" s="163">
        <v>12.816571389915095</v>
      </c>
      <c r="AD162" s="163">
        <v>12.821412544937436</v>
      </c>
      <c r="AE162" s="163">
        <v>12.819095782593745</v>
      </c>
      <c r="AF162" s="163">
        <v>12.812096781482326</v>
      </c>
      <c r="AG162" s="163">
        <v>12.820454839694522</v>
      </c>
      <c r="AH162" s="163">
        <v>12.815345078290729</v>
      </c>
      <c r="AI162" s="163">
        <v>12.815711468242117</v>
      </c>
      <c r="AJ162" s="163">
        <v>12.812372588661209</v>
      </c>
      <c r="AK162" s="163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20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0.62469391589931944</v>
      </c>
      <c r="H163" s="49">
        <f t="shared" si="45"/>
        <v>0.62469391589931944</v>
      </c>
      <c r="I163" s="49">
        <f t="shared" si="45"/>
        <v>0.62469391589931944</v>
      </c>
      <c r="J163" s="49">
        <f t="shared" si="45"/>
        <v>0.62469391589931944</v>
      </c>
      <c r="K163" s="49">
        <f t="shared" si="45"/>
        <v>0.62469391589931944</v>
      </c>
      <c r="L163" s="49">
        <f t="shared" si="45"/>
        <v>0.62469391589931944</v>
      </c>
      <c r="M163" s="49">
        <f t="shared" si="45"/>
        <v>0.62469391589931944</v>
      </c>
      <c r="N163" s="181"/>
      <c r="O163" s="111">
        <v>161</v>
      </c>
      <c r="P163" s="111">
        <v>0</v>
      </c>
      <c r="Q163" s="163">
        <v>0.62712970811613922</v>
      </c>
      <c r="R163" s="163">
        <v>0.62643242664315246</v>
      </c>
      <c r="S163" s="163">
        <v>0.62653853064688692</v>
      </c>
      <c r="T163" s="163">
        <v>0.6328047547232748</v>
      </c>
      <c r="U163" s="163">
        <v>0.6266420475927259</v>
      </c>
      <c r="V163" s="163">
        <v>0.62645281025512112</v>
      </c>
      <c r="W163" s="163">
        <v>0.62777892695115167</v>
      </c>
      <c r="X163" s="214">
        <v>0.62722193683244376</v>
      </c>
      <c r="Y163" s="163">
        <v>0.62665786861574369</v>
      </c>
      <c r="Z163" s="163">
        <v>0.6293676487913592</v>
      </c>
      <c r="AA163" s="163">
        <v>0.63118119214696933</v>
      </c>
      <c r="AB163" s="163">
        <v>0.62748695413763633</v>
      </c>
      <c r="AC163" s="163">
        <v>0.62625791288463828</v>
      </c>
      <c r="AD163" s="163">
        <v>0.62821524004612495</v>
      </c>
      <c r="AE163" s="163">
        <v>0.62671730298834671</v>
      </c>
      <c r="AF163" s="163">
        <v>0.62771962840268625</v>
      </c>
      <c r="AG163" s="163">
        <v>0.62649571916465363</v>
      </c>
      <c r="AH163" s="163">
        <v>0.62607624823750918</v>
      </c>
      <c r="AI163" s="163">
        <v>0.62209521131343637</v>
      </c>
      <c r="AJ163" s="163">
        <v>0.62704150513783619</v>
      </c>
      <c r="AK163" s="163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20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0.44850949404180862</v>
      </c>
      <c r="H164" s="49">
        <f t="shared" si="45"/>
        <v>0.44850949404180862</v>
      </c>
      <c r="I164" s="49">
        <f t="shared" si="45"/>
        <v>0.44850949404180862</v>
      </c>
      <c r="J164" s="49">
        <f t="shared" si="45"/>
        <v>0.44850949404180862</v>
      </c>
      <c r="K164" s="49">
        <f t="shared" si="45"/>
        <v>0.44850949404180862</v>
      </c>
      <c r="L164" s="49">
        <f t="shared" si="45"/>
        <v>0.44850949404180862</v>
      </c>
      <c r="M164" s="49">
        <f t="shared" si="45"/>
        <v>0.44850949404180862</v>
      </c>
      <c r="N164" s="181"/>
      <c r="O164" s="111">
        <v>162</v>
      </c>
      <c r="P164" s="111">
        <v>0</v>
      </c>
      <c r="Q164" s="163">
        <v>0.42381762023795266</v>
      </c>
      <c r="R164" s="163">
        <v>0.45713993689039062</v>
      </c>
      <c r="S164" s="163">
        <v>0.4439023607460244</v>
      </c>
      <c r="T164" s="163">
        <v>0.44057142147939932</v>
      </c>
      <c r="U164" s="163">
        <v>0.44477792881448552</v>
      </c>
      <c r="V164" s="163">
        <v>0.43873386187248575</v>
      </c>
      <c r="W164" s="163">
        <v>0.44479564805494209</v>
      </c>
      <c r="X164" s="214">
        <v>0.44755158910340032</v>
      </c>
      <c r="Y164" s="163">
        <v>0.44524665751828291</v>
      </c>
      <c r="Z164" s="163">
        <v>0.44061715082506375</v>
      </c>
      <c r="AA164" s="163">
        <v>0.44745410998208301</v>
      </c>
      <c r="AB164" s="163">
        <v>0.44313835605104801</v>
      </c>
      <c r="AC164" s="163">
        <v>0.4358896076051535</v>
      </c>
      <c r="AD164" s="163">
        <v>0.42638488478866743</v>
      </c>
      <c r="AE164" s="163">
        <v>0.45244742162916041</v>
      </c>
      <c r="AF164" s="163">
        <v>0.45271762057555354</v>
      </c>
      <c r="AG164" s="163">
        <v>0.44521613602173082</v>
      </c>
      <c r="AH164" s="163">
        <v>0.44682826788847246</v>
      </c>
      <c r="AI164" s="163">
        <v>0.45201542149564689</v>
      </c>
      <c r="AJ164" s="163">
        <v>0.4464027375197227</v>
      </c>
      <c r="AK164" s="163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20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0.16228813491112656</v>
      </c>
      <c r="H165" s="49">
        <f t="shared" si="45"/>
        <v>0.16228813491112656</v>
      </c>
      <c r="I165" s="49">
        <f t="shared" si="45"/>
        <v>0.16228813491112656</v>
      </c>
      <c r="J165" s="49">
        <f t="shared" si="45"/>
        <v>0.16228813491112656</v>
      </c>
      <c r="K165" s="49">
        <f t="shared" si="45"/>
        <v>0.16228813491112656</v>
      </c>
      <c r="L165" s="49">
        <f t="shared" si="45"/>
        <v>0.16228813491112656</v>
      </c>
      <c r="M165" s="49">
        <f t="shared" si="45"/>
        <v>0.16228813491112656</v>
      </c>
      <c r="N165" s="181"/>
      <c r="O165" s="111">
        <v>163</v>
      </c>
      <c r="P165" s="111">
        <v>0</v>
      </c>
      <c r="Q165" s="163">
        <v>0.19096276480396263</v>
      </c>
      <c r="R165" s="163">
        <v>0.15665784699970534</v>
      </c>
      <c r="S165" s="163">
        <v>0.1617444919555816</v>
      </c>
      <c r="T165" s="163">
        <v>0.16082604962565611</v>
      </c>
      <c r="U165" s="163">
        <v>0.15980624732477092</v>
      </c>
      <c r="V165" s="163">
        <v>0.16310337583390586</v>
      </c>
      <c r="W165" s="163">
        <v>0.16252049393951762</v>
      </c>
      <c r="X165" s="214">
        <v>0.15481466094418173</v>
      </c>
      <c r="Y165" s="163">
        <v>0.15517605381023231</v>
      </c>
      <c r="Z165" s="163">
        <v>0.16553001458055727</v>
      </c>
      <c r="AA165" s="163">
        <v>0.16256292839174574</v>
      </c>
      <c r="AB165" s="163">
        <v>0.16819202909035297</v>
      </c>
      <c r="AC165" s="163">
        <v>0.16831921619179602</v>
      </c>
      <c r="AD165" s="163">
        <v>0.16915297456674111</v>
      </c>
      <c r="AE165" s="163">
        <v>0.16696938333937167</v>
      </c>
      <c r="AF165" s="163">
        <v>0.15509730054549328</v>
      </c>
      <c r="AG165" s="163">
        <v>0.15784576240515069</v>
      </c>
      <c r="AH165" s="163">
        <v>0.16157425539342624</v>
      </c>
      <c r="AI165" s="163">
        <v>0.15455513331555285</v>
      </c>
      <c r="AJ165" s="163">
        <v>0.16160336889525384</v>
      </c>
      <c r="AK165" s="163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20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0.1083221198069267</v>
      </c>
      <c r="H166" s="49">
        <f t="shared" si="45"/>
        <v>0.1083221198069267</v>
      </c>
      <c r="I166" s="49">
        <f t="shared" si="45"/>
        <v>0.1083221198069267</v>
      </c>
      <c r="J166" s="49">
        <f t="shared" si="45"/>
        <v>0.1083221198069267</v>
      </c>
      <c r="K166" s="49">
        <f t="shared" si="45"/>
        <v>0.1083221198069267</v>
      </c>
      <c r="L166" s="49">
        <f t="shared" si="45"/>
        <v>0.1083221198069267</v>
      </c>
      <c r="M166" s="49">
        <f t="shared" si="45"/>
        <v>0.1083221198069267</v>
      </c>
      <c r="N166" s="181"/>
      <c r="O166" s="111">
        <v>164</v>
      </c>
      <c r="P166" s="111">
        <v>0</v>
      </c>
      <c r="Q166" s="163">
        <v>9.4677511393098171E-2</v>
      </c>
      <c r="R166" s="163">
        <v>0.11095634019827018</v>
      </c>
      <c r="S166" s="163">
        <v>9.9479524361308885E-2</v>
      </c>
      <c r="T166" s="163">
        <v>0.11006314761137045</v>
      </c>
      <c r="U166" s="163">
        <v>0.10505984096412749</v>
      </c>
      <c r="V166" s="163">
        <v>0.10907159670629264</v>
      </c>
      <c r="W166" s="163">
        <v>0.10179342606131343</v>
      </c>
      <c r="X166" s="214">
        <v>0.10977007445625103</v>
      </c>
      <c r="Y166" s="163">
        <v>0.10876831095024361</v>
      </c>
      <c r="Z166" s="163">
        <v>0.10466523755598584</v>
      </c>
      <c r="AA166" s="163">
        <v>0.10661130436832145</v>
      </c>
      <c r="AB166" s="163">
        <v>0.1018364785179439</v>
      </c>
      <c r="AC166" s="163">
        <v>0.10745367871077752</v>
      </c>
      <c r="AD166" s="163">
        <v>0.11285150840872868</v>
      </c>
      <c r="AE166" s="163">
        <v>8.6397660773184212E-2</v>
      </c>
      <c r="AF166" s="163">
        <v>0.1057203064698805</v>
      </c>
      <c r="AG166" s="163">
        <v>0.10302773180002736</v>
      </c>
      <c r="AH166" s="163">
        <v>0.10431420693070237</v>
      </c>
      <c r="AI166" s="163">
        <v>9.2676138236125125E-2</v>
      </c>
      <c r="AJ166" s="163">
        <v>0.10612395466848289</v>
      </c>
      <c r="AK166" s="163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20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0.11202169308850274</v>
      </c>
      <c r="H167" s="49">
        <f t="shared" si="45"/>
        <v>0.11202169308850274</v>
      </c>
      <c r="I167" s="49">
        <f t="shared" si="45"/>
        <v>0.11202169308850274</v>
      </c>
      <c r="J167" s="49">
        <f t="shared" si="45"/>
        <v>0.11202169308850274</v>
      </c>
      <c r="K167" s="49">
        <f t="shared" si="45"/>
        <v>0.11202169308850274</v>
      </c>
      <c r="L167" s="49">
        <f t="shared" si="45"/>
        <v>0.11202169308850274</v>
      </c>
      <c r="M167" s="49">
        <f t="shared" si="45"/>
        <v>0.11202169308850274</v>
      </c>
      <c r="N167" s="181"/>
      <c r="O167" s="111">
        <v>165</v>
      </c>
      <c r="P167" s="111">
        <v>0</v>
      </c>
      <c r="Q167" s="163">
        <v>0.12150468166324147</v>
      </c>
      <c r="R167" s="163">
        <v>0.12359159685608501</v>
      </c>
      <c r="S167" s="163">
        <v>0.12324787238901624</v>
      </c>
      <c r="T167" s="163">
        <v>0.13217376575351314</v>
      </c>
      <c r="U167" s="163">
        <v>0.12013030694372406</v>
      </c>
      <c r="V167" s="163">
        <v>0.12288769765677032</v>
      </c>
      <c r="W167" s="163">
        <v>0.12919440994006814</v>
      </c>
      <c r="X167" s="214">
        <v>0.12487470386764654</v>
      </c>
      <c r="Y167" s="163">
        <v>0.12097350377727345</v>
      </c>
      <c r="Z167" s="163">
        <v>0.12794174119086588</v>
      </c>
      <c r="AA167" s="163">
        <v>0.13706018401500897</v>
      </c>
      <c r="AB167" s="163">
        <v>0.12870964222518633</v>
      </c>
      <c r="AC167" s="163">
        <v>0.12189278087833144</v>
      </c>
      <c r="AD167" s="163">
        <v>0.13726772631351714</v>
      </c>
      <c r="AE167" s="163">
        <v>0.12198175940059586</v>
      </c>
      <c r="AF167" s="163">
        <v>0.12676771898688943</v>
      </c>
      <c r="AG167" s="163">
        <v>0.12173752796686821</v>
      </c>
      <c r="AH167" s="163">
        <v>0.12171966210426044</v>
      </c>
      <c r="AI167" s="163">
        <v>0.11428480170755995</v>
      </c>
      <c r="AJ167" s="163">
        <v>0.12321666434535516</v>
      </c>
      <c r="AK167" s="163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20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-0.37415836912025918</v>
      </c>
      <c r="H168" s="49">
        <f t="shared" si="45"/>
        <v>-0.37415836912025918</v>
      </c>
      <c r="I168" s="49">
        <f t="shared" si="45"/>
        <v>-0.37415836912025918</v>
      </c>
      <c r="J168" s="49">
        <f t="shared" si="45"/>
        <v>-0.37415836912025918</v>
      </c>
      <c r="K168" s="49">
        <f t="shared" si="45"/>
        <v>-0.37415836912025918</v>
      </c>
      <c r="L168" s="49">
        <f t="shared" si="45"/>
        <v>-0.37415836912025918</v>
      </c>
      <c r="M168" s="49">
        <f t="shared" si="45"/>
        <v>-0.37415836912025918</v>
      </c>
      <c r="N168" s="181"/>
      <c r="O168" s="111">
        <v>166</v>
      </c>
      <c r="P168" s="111">
        <v>0</v>
      </c>
      <c r="Q168" s="163">
        <v>-0.37229165620323451</v>
      </c>
      <c r="R168" s="163">
        <v>-0.40029655329034286</v>
      </c>
      <c r="S168" s="163">
        <v>-0.35409746395880048</v>
      </c>
      <c r="T168" s="163">
        <v>-0.38079269995727272</v>
      </c>
      <c r="U168" s="163">
        <v>-0.36934413846152148</v>
      </c>
      <c r="V168" s="163">
        <v>-0.37238802143178218</v>
      </c>
      <c r="W168" s="163">
        <v>-0.3479372427761262</v>
      </c>
      <c r="X168" s="214">
        <v>-0.39556858220062985</v>
      </c>
      <c r="Y168" s="163">
        <v>-0.41443878646004056</v>
      </c>
      <c r="Z168" s="163">
        <v>-0.42901924253101764</v>
      </c>
      <c r="AA168" s="163">
        <v>-0.33467907529638907</v>
      </c>
      <c r="AB168" s="163">
        <v>-0.39218484854447522</v>
      </c>
      <c r="AC168" s="163">
        <v>-0.34925812609869589</v>
      </c>
      <c r="AD168" s="163">
        <v>-0.36636745662078835</v>
      </c>
      <c r="AE168" s="163">
        <v>-0.45925238847230287</v>
      </c>
      <c r="AF168" s="163">
        <v>-0.37266565684339747</v>
      </c>
      <c r="AG168" s="163">
        <v>-0.43179131955659478</v>
      </c>
      <c r="AH168" s="163">
        <v>-0.37734922005510918</v>
      </c>
      <c r="AI168" s="163">
        <v>-0.35842476957809133</v>
      </c>
      <c r="AJ168" s="163">
        <v>-0.35454392671765556</v>
      </c>
      <c r="AK168" s="163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20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0.19218571466043591</v>
      </c>
      <c r="H169" s="49">
        <f t="shared" si="45"/>
        <v>0.19218571466043591</v>
      </c>
      <c r="I169" s="49">
        <f t="shared" si="45"/>
        <v>0.19218571466043591</v>
      </c>
      <c r="J169" s="49">
        <f t="shared" si="45"/>
        <v>0.19218571466043591</v>
      </c>
      <c r="K169" s="49">
        <f t="shared" si="45"/>
        <v>0.19218571466043591</v>
      </c>
      <c r="L169" s="49">
        <f t="shared" si="45"/>
        <v>0.19218571466043591</v>
      </c>
      <c r="M169" s="49">
        <f t="shared" si="45"/>
        <v>0.19218571466043591</v>
      </c>
      <c r="N169" s="181"/>
      <c r="O169" s="111">
        <v>167</v>
      </c>
      <c r="P169" s="111">
        <v>0</v>
      </c>
      <c r="Q169" s="163">
        <v>0.25107352360474089</v>
      </c>
      <c r="R169" s="163">
        <v>0.22272730217267106</v>
      </c>
      <c r="S169" s="163">
        <v>0.21300959127088095</v>
      </c>
      <c r="T169" s="163">
        <v>0.17335542337902538</v>
      </c>
      <c r="U169" s="163">
        <v>0.19756385978967794</v>
      </c>
      <c r="V169" s="163">
        <v>0.18996236641101552</v>
      </c>
      <c r="W169" s="163">
        <v>0.20381579665316127</v>
      </c>
      <c r="X169" s="214">
        <v>0.25152891820417489</v>
      </c>
      <c r="Y169" s="163">
        <v>0.17811555362105094</v>
      </c>
      <c r="Z169" s="163">
        <v>0.16844599337173957</v>
      </c>
      <c r="AA169" s="163">
        <v>0.20463766697671296</v>
      </c>
      <c r="AB169" s="163">
        <v>0.16958826570242688</v>
      </c>
      <c r="AC169" s="163">
        <v>0.20491353114258057</v>
      </c>
      <c r="AD169" s="163">
        <v>0.18249730011161983</v>
      </c>
      <c r="AE169" s="163">
        <v>0.15794361855622402</v>
      </c>
      <c r="AF169" s="163">
        <v>0.11632977868088479</v>
      </c>
      <c r="AG169" s="163">
        <v>0.1251282609437471</v>
      </c>
      <c r="AH169" s="163">
        <v>0.18855649782772993</v>
      </c>
      <c r="AI169" s="163">
        <v>0.21778015067159809</v>
      </c>
      <c r="AJ169" s="163">
        <v>0.1956193740023032</v>
      </c>
      <c r="AK169" s="163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20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0.17567013467705989</v>
      </c>
      <c r="H170" s="49">
        <f t="shared" si="45"/>
        <v>0.17567013467705989</v>
      </c>
      <c r="I170" s="49">
        <f t="shared" si="45"/>
        <v>0.17567013467705989</v>
      </c>
      <c r="J170" s="49">
        <f t="shared" si="45"/>
        <v>0.17567013467705989</v>
      </c>
      <c r="K170" s="49">
        <f t="shared" si="45"/>
        <v>0.17567013467705989</v>
      </c>
      <c r="L170" s="49">
        <f t="shared" si="45"/>
        <v>0.17567013467705989</v>
      </c>
      <c r="M170" s="49">
        <f t="shared" si="45"/>
        <v>0.17567013467705989</v>
      </c>
      <c r="N170" s="181"/>
      <c r="O170" s="111">
        <v>168</v>
      </c>
      <c r="P170" s="111">
        <v>0</v>
      </c>
      <c r="Q170" s="163">
        <v>0.14596830485981666</v>
      </c>
      <c r="R170" s="163">
        <v>0.17177849581388829</v>
      </c>
      <c r="S170" s="163">
        <v>0.15483886501318267</v>
      </c>
      <c r="T170" s="163">
        <v>0.17794974498286584</v>
      </c>
      <c r="U170" s="163">
        <v>0.16646675427234686</v>
      </c>
      <c r="V170" s="163">
        <v>0.17188676846649997</v>
      </c>
      <c r="W170" s="163">
        <v>0.16001913836834675</v>
      </c>
      <c r="X170" s="214">
        <v>0.17826995710647331</v>
      </c>
      <c r="Y170" s="163">
        <v>0.17432798980667397</v>
      </c>
      <c r="Z170" s="163">
        <v>0.16437855724120906</v>
      </c>
      <c r="AA170" s="163">
        <v>0.16941256687878514</v>
      </c>
      <c r="AB170" s="163">
        <v>0.15529711493754556</v>
      </c>
      <c r="AC170" s="163">
        <v>0.16731089891616763</v>
      </c>
      <c r="AD170" s="163">
        <v>0.18664684042524549</v>
      </c>
      <c r="AE170" s="163">
        <v>0.1547561951000799</v>
      </c>
      <c r="AF170" s="163">
        <v>0.14311942948519987</v>
      </c>
      <c r="AG170" s="163">
        <v>0.15578145602833682</v>
      </c>
      <c r="AH170" s="163">
        <v>0.16396621973346462</v>
      </c>
      <c r="AI170" s="163">
        <v>0.13416837582546362</v>
      </c>
      <c r="AJ170" s="163">
        <v>0.16890950559847798</v>
      </c>
      <c r="AK170" s="163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20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5.6170591256039626E-2</v>
      </c>
      <c r="H171" s="49">
        <f t="shared" si="45"/>
        <v>5.6170591256039626E-2</v>
      </c>
      <c r="I171" s="49">
        <f t="shared" si="45"/>
        <v>5.6170591256039626E-2</v>
      </c>
      <c r="J171" s="49">
        <f t="shared" si="45"/>
        <v>5.6170591256039626E-2</v>
      </c>
      <c r="K171" s="49">
        <f t="shared" si="45"/>
        <v>5.6170591256039626E-2</v>
      </c>
      <c r="L171" s="49">
        <f t="shared" si="45"/>
        <v>5.6170591256039626E-2</v>
      </c>
      <c r="M171" s="49">
        <f t="shared" si="45"/>
        <v>5.6170591256039626E-2</v>
      </c>
      <c r="N171" s="181"/>
      <c r="O171" s="111">
        <v>169</v>
      </c>
      <c r="P171" s="111">
        <v>0</v>
      </c>
      <c r="Q171" s="163">
        <v>5.503990155228089E-2</v>
      </c>
      <c r="R171" s="163">
        <v>4.916034883349274E-2</v>
      </c>
      <c r="S171" s="163">
        <v>5.3284587002275452E-2</v>
      </c>
      <c r="T171" s="163">
        <v>4.6438770495822568E-2</v>
      </c>
      <c r="U171" s="163">
        <v>5.378123107436461E-2</v>
      </c>
      <c r="V171" s="163">
        <v>5.4123928392651788E-2</v>
      </c>
      <c r="W171" s="163">
        <v>5.3204514285881799E-2</v>
      </c>
      <c r="X171" s="214">
        <v>5.3512745703827136E-2</v>
      </c>
      <c r="Y171" s="163">
        <v>5.2580154946279323E-2</v>
      </c>
      <c r="Z171" s="163">
        <v>5.4667101446115196E-2</v>
      </c>
      <c r="AA171" s="163">
        <v>5.0296776035877011E-2</v>
      </c>
      <c r="AB171" s="163">
        <v>5.4182273542130122E-2</v>
      </c>
      <c r="AC171" s="163">
        <v>5.5403825613348445E-2</v>
      </c>
      <c r="AD171" s="163">
        <v>5.13127303109433E-2</v>
      </c>
      <c r="AE171" s="163">
        <v>5.288435121579127E-2</v>
      </c>
      <c r="AF171" s="163">
        <v>5.147941371628928E-2</v>
      </c>
      <c r="AG171" s="163">
        <v>5.3175575741781445E-2</v>
      </c>
      <c r="AH171" s="163">
        <v>5.4158651158093707E-2</v>
      </c>
      <c r="AI171" s="163">
        <v>5.8419685387726017E-2</v>
      </c>
      <c r="AJ171" s="163">
        <v>5.3813202937880944E-2</v>
      </c>
      <c r="AK171" s="163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20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7.9296125178026644E-3</v>
      </c>
      <c r="H172" s="49">
        <f t="shared" si="45"/>
        <v>7.9296125178026644E-3</v>
      </c>
      <c r="I172" s="49">
        <f t="shared" si="45"/>
        <v>7.9296125178026644E-3</v>
      </c>
      <c r="J172" s="49">
        <f t="shared" si="45"/>
        <v>7.9296125178026644E-3</v>
      </c>
      <c r="K172" s="49">
        <f t="shared" si="45"/>
        <v>7.9296125178026644E-3</v>
      </c>
      <c r="L172" s="49">
        <f t="shared" si="45"/>
        <v>7.9296125178026644E-3</v>
      </c>
      <c r="M172" s="49">
        <f t="shared" si="45"/>
        <v>7.9296125178026644E-3</v>
      </c>
      <c r="N172" s="181"/>
      <c r="O172" s="111">
        <v>170</v>
      </c>
      <c r="P172" s="111">
        <v>0</v>
      </c>
      <c r="Q172" s="163">
        <v>8.1411608494639243E-3</v>
      </c>
      <c r="R172" s="163">
        <v>8.3780809469955475E-3</v>
      </c>
      <c r="S172" s="163">
        <v>9.7871670027535052E-3</v>
      </c>
      <c r="T172" s="163">
        <v>1.635269041024201E-2</v>
      </c>
      <c r="U172" s="163">
        <v>9.1957660950107156E-3</v>
      </c>
      <c r="V172" s="163">
        <v>9.421783718003951E-3</v>
      </c>
      <c r="W172" s="163">
        <v>1.0619573680694994E-2</v>
      </c>
      <c r="X172" s="214">
        <v>9.2589979425976576E-3</v>
      </c>
      <c r="Y172" s="163">
        <v>1.0484673502828501E-2</v>
      </c>
      <c r="Z172" s="163">
        <v>7.9388349901480249E-3</v>
      </c>
      <c r="AA172" s="163">
        <v>1.3605974269170984E-2</v>
      </c>
      <c r="AB172" s="163">
        <v>9.5944400375493899E-3</v>
      </c>
      <c r="AC172" s="163">
        <v>8.3371804494174473E-3</v>
      </c>
      <c r="AD172" s="163">
        <v>1.0491982213276518E-2</v>
      </c>
      <c r="AE172" s="163">
        <v>1.0884982180299985E-2</v>
      </c>
      <c r="AF172" s="163">
        <v>1.1006053941147842E-2</v>
      </c>
      <c r="AG172" s="163">
        <v>9.7635545924857903E-3</v>
      </c>
      <c r="AH172" s="163">
        <v>9.4711672338345654E-3</v>
      </c>
      <c r="AI172" s="163">
        <v>8.0165151496298659E-3</v>
      </c>
      <c r="AJ172" s="163">
        <v>9.6281305977349296E-3</v>
      </c>
      <c r="AK172" s="163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20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1.4274970927439234E-3</v>
      </c>
      <c r="H173" s="49">
        <f t="shared" si="45"/>
        <v>1.4274970927439234E-3</v>
      </c>
      <c r="I173" s="49">
        <f t="shared" si="45"/>
        <v>1.4274970927439234E-3</v>
      </c>
      <c r="J173" s="49">
        <f t="shared" si="45"/>
        <v>1.4274970927439234E-3</v>
      </c>
      <c r="K173" s="49">
        <f t="shared" si="45"/>
        <v>1.4274970927439234E-3</v>
      </c>
      <c r="L173" s="49">
        <f t="shared" si="45"/>
        <v>1.4274970927439234E-3</v>
      </c>
      <c r="M173" s="49">
        <f t="shared" si="45"/>
        <v>1.4274970927439234E-3</v>
      </c>
      <c r="N173" s="181"/>
      <c r="O173" s="111">
        <v>171</v>
      </c>
      <c r="P173" s="111">
        <v>0</v>
      </c>
      <c r="Q173" s="163">
        <v>4.0338828404695715E-4</v>
      </c>
      <c r="R173" s="163">
        <v>5.9946940642715829E-3</v>
      </c>
      <c r="S173" s="163">
        <v>-6.5025914175914634E-4</v>
      </c>
      <c r="T173" s="163">
        <v>1.6759843612100256E-3</v>
      </c>
      <c r="U173" s="163">
        <v>2.7663053736157184E-4</v>
      </c>
      <c r="V173" s="163">
        <v>-2.6035614297739706E-4</v>
      </c>
      <c r="W173" s="163">
        <v>-2.2490720512663431E-4</v>
      </c>
      <c r="X173" s="214">
        <v>8.5376572339093681E-4</v>
      </c>
      <c r="Y173" s="163">
        <v>-9.4108140005183527E-4</v>
      </c>
      <c r="Z173" s="163">
        <v>6.1302371553551005E-5</v>
      </c>
      <c r="AA173" s="163">
        <v>6.8268178762295739E-4</v>
      </c>
      <c r="AB173" s="163">
        <v>3.4373713503621506E-5</v>
      </c>
      <c r="AC173" s="163">
        <v>-5.7365548392321331E-4</v>
      </c>
      <c r="AD173" s="163">
        <v>2.2701363569527511E-3</v>
      </c>
      <c r="AE173" s="163">
        <v>-3.2346528351723247E-4</v>
      </c>
      <c r="AF173" s="163">
        <v>1.140042255446172E-3</v>
      </c>
      <c r="AG173" s="163">
        <v>-5.9075973229821832E-4</v>
      </c>
      <c r="AH173" s="163">
        <v>-2.1441362403668007E-4</v>
      </c>
      <c r="AI173" s="163">
        <v>-2.3827479727646372E-3</v>
      </c>
      <c r="AJ173" s="163">
        <v>-1.5707053355296097E-5</v>
      </c>
      <c r="AK173" s="163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20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0.14433696871551771</v>
      </c>
      <c r="H174" s="49">
        <f t="shared" si="45"/>
        <v>0.14433696871551771</v>
      </c>
      <c r="I174" s="49">
        <f t="shared" si="45"/>
        <v>0.14433696871551771</v>
      </c>
      <c r="J174" s="49">
        <f t="shared" si="45"/>
        <v>0.14433696871551771</v>
      </c>
      <c r="K174" s="49">
        <f t="shared" si="45"/>
        <v>0.14433696871551771</v>
      </c>
      <c r="L174" s="49">
        <f t="shared" si="45"/>
        <v>0.14433696871551771</v>
      </c>
      <c r="M174" s="49">
        <f t="shared" si="45"/>
        <v>0.14433696871551771</v>
      </c>
      <c r="N174" s="181"/>
      <c r="O174" s="111">
        <v>172</v>
      </c>
      <c r="P174" s="111">
        <v>0</v>
      </c>
      <c r="Q174" s="163">
        <v>0.10194906102051043</v>
      </c>
      <c r="R174" s="163">
        <v>0.13797223539543702</v>
      </c>
      <c r="S174" s="163">
        <v>0.11557135318483555</v>
      </c>
      <c r="T174" s="163">
        <v>0.15689125870107565</v>
      </c>
      <c r="U174" s="163">
        <v>0.13550366426895094</v>
      </c>
      <c r="V174" s="163">
        <v>0.1420445459839475</v>
      </c>
      <c r="W174" s="163">
        <v>0.11784423877075456</v>
      </c>
      <c r="X174" s="214">
        <v>0.12466894617253094</v>
      </c>
      <c r="Y174" s="163">
        <v>0.16991427230225328</v>
      </c>
      <c r="Z174" s="163">
        <v>0.17821776452137159</v>
      </c>
      <c r="AA174" s="163">
        <v>0.11405953951133221</v>
      </c>
      <c r="AB174" s="163">
        <v>0.15457317439348905</v>
      </c>
      <c r="AC174" s="163">
        <v>0.12037419191948384</v>
      </c>
      <c r="AD174" s="163">
        <v>0.14857425884810532</v>
      </c>
      <c r="AE174" s="163">
        <v>0.20277109741824062</v>
      </c>
      <c r="AF174" s="163">
        <v>0.16927832986658353</v>
      </c>
      <c r="AG174" s="163">
        <v>0.19844147105488796</v>
      </c>
      <c r="AH174" s="163">
        <v>0.14169574192628809</v>
      </c>
      <c r="AI174" s="163">
        <v>0.10564678612297607</v>
      </c>
      <c r="AJ174" s="163">
        <v>0.12594028554582348</v>
      </c>
      <c r="AK174" s="163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20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5.8453936704806808E-2</v>
      </c>
      <c r="H175" s="49">
        <f t="shared" si="45"/>
        <v>5.8453936704806808E-2</v>
      </c>
      <c r="I175" s="49">
        <f t="shared" si="45"/>
        <v>5.8453936704806808E-2</v>
      </c>
      <c r="J175" s="49">
        <f t="shared" si="45"/>
        <v>5.8453936704806808E-2</v>
      </c>
      <c r="K175" s="49">
        <f t="shared" si="45"/>
        <v>5.8453936704806808E-2</v>
      </c>
      <c r="L175" s="49">
        <f t="shared" si="45"/>
        <v>5.8453936704806808E-2</v>
      </c>
      <c r="M175" s="49">
        <f t="shared" si="45"/>
        <v>5.8453936704806808E-2</v>
      </c>
      <c r="N175" s="181"/>
      <c r="O175" s="111">
        <v>173</v>
      </c>
      <c r="P175" s="111">
        <v>0</v>
      </c>
      <c r="Q175" s="163">
        <v>9.1189738655948011E-2</v>
      </c>
      <c r="R175" s="163">
        <v>0.10143528458581824</v>
      </c>
      <c r="S175" s="163">
        <v>7.0267007453026831E-2</v>
      </c>
      <c r="T175" s="163">
        <v>5.232124614429616E-2</v>
      </c>
      <c r="U175" s="163">
        <v>6.6108571896744822E-2</v>
      </c>
      <c r="V175" s="163">
        <v>6.003319427512703E-2</v>
      </c>
      <c r="W175" s="163">
        <v>6.051504417461831E-2</v>
      </c>
      <c r="X175" s="214">
        <v>0.10565182817113133</v>
      </c>
      <c r="Y175" s="163">
        <v>7.102823441438598E-2</v>
      </c>
      <c r="Z175" s="163">
        <v>7.7925564110140705E-2</v>
      </c>
      <c r="AA175" s="163">
        <v>5.0262202405579666E-2</v>
      </c>
      <c r="AB175" s="163">
        <v>6.6071035432867714E-2</v>
      </c>
      <c r="AC175" s="163">
        <v>5.8429286772212735E-2</v>
      </c>
      <c r="AD175" s="163">
        <v>4.3348258892874789E-2</v>
      </c>
      <c r="AE175" s="163">
        <v>8.7725060705797123E-2</v>
      </c>
      <c r="AF175" s="163">
        <v>3.6828671976821645E-2</v>
      </c>
      <c r="AG175" s="163">
        <v>7.1961549152193563E-2</v>
      </c>
      <c r="AH175" s="163">
        <v>6.7324079211322413E-2</v>
      </c>
      <c r="AI175" s="163">
        <v>8.8855714342797237E-2</v>
      </c>
      <c r="AJ175" s="163">
        <v>5.8278593670142348E-2</v>
      </c>
      <c r="AK175" s="163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20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-0.20101963201828435</v>
      </c>
      <c r="H176" s="49">
        <f t="shared" si="45"/>
        <v>-0.20101963201828435</v>
      </c>
      <c r="I176" s="49">
        <f t="shared" si="45"/>
        <v>-0.20101963201828435</v>
      </c>
      <c r="J176" s="49">
        <f t="shared" si="45"/>
        <v>-0.20101963201828435</v>
      </c>
      <c r="K176" s="49">
        <f t="shared" si="45"/>
        <v>-0.20101963201828435</v>
      </c>
      <c r="L176" s="49">
        <f t="shared" si="45"/>
        <v>-0.20101963201828435</v>
      </c>
      <c r="M176" s="49">
        <f t="shared" si="45"/>
        <v>-0.20101963201828435</v>
      </c>
      <c r="N176" s="181"/>
      <c r="O176" s="111">
        <v>174</v>
      </c>
      <c r="P176" s="111">
        <v>0</v>
      </c>
      <c r="Q176" s="163">
        <v>-0.20663672686964946</v>
      </c>
      <c r="R176" s="163">
        <v>-0.23963911110966085</v>
      </c>
      <c r="S176" s="163">
        <v>-0.19377556722487993</v>
      </c>
      <c r="T176" s="163">
        <v>-0.19667267056573109</v>
      </c>
      <c r="U176" s="163">
        <v>-0.19982454385291665</v>
      </c>
      <c r="V176" s="163">
        <v>-0.19832146792901736</v>
      </c>
      <c r="W176" s="163">
        <v>-0.18759065264887106</v>
      </c>
      <c r="X176" s="214">
        <v>-0.24875118665730625</v>
      </c>
      <c r="Y176" s="163">
        <v>-0.21250333013948025</v>
      </c>
      <c r="Z176" s="163">
        <v>-0.20941867398814357</v>
      </c>
      <c r="AA176" s="163">
        <v>-0.18345276323003798</v>
      </c>
      <c r="AB176" s="163">
        <v>-0.18794898767840035</v>
      </c>
      <c r="AC176" s="163">
        <v>-0.19208104501518797</v>
      </c>
      <c r="AD176" s="163">
        <v>-0.1965192649703878</v>
      </c>
      <c r="AE176" s="163">
        <v>-0.21876341378886505</v>
      </c>
      <c r="AF176" s="163">
        <v>-0.15025749458548762</v>
      </c>
      <c r="AG176" s="163">
        <v>-0.19453034814682924</v>
      </c>
      <c r="AH176" s="163">
        <v>-0.19831640106704812</v>
      </c>
      <c r="AI176" s="163">
        <v>-0.19063932476945222</v>
      </c>
      <c r="AJ176" s="163">
        <v>-0.19298885908759725</v>
      </c>
      <c r="AK176" s="163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20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0.2778199459708583</v>
      </c>
      <c r="H177" s="49">
        <f t="shared" si="45"/>
        <v>0.2778199459708583</v>
      </c>
      <c r="I177" s="49">
        <f t="shared" si="45"/>
        <v>0.2778199459708583</v>
      </c>
      <c r="J177" s="49">
        <f t="shared" si="45"/>
        <v>0.2778199459708583</v>
      </c>
      <c r="K177" s="49">
        <f t="shared" si="45"/>
        <v>0.2778199459708583</v>
      </c>
      <c r="L177" s="49">
        <f t="shared" si="45"/>
        <v>0.2778199459708583</v>
      </c>
      <c r="M177" s="49">
        <f t="shared" si="45"/>
        <v>0.2778199459708583</v>
      </c>
      <c r="N177" s="181"/>
      <c r="O177" s="111">
        <v>175</v>
      </c>
      <c r="P177" s="111">
        <v>0</v>
      </c>
      <c r="Q177" s="163">
        <v>0.28772900710890736</v>
      </c>
      <c r="R177" s="163">
        <v>0.27092696230975616</v>
      </c>
      <c r="S177" s="163">
        <v>0.2899842608063613</v>
      </c>
      <c r="T177" s="163">
        <v>0.28298512422600247</v>
      </c>
      <c r="U177" s="163">
        <v>0.28707892412431502</v>
      </c>
      <c r="V177" s="163">
        <v>0.2851490113700737</v>
      </c>
      <c r="W177" s="163">
        <v>0.28500958184648895</v>
      </c>
      <c r="X177" s="214">
        <v>0.28370267151158091</v>
      </c>
      <c r="Y177" s="163">
        <v>0.28674139316725961</v>
      </c>
      <c r="Z177" s="163">
        <v>0.28379003825737037</v>
      </c>
      <c r="AA177" s="163">
        <v>0.28175998233412042</v>
      </c>
      <c r="AB177" s="163">
        <v>0.2816386059607896</v>
      </c>
      <c r="AC177" s="163">
        <v>0.28420139449902559</v>
      </c>
      <c r="AD177" s="163">
        <v>0.28483022925532114</v>
      </c>
      <c r="AE177" s="163">
        <v>0.29049857880350527</v>
      </c>
      <c r="AF177" s="163">
        <v>0.28273774566805199</v>
      </c>
      <c r="AG177" s="163">
        <v>0.29120275902466158</v>
      </c>
      <c r="AH177" s="163">
        <v>0.2827376505232107</v>
      </c>
      <c r="AI177" s="163">
        <v>0.29843590380536777</v>
      </c>
      <c r="AJ177" s="163">
        <v>0.28144827104784864</v>
      </c>
      <c r="AK177" s="163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20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1.6493101393689487E-2</v>
      </c>
      <c r="H178" s="49">
        <f t="shared" si="45"/>
        <v>1.6493101393689487E-2</v>
      </c>
      <c r="I178" s="49">
        <f t="shared" si="45"/>
        <v>1.6493101393689487E-2</v>
      </c>
      <c r="J178" s="49">
        <f t="shared" si="45"/>
        <v>1.6493101393689487E-2</v>
      </c>
      <c r="K178" s="49">
        <f t="shared" si="45"/>
        <v>1.6493101393689487E-2</v>
      </c>
      <c r="L178" s="49">
        <f t="shared" si="45"/>
        <v>1.6493101393689487E-2</v>
      </c>
      <c r="M178" s="49">
        <f t="shared" si="45"/>
        <v>1.6493101393689487E-2</v>
      </c>
      <c r="N178" s="181"/>
      <c r="O178" s="111">
        <v>176</v>
      </c>
      <c r="P178" s="111">
        <v>0</v>
      </c>
      <c r="Q178" s="163">
        <v>1.7069606512678453E-2</v>
      </c>
      <c r="R178" s="163">
        <v>1.6552268024858856E-2</v>
      </c>
      <c r="S178" s="163">
        <v>1.6884808980926914E-2</v>
      </c>
      <c r="T178" s="163">
        <v>1.6313376266207182E-2</v>
      </c>
      <c r="U178" s="163">
        <v>1.6151696019241348E-2</v>
      </c>
      <c r="V178" s="163">
        <v>1.6393943148746228E-2</v>
      </c>
      <c r="W178" s="163">
        <v>1.6487334535780412E-2</v>
      </c>
      <c r="X178" s="214">
        <v>1.7042358123801227E-2</v>
      </c>
      <c r="Y178" s="163">
        <v>1.6397049080020095E-2</v>
      </c>
      <c r="Z178" s="163">
        <v>1.7164879005947407E-2</v>
      </c>
      <c r="AA178" s="163">
        <v>1.7148540698927305E-2</v>
      </c>
      <c r="AB178" s="163">
        <v>1.6568226227378101E-2</v>
      </c>
      <c r="AC178" s="163">
        <v>1.5919092215677562E-2</v>
      </c>
      <c r="AD178" s="163">
        <v>1.4944986467434054E-2</v>
      </c>
      <c r="AE178" s="163">
        <v>1.7398767402179435E-2</v>
      </c>
      <c r="AF178" s="163">
        <v>1.6514003246118299E-2</v>
      </c>
      <c r="AG178" s="163">
        <v>1.4787566347912307E-2</v>
      </c>
      <c r="AH178" s="163">
        <v>1.6099577033044595E-2</v>
      </c>
      <c r="AI178" s="163">
        <v>1.749210972384746E-2</v>
      </c>
      <c r="AJ178" s="163">
        <v>1.7776288552165551E-2</v>
      </c>
      <c r="AK178" s="163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20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1.6898903802612567E-2</v>
      </c>
      <c r="H179" s="49">
        <f t="shared" si="45"/>
        <v>1.6898903802612567E-2</v>
      </c>
      <c r="I179" s="49">
        <f t="shared" si="45"/>
        <v>1.6898903802612567E-2</v>
      </c>
      <c r="J179" s="49">
        <f t="shared" si="45"/>
        <v>1.6898903802612567E-2</v>
      </c>
      <c r="K179" s="49">
        <f t="shared" si="45"/>
        <v>1.6898903802612567E-2</v>
      </c>
      <c r="L179" s="49">
        <f t="shared" si="45"/>
        <v>1.6898903802612567E-2</v>
      </c>
      <c r="M179" s="49">
        <f t="shared" si="45"/>
        <v>1.6898903802612567E-2</v>
      </c>
      <c r="N179" s="181"/>
      <c r="O179" s="111">
        <v>177</v>
      </c>
      <c r="P179" s="111">
        <v>0</v>
      </c>
      <c r="Q179" s="163">
        <v>1.6786752067508934E-2</v>
      </c>
      <c r="R179" s="163">
        <v>1.6747525564226536E-2</v>
      </c>
      <c r="S179" s="163">
        <v>1.7009932059591473E-2</v>
      </c>
      <c r="T179" s="163">
        <v>1.6955520913816583E-2</v>
      </c>
      <c r="U179" s="163">
        <v>1.7203225696670724E-2</v>
      </c>
      <c r="V179" s="163">
        <v>1.7086999661839512E-2</v>
      </c>
      <c r="W179" s="163">
        <v>1.690720112802924E-2</v>
      </c>
      <c r="X179" s="214">
        <v>1.7168498267042372E-2</v>
      </c>
      <c r="Y179" s="163">
        <v>1.7428216497280095E-2</v>
      </c>
      <c r="Z179" s="163">
        <v>1.695041636105039E-2</v>
      </c>
      <c r="AA179" s="163">
        <v>1.7414061292593028E-2</v>
      </c>
      <c r="AB179" s="163">
        <v>1.720622198906013E-2</v>
      </c>
      <c r="AC179" s="163">
        <v>1.6996314400266339E-2</v>
      </c>
      <c r="AD179" s="163">
        <v>1.7313247671871868E-2</v>
      </c>
      <c r="AE179" s="163">
        <v>1.6956025473438538E-2</v>
      </c>
      <c r="AF179" s="163">
        <v>1.7117255131705159E-2</v>
      </c>
      <c r="AG179" s="163">
        <v>1.6814518779379978E-2</v>
      </c>
      <c r="AH179" s="163">
        <v>1.7069436046277635E-2</v>
      </c>
      <c r="AI179" s="163">
        <v>1.6939413316907893E-2</v>
      </c>
      <c r="AJ179" s="163">
        <v>1.719346265690247E-2</v>
      </c>
      <c r="AK179" s="163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20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3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214">
        <v>0</v>
      </c>
      <c r="Y180" s="163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20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3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214">
        <v>0</v>
      </c>
      <c r="Y181" s="163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20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3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214">
        <v>0</v>
      </c>
      <c r="Y182" s="163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20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1"/>
      <c r="O183" s="111">
        <v>181</v>
      </c>
      <c r="P183" s="111">
        <v>0</v>
      </c>
      <c r="Q183" s="163">
        <v>1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214">
        <v>1</v>
      </c>
      <c r="Y183" s="163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20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1"/>
      <c r="O184" s="111">
        <v>182</v>
      </c>
      <c r="P184" s="111">
        <v>0</v>
      </c>
      <c r="Q184" s="163">
        <v>0.16439999999999999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214">
        <v>0.16439999999999999</v>
      </c>
      <c r="Y184" s="163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20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1"/>
      <c r="O185" s="111">
        <v>183</v>
      </c>
      <c r="P185" s="111">
        <v>0</v>
      </c>
      <c r="Q185" s="163">
        <v>63422.311800000003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214">
        <v>63422.311800000003</v>
      </c>
      <c r="Y185" s="163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20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1"/>
      <c r="O186" s="111">
        <v>184</v>
      </c>
      <c r="P186" s="111">
        <v>0</v>
      </c>
      <c r="Q186" s="163">
        <v>345129.01459999999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214">
        <v>345129.01459999999</v>
      </c>
      <c r="Y186" s="163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20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5"/>
      <c r="O187" s="111">
        <v>185</v>
      </c>
      <c r="P187" s="111">
        <v>0</v>
      </c>
      <c r="Q187" s="163">
        <v>1630327994.0632999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214">
        <v>1630327994.0632999</v>
      </c>
      <c r="Y187" s="163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20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1"/>
      <c r="O188" s="111">
        <v>186</v>
      </c>
      <c r="P188" s="111">
        <v>0</v>
      </c>
      <c r="Q188" s="163">
        <v>1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214">
        <v>1</v>
      </c>
      <c r="Y188" s="163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20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1"/>
      <c r="O189" s="111">
        <v>187</v>
      </c>
      <c r="P189" s="111">
        <v>0</v>
      </c>
      <c r="Q189" s="163">
        <v>1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214">
        <v>1</v>
      </c>
      <c r="Y189" s="163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20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1"/>
      <c r="O190" s="111">
        <v>188</v>
      </c>
      <c r="P190" s="111">
        <v>0</v>
      </c>
      <c r="Q190" s="163">
        <v>1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214">
        <v>1</v>
      </c>
      <c r="Y190" s="163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20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1"/>
      <c r="O191" s="111">
        <v>189</v>
      </c>
      <c r="P191" s="111">
        <v>0</v>
      </c>
      <c r="Q191" s="163">
        <v>1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214">
        <v>1</v>
      </c>
      <c r="Y191" s="163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20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1"/>
      <c r="O192" s="111">
        <v>190</v>
      </c>
      <c r="P192" s="111">
        <v>0</v>
      </c>
      <c r="Q192" s="163">
        <v>1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214">
        <v>1</v>
      </c>
      <c r="Y192" s="163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20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1"/>
      <c r="O193" s="111">
        <v>191</v>
      </c>
      <c r="P193" s="111">
        <v>0</v>
      </c>
      <c r="Q193" s="163">
        <v>1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214">
        <v>1</v>
      </c>
      <c r="Y193" s="163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20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1"/>
      <c r="O194" s="111">
        <v>192</v>
      </c>
      <c r="P194" s="111">
        <v>0</v>
      </c>
      <c r="Q194" s="163">
        <v>1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214">
        <v>1</v>
      </c>
      <c r="Y194" s="163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20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1"/>
      <c r="O195" s="111">
        <v>193</v>
      </c>
      <c r="P195" s="111">
        <v>0</v>
      </c>
      <c r="Q195" s="163">
        <v>1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214">
        <v>1</v>
      </c>
      <c r="Y195" s="163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20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1"/>
      <c r="O196" s="111">
        <v>194</v>
      </c>
      <c r="P196" s="111">
        <v>0</v>
      </c>
      <c r="Q196" s="163">
        <v>1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214">
        <v>1</v>
      </c>
      <c r="Y196" s="163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20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1"/>
      <c r="O197" s="111">
        <v>195</v>
      </c>
      <c r="P197" s="111">
        <v>0</v>
      </c>
      <c r="Q197" s="163">
        <v>1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214">
        <v>1</v>
      </c>
      <c r="Y197" s="163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20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5"/>
      <c r="O198" s="111">
        <v>196</v>
      </c>
      <c r="P198" s="111">
        <v>0</v>
      </c>
      <c r="Q198" s="163">
        <v>2722.7979999999998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214">
        <v>2722.7979999999998</v>
      </c>
      <c r="Y198" s="163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20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1"/>
      <c r="O199" s="111">
        <v>197</v>
      </c>
      <c r="P199" s="111">
        <v>0</v>
      </c>
      <c r="Q199" s="163">
        <v>0.12859999999999999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214">
        <v>0.12859999999999999</v>
      </c>
      <c r="Y199" s="163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20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1"/>
      <c r="O200" s="111">
        <v>198</v>
      </c>
      <c r="P200" s="111">
        <v>0</v>
      </c>
      <c r="Q200" s="163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214">
        <v>0</v>
      </c>
      <c r="Y200" s="163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20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3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214">
        <v>0</v>
      </c>
      <c r="Y201" s="163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20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3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214">
        <v>0</v>
      </c>
      <c r="Y202" s="163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20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214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20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3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214">
        <v>0</v>
      </c>
      <c r="Y204" s="163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20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2"/>
      <c r="O205" s="111">
        <v>203</v>
      </c>
      <c r="P205" s="111">
        <v>0</v>
      </c>
      <c r="Q205" s="163">
        <v>1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214">
        <v>1</v>
      </c>
      <c r="Y205" s="163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20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-0.16493400774006556</v>
      </c>
      <c r="H206" s="48">
        <f t="shared" ref="H206:K209" si="49">LN(H152/H184)</f>
        <v>-0.17467479905059857</v>
      </c>
      <c r="I206" s="48">
        <f t="shared" si="49"/>
        <v>-0.17745899331310222</v>
      </c>
      <c r="J206" s="48">
        <f t="shared" si="49"/>
        <v>-0.96695445173001637</v>
      </c>
      <c r="K206" s="48">
        <f t="shared" si="49"/>
        <v>-0.96695445173001637</v>
      </c>
      <c r="L206" s="48">
        <f t="shared" ref="L206:M206" si="50">LN(L152/L184)</f>
        <v>-0.96695445173001637</v>
      </c>
      <c r="M206" s="48">
        <f t="shared" si="50"/>
        <v>-0.96695445173001637</v>
      </c>
      <c r="N206" s="182"/>
      <c r="O206" s="111">
        <v>204</v>
      </c>
      <c r="P206" s="111">
        <v>0</v>
      </c>
      <c r="Q206" s="163">
        <v>-0.33541936986802484</v>
      </c>
      <c r="R206" s="163">
        <v>-0.10362295040572317</v>
      </c>
      <c r="S206" s="163">
        <v>-0.16344156190674441</v>
      </c>
      <c r="T206" s="163">
        <v>-0.24289273004618939</v>
      </c>
      <c r="U206" s="163">
        <v>-0.17882692587605531</v>
      </c>
      <c r="V206" s="163">
        <v>-0.29527908461972097</v>
      </c>
      <c r="W206" s="163">
        <v>-0.16493400774006556</v>
      </c>
      <c r="X206" s="214">
        <v>-0.2278791032256926</v>
      </c>
      <c r="Y206" s="163">
        <v>-0.17647811733177762</v>
      </c>
      <c r="Z206" s="163">
        <v>-0.12901351451513718</v>
      </c>
      <c r="AA206" s="163">
        <v>-0.32770586607874241</v>
      </c>
      <c r="AB206" s="163">
        <v>-0.35868770925407395</v>
      </c>
      <c r="AC206" s="163">
        <v>-0.26629137290306631</v>
      </c>
      <c r="AD206" s="163">
        <v>-0.19728239257196289</v>
      </c>
      <c r="AE206" s="163">
        <v>-0.35868770925407395</v>
      </c>
      <c r="AF206" s="163">
        <v>-0.20330195649496349</v>
      </c>
      <c r="AG206" s="163">
        <v>-0.17647811733177762</v>
      </c>
      <c r="AH206" s="163">
        <v>-0.35868770925407395</v>
      </c>
      <c r="AI206" s="163">
        <v>-0.17993931368463315</v>
      </c>
      <c r="AJ206" s="163">
        <v>-0.16344156190674441</v>
      </c>
      <c r="AK206" s="163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20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-1.9115558382316205</v>
      </c>
      <c r="H207" s="48">
        <f t="shared" si="49"/>
        <v>-1.9014176607964308</v>
      </c>
      <c r="I207" s="48">
        <f t="shared" si="49"/>
        <v>-1.8825426563645553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2"/>
      <c r="O207" s="111">
        <v>205</v>
      </c>
      <c r="P207" s="111">
        <v>0</v>
      </c>
      <c r="Q207" s="163">
        <v>2.7397990089996709</v>
      </c>
      <c r="R207" s="163">
        <v>-1.6881776978204626</v>
      </c>
      <c r="S207" s="163">
        <v>-3.6569504222801106</v>
      </c>
      <c r="T207" s="163">
        <v>-0.55017740033311535</v>
      </c>
      <c r="U207" s="163">
        <v>-0.47040596293159792</v>
      </c>
      <c r="V207" s="163">
        <v>5.6696138423739904E-2</v>
      </c>
      <c r="W207" s="163">
        <v>-0.78055630254289354</v>
      </c>
      <c r="X207" s="214">
        <v>-2.2159781528480647</v>
      </c>
      <c r="Y207" s="163">
        <v>-3.9338982144466383</v>
      </c>
      <c r="Z207" s="163">
        <v>-1.3065355703067945</v>
      </c>
      <c r="AA207" s="163">
        <v>-3.3424473960191405</v>
      </c>
      <c r="AB207" s="163">
        <v>-1.6365645978719656</v>
      </c>
      <c r="AC207" s="163">
        <v>2.0347254829830474E-2</v>
      </c>
      <c r="AD207" s="163">
        <v>-0.43276191737228187</v>
      </c>
      <c r="AE207" s="163">
        <v>0.33230508679007237</v>
      </c>
      <c r="AF207" s="163">
        <v>-1.2079062538126242</v>
      </c>
      <c r="AG207" s="163">
        <v>-2.9595362434751751</v>
      </c>
      <c r="AH207" s="163">
        <v>-0.75678492834001365</v>
      </c>
      <c r="AI207" s="163">
        <v>-1.1001636051256873</v>
      </c>
      <c r="AJ207" s="163">
        <v>-2.8285933562929326</v>
      </c>
      <c r="AK207" s="163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20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-2.0172353442286681</v>
      </c>
      <c r="H208" s="48">
        <f t="shared" si="49"/>
        <v>-1.9381145968755698</v>
      </c>
      <c r="I208" s="48">
        <f t="shared" si="49"/>
        <v>-1.9120926697654732</v>
      </c>
      <c r="J208" s="48">
        <f t="shared" si="49"/>
        <v>-1.9120926697654732</v>
      </c>
      <c r="K208" s="48">
        <f t="shared" si="49"/>
        <v>-1.9120926697654732</v>
      </c>
      <c r="L208" s="48">
        <f t="shared" ref="L208:M208" si="52">LN(L154/L186)</f>
        <v>-1.9120926697654732</v>
      </c>
      <c r="M208" s="48">
        <f t="shared" si="52"/>
        <v>-1.9120926697654732</v>
      </c>
      <c r="N208" s="182"/>
      <c r="O208" s="111">
        <v>206</v>
      </c>
      <c r="P208" s="111">
        <v>0</v>
      </c>
      <c r="Q208" s="163">
        <v>2.8237614228197381</v>
      </c>
      <c r="R208" s="163">
        <v>-1.9860347431623011</v>
      </c>
      <c r="S208" s="163">
        <v>-3.6780697330692242</v>
      </c>
      <c r="T208" s="163">
        <v>-0.45318585197698569</v>
      </c>
      <c r="U208" s="163">
        <v>-0.55771906477201194</v>
      </c>
      <c r="V208" s="163">
        <v>9.5436827819632281E-2</v>
      </c>
      <c r="W208" s="163">
        <v>-1.0821889109311928</v>
      </c>
      <c r="X208" s="214">
        <v>-2.1564147945557934</v>
      </c>
      <c r="Y208" s="163">
        <v>-3.6602293644396093</v>
      </c>
      <c r="Z208" s="163">
        <v>-1.5879794047418916</v>
      </c>
      <c r="AA208" s="163">
        <v>-3.8627789121003433</v>
      </c>
      <c r="AB208" s="163">
        <v>-1.6807942248728724</v>
      </c>
      <c r="AC208" s="163">
        <v>0.10264040169574182</v>
      </c>
      <c r="AD208" s="163">
        <v>-0.37596787201401216</v>
      </c>
      <c r="AE208" s="163">
        <v>0.6433089907071281</v>
      </c>
      <c r="AF208" s="163">
        <v>-1.1554829143376621</v>
      </c>
      <c r="AG208" s="163">
        <v>-3.0972886194201137</v>
      </c>
      <c r="AH208" s="163">
        <v>-0.87814091403536998</v>
      </c>
      <c r="AI208" s="163">
        <v>-1.1283433445232467</v>
      </c>
      <c r="AJ208" s="163">
        <v>-2.9069280489595708</v>
      </c>
      <c r="AK208" s="163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20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-2.1191891743537425</v>
      </c>
      <c r="H209" s="48">
        <f t="shared" si="49"/>
        <v>-2.0825697057347972</v>
      </c>
      <c r="I209" s="48">
        <f t="shared" si="49"/>
        <v>-1.9892337275211671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2"/>
      <c r="O209" s="111">
        <v>207</v>
      </c>
      <c r="P209" s="111">
        <v>0</v>
      </c>
      <c r="Q209" s="163">
        <v>2.6986601097886118</v>
      </c>
      <c r="R209" s="163">
        <v>-2.085889253074185</v>
      </c>
      <c r="S209" s="163">
        <v>-4.0239000630249482</v>
      </c>
      <c r="T209" s="163">
        <v>-0.51868706411201326</v>
      </c>
      <c r="U209" s="163">
        <v>-0.55810589478809491</v>
      </c>
      <c r="V209" s="163">
        <v>-5.4212655245937463E-2</v>
      </c>
      <c r="W209" s="163">
        <v>-1.2884737920583469</v>
      </c>
      <c r="X209" s="214">
        <v>-2.4802717617332242</v>
      </c>
      <c r="Y209" s="163">
        <v>-4.2070718515799337</v>
      </c>
      <c r="Z209" s="163">
        <v>-1.7277929049623595</v>
      </c>
      <c r="AA209" s="163">
        <v>-4.081307182129156</v>
      </c>
      <c r="AB209" s="163">
        <v>-2.0118075211135418</v>
      </c>
      <c r="AC209" s="163">
        <v>1.1614028885034698E-3</v>
      </c>
      <c r="AD209" s="163">
        <v>-0.61795339576167152</v>
      </c>
      <c r="AE209" s="163">
        <v>0.36861091770749865</v>
      </c>
      <c r="AF209" s="163">
        <v>-1.2319628110942014</v>
      </c>
      <c r="AG209" s="163">
        <v>-3.4070153111121404</v>
      </c>
      <c r="AH209" s="163">
        <v>-1.2102116292514928</v>
      </c>
      <c r="AI209" s="163">
        <v>-1.0175047706599367</v>
      </c>
      <c r="AJ209" s="163">
        <v>-3.1224551941270171</v>
      </c>
      <c r="AK209" s="163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20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1.3601613454600002E-2</v>
      </c>
      <c r="H210" s="48">
        <f t="shared" ref="H210:K213" si="54">H206*H206/2</f>
        <v>1.5255642711683497E-2</v>
      </c>
      <c r="I210" s="48">
        <f t="shared" si="54"/>
        <v>1.5745847153849829E-2</v>
      </c>
      <c r="J210" s="48">
        <f t="shared" si="54"/>
        <v>0.4675004558602483</v>
      </c>
      <c r="K210" s="48">
        <f t="shared" si="54"/>
        <v>0.4675004558602483</v>
      </c>
      <c r="L210" s="48">
        <f t="shared" ref="L210:M210" si="55">L206*L206/2</f>
        <v>0.4675004558602483</v>
      </c>
      <c r="M210" s="48">
        <f t="shared" si="55"/>
        <v>0.4675004558602483</v>
      </c>
      <c r="N210" s="182"/>
      <c r="O210" s="111">
        <v>208</v>
      </c>
      <c r="P210" s="111">
        <v>0</v>
      </c>
      <c r="Q210" s="163">
        <v>5.6253076841331427E-2</v>
      </c>
      <c r="R210" s="163">
        <v>5.3688579253934818E-3</v>
      </c>
      <c r="S210" s="163">
        <v>1.3356572079258083E-2</v>
      </c>
      <c r="T210" s="163">
        <v>2.9498439154645516E-2</v>
      </c>
      <c r="U210" s="163">
        <v>1.598953470914009E-2</v>
      </c>
      <c r="V210" s="163">
        <v>4.3594868906930165E-2</v>
      </c>
      <c r="W210" s="163">
        <v>1.3601613454600002E-2</v>
      </c>
      <c r="X210" s="214">
        <v>2.5964442843472931E-2</v>
      </c>
      <c r="Y210" s="163">
        <v>1.5572262948484334E-2</v>
      </c>
      <c r="Z210" s="163">
        <v>8.3222434637737555E-3</v>
      </c>
      <c r="AA210" s="163">
        <v>5.369556733120933E-2</v>
      </c>
      <c r="AB210" s="163">
        <v>6.4328436384967547E-2</v>
      </c>
      <c r="AC210" s="163">
        <v>3.5455547641299962E-2</v>
      </c>
      <c r="AD210" s="163">
        <v>1.9460171209459039E-2</v>
      </c>
      <c r="AE210" s="163">
        <v>6.4328436384967547E-2</v>
      </c>
      <c r="AF210" s="163">
        <v>2.0665842757340014E-2</v>
      </c>
      <c r="AG210" s="163">
        <v>1.5572262948484334E-2</v>
      </c>
      <c r="AH210" s="163">
        <v>6.4328436384967547E-2</v>
      </c>
      <c r="AI210" s="163">
        <v>1.6189078304648403E-2</v>
      </c>
      <c r="AJ210" s="163">
        <v>1.3356572079258083E-2</v>
      </c>
      <c r="AK210" s="163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20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1.8270228613386965</v>
      </c>
      <c r="H211" s="48">
        <f t="shared" si="54"/>
        <v>1.8076945603942853</v>
      </c>
      <c r="I211" s="48">
        <f t="shared" si="54"/>
        <v>1.7719834265160581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2"/>
      <c r="O211" s="111">
        <v>209</v>
      </c>
      <c r="P211" s="111">
        <v>0</v>
      </c>
      <c r="Q211" s="163">
        <v>3.7532493048577895</v>
      </c>
      <c r="R211" s="163">
        <v>1.4249719697091985</v>
      </c>
      <c r="S211" s="163">
        <v>6.6866431955073393</v>
      </c>
      <c r="T211" s="163">
        <v>0.15134758591865255</v>
      </c>
      <c r="U211" s="163">
        <v>0.11064088498080193</v>
      </c>
      <c r="V211" s="163">
        <v>1.6072260560819381E-3</v>
      </c>
      <c r="W211" s="163">
        <v>0.3046340707197166</v>
      </c>
      <c r="X211" s="214">
        <v>2.4552795869499602</v>
      </c>
      <c r="Y211" s="163">
        <v>7.7377775808132245</v>
      </c>
      <c r="Z211" s="163">
        <v>0.8535175982384503</v>
      </c>
      <c r="AA211" s="163">
        <v>5.5859772975775668</v>
      </c>
      <c r="AB211" s="163">
        <v>1.3391718415039142</v>
      </c>
      <c r="AC211" s="163">
        <v>2.0700538955502977E-4</v>
      </c>
      <c r="AD211" s="163">
        <v>9.3641438563866863E-2</v>
      </c>
      <c r="AE211" s="163">
        <v>5.5213335353278763E-2</v>
      </c>
      <c r="AF211" s="163">
        <v>0.72951875899982388</v>
      </c>
      <c r="AG211" s="163">
        <v>4.3794273882215755</v>
      </c>
      <c r="AH211" s="163">
        <v>0.28636171388129977</v>
      </c>
      <c r="AI211" s="163">
        <v>0.60517997902157461</v>
      </c>
      <c r="AJ211" s="163">
        <v>4.000470187632259</v>
      </c>
      <c r="AK211" s="163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20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2.0346192170026765</v>
      </c>
      <c r="H212" s="48">
        <f t="shared" si="54"/>
        <v>1.8781440953110762</v>
      </c>
      <c r="I212" s="48">
        <f t="shared" si="54"/>
        <v>1.8280491888854276</v>
      </c>
      <c r="J212" s="48">
        <f t="shared" si="54"/>
        <v>1.8280491888854276</v>
      </c>
      <c r="K212" s="48">
        <f t="shared" si="54"/>
        <v>1.8280491888854276</v>
      </c>
      <c r="L212" s="48">
        <f t="shared" ref="L212:M212" si="57">L208*L208/2</f>
        <v>1.8280491888854276</v>
      </c>
      <c r="M212" s="48">
        <f t="shared" si="57"/>
        <v>1.8280491888854276</v>
      </c>
      <c r="N212" s="182"/>
      <c r="O212" s="111">
        <v>210</v>
      </c>
      <c r="P212" s="111">
        <v>0</v>
      </c>
      <c r="Q212" s="163">
        <v>3.9868142865024758</v>
      </c>
      <c r="R212" s="163">
        <v>1.9721670005238736</v>
      </c>
      <c r="S212" s="163">
        <v>6.7640984806599569</v>
      </c>
      <c r="T212" s="163">
        <v>0.10268870821605319</v>
      </c>
      <c r="U212" s="163">
        <v>0.15552527760508383</v>
      </c>
      <c r="V212" s="163">
        <v>4.5540940521370688E-3</v>
      </c>
      <c r="W212" s="163">
        <v>0.58556641947122068</v>
      </c>
      <c r="X212" s="214">
        <v>2.3250623830895525</v>
      </c>
      <c r="Y212" s="163">
        <v>6.6986395001529928</v>
      </c>
      <c r="Z212" s="163">
        <v>1.2608392949422063</v>
      </c>
      <c r="AA212" s="163">
        <v>7.4605304618835557</v>
      </c>
      <c r="AB212" s="163">
        <v>1.4125346131830001</v>
      </c>
      <c r="AC212" s="163">
        <v>5.2675260301316201E-3</v>
      </c>
      <c r="AD212" s="163">
        <v>7.067592039337231E-2</v>
      </c>
      <c r="AE212" s="163">
        <v>0.20692322876231192</v>
      </c>
      <c r="AF212" s="163">
        <v>0.66757038266312851</v>
      </c>
      <c r="AG212" s="163">
        <v>4.7965983959946765</v>
      </c>
      <c r="AH212" s="163">
        <v>0.38556573245143755</v>
      </c>
      <c r="AI212" s="163">
        <v>0.63657935156495304</v>
      </c>
      <c r="AJ212" s="163">
        <v>4.2251153409139484</v>
      </c>
      <c r="AK212" s="163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20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2.2454813783490484</v>
      </c>
      <c r="H213" s="48">
        <f t="shared" si="54"/>
        <v>2.16854828962216</v>
      </c>
      <c r="I213" s="48">
        <f t="shared" si="54"/>
        <v>1.9785254113538784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2"/>
      <c r="O213" s="111">
        <v>211</v>
      </c>
      <c r="P213" s="111">
        <v>0</v>
      </c>
      <c r="Q213" s="163">
        <v>3.6413831940821413</v>
      </c>
      <c r="R213" s="163">
        <v>2.1754669880451907</v>
      </c>
      <c r="S213" s="163">
        <v>8.0958858586060902</v>
      </c>
      <c r="T213" s="163">
        <v>0.13451813523856987</v>
      </c>
      <c r="U213" s="163">
        <v>0.15574109489861004</v>
      </c>
      <c r="V213" s="163">
        <v>1.4695059944074354E-3</v>
      </c>
      <c r="W213" s="163">
        <v>0.83008235641060812</v>
      </c>
      <c r="X213" s="214">
        <v>3.0758740060256158</v>
      </c>
      <c r="Y213" s="163">
        <v>8.8497267821781058</v>
      </c>
      <c r="Z213" s="163">
        <v>1.4926341612191345</v>
      </c>
      <c r="AA213" s="163">
        <v>8.328534157449516</v>
      </c>
      <c r="AB213" s="163">
        <v>2.0236847510045068</v>
      </c>
      <c r="AC213" s="163">
        <v>6.7442833471210148E-7</v>
      </c>
      <c r="AD213" s="163">
        <v>0.19093319966669051</v>
      </c>
      <c r="AE213" s="163">
        <v>6.7937004326582173E-2</v>
      </c>
      <c r="AF213" s="163">
        <v>0.7588661839595634</v>
      </c>
      <c r="AG213" s="163">
        <v>5.8038766650762774</v>
      </c>
      <c r="AH213" s="163">
        <v>0.73230609378777634</v>
      </c>
      <c r="AI213" s="163">
        <v>0.51765797915786516</v>
      </c>
      <c r="AJ213" s="163">
        <v>4.8748632196653938</v>
      </c>
      <c r="AK213" s="163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20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0.31528056541846161</v>
      </c>
      <c r="H214" s="48">
        <f t="shared" ref="H214:K214" si="59">H206*H207</f>
        <v>0.33212974781087573</v>
      </c>
      <c r="I214" s="48">
        <f t="shared" si="59"/>
        <v>0.33407412466742731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2"/>
      <c r="O214" s="111">
        <v>212</v>
      </c>
      <c r="P214" s="111">
        <v>0</v>
      </c>
      <c r="Q214" s="163">
        <v>-0.9189816571637085</v>
      </c>
      <c r="R214" s="163">
        <v>0.17493395385729771</v>
      </c>
      <c r="S214" s="163">
        <v>0.59769768883298979</v>
      </c>
      <c r="T214" s="163">
        <v>0.13363409077662566</v>
      </c>
      <c r="U214" s="163">
        <v>8.4121252264823282E-2</v>
      </c>
      <c r="V214" s="163">
        <v>-1.6741183855234907E-2</v>
      </c>
      <c r="W214" s="163">
        <v>0.12874027924516657</v>
      </c>
      <c r="X214" s="214">
        <v>0.50497511423874375</v>
      </c>
      <c r="Y214" s="163">
        <v>0.69424695066038433</v>
      </c>
      <c r="Z214" s="163">
        <v>0.16856074576431865</v>
      </c>
      <c r="AA214" s="163">
        <v>1.0953396187350897</v>
      </c>
      <c r="AB214" s="163">
        <v>0.58701560665701003</v>
      </c>
      <c r="AC214" s="163">
        <v>-5.4182984234441038E-3</v>
      </c>
      <c r="AD214" s="163">
        <v>8.5376306473233882E-2</v>
      </c>
      <c r="AE214" s="163">
        <v>-0.11919375035420729</v>
      </c>
      <c r="AF214" s="163">
        <v>0.24556970466260844</v>
      </c>
      <c r="AG214" s="163">
        <v>0.52229338442366036</v>
      </c>
      <c r="AH214" s="163">
        <v>0.27144945234428802</v>
      </c>
      <c r="AI214" s="163">
        <v>0.19796268404712794</v>
      </c>
      <c r="AJ214" s="163">
        <v>0.4623097161515573</v>
      </c>
      <c r="AK214" s="163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20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0.33271070987854495</v>
      </c>
      <c r="H215" s="48">
        <f t="shared" ref="H215:K215" si="61">H206*H208</f>
        <v>0.33853977774627203</v>
      </c>
      <c r="I215" s="48">
        <f t="shared" si="61"/>
        <v>0.33931804029794288</v>
      </c>
      <c r="J215" s="48">
        <f t="shared" si="61"/>
        <v>1.8489065191500564</v>
      </c>
      <c r="K215" s="48">
        <f t="shared" si="61"/>
        <v>1.8489065191500564</v>
      </c>
      <c r="L215" s="48">
        <f t="shared" ref="L215:M215" si="62">L206*L208</f>
        <v>1.8489065191500564</v>
      </c>
      <c r="M215" s="48">
        <f t="shared" si="62"/>
        <v>1.8489065191500564</v>
      </c>
      <c r="N215" s="182"/>
      <c r="O215" s="111">
        <v>213</v>
      </c>
      <c r="P215" s="111">
        <v>0</v>
      </c>
      <c r="Q215" s="163">
        <v>-0.94714427709983384</v>
      </c>
      <c r="R215" s="163">
        <v>0.20579877969475027</v>
      </c>
      <c r="S215" s="163">
        <v>0.60114946197475649</v>
      </c>
      <c r="T215" s="163">
        <v>0.11007554880499833</v>
      </c>
      <c r="U215" s="163">
        <v>9.9735185855647474E-2</v>
      </c>
      <c r="V215" s="163">
        <v>-2.8180499157590942E-2</v>
      </c>
      <c r="W215" s="163">
        <v>0.17848975421173849</v>
      </c>
      <c r="X215" s="214">
        <v>0.49140186956599036</v>
      </c>
      <c r="Y215" s="163">
        <v>0.64595038723879117</v>
      </c>
      <c r="Z215" s="163">
        <v>0.20487080398340693</v>
      </c>
      <c r="AA215" s="163">
        <v>1.2658553088605453</v>
      </c>
      <c r="AB215" s="163">
        <v>0.60288023024712745</v>
      </c>
      <c r="AC215" s="163">
        <v>-2.7332253482881305E-2</v>
      </c>
      <c r="AD215" s="163">
        <v>7.4171841321113846E-2</v>
      </c>
      <c r="AE215" s="163">
        <v>-0.23074702821929013</v>
      </c>
      <c r="AF215" s="163">
        <v>0.23491193718134901</v>
      </c>
      <c r="AG215" s="163">
        <v>0.54660366438840235</v>
      </c>
      <c r="AH215" s="163">
        <v>0.31497835285762554</v>
      </c>
      <c r="AI215" s="163">
        <v>0.20303332701413657</v>
      </c>
      <c r="AJ215" s="163">
        <v>0.47511286067247743</v>
      </c>
      <c r="AK215" s="163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20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0.34952636368552331</v>
      </c>
      <c r="H216" s="48">
        <f t="shared" ref="H216:K216" si="63">H206*H209</f>
        <v>0.36377244485808991</v>
      </c>
      <c r="I216" s="48">
        <f t="shared" si="63"/>
        <v>0.35300741475037622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2"/>
      <c r="O216" s="111">
        <v>214</v>
      </c>
      <c r="P216" s="111">
        <v>0</v>
      </c>
      <c r="Q216" s="163">
        <v>-0.90518287351327087</v>
      </c>
      <c r="R216" s="163">
        <v>0.21614599862313721</v>
      </c>
      <c r="S216" s="163">
        <v>0.65767251125744486</v>
      </c>
      <c r="T216" s="163">
        <v>0.12598531704180976</v>
      </c>
      <c r="U216" s="163">
        <v>9.9804361478260176E-2</v>
      </c>
      <c r="V216" s="163">
        <v>1.6007863215824928E-2</v>
      </c>
      <c r="W216" s="163">
        <v>0.21251314639222302</v>
      </c>
      <c r="X216" s="214">
        <v>0.56520210481977584</v>
      </c>
      <c r="Y216" s="163">
        <v>0.74245611984634252</v>
      </c>
      <c r="Z216" s="163">
        <v>0.22290863502351241</v>
      </c>
      <c r="AA216" s="163">
        <v>1.3374683048530267</v>
      </c>
      <c r="AB216" s="163">
        <v>0.72161063120833335</v>
      </c>
      <c r="AC216" s="163">
        <v>-3.0927156967317583E-4</v>
      </c>
      <c r="AD216" s="163">
        <v>0.12191132441383164</v>
      </c>
      <c r="AE216" s="163">
        <v>-0.13221620567854467</v>
      </c>
      <c r="AF216" s="163">
        <v>0.25046044982448623</v>
      </c>
      <c r="AG216" s="163">
        <v>0.60126364782561115</v>
      </c>
      <c r="AH216" s="163">
        <v>0.43408803700885862</v>
      </c>
      <c r="AI216" s="163">
        <v>0.18308911010338907</v>
      </c>
      <c r="AJ216" s="163">
        <v>0.5103389539119465</v>
      </c>
      <c r="AK216" s="163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20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3.8560579993474833</v>
      </c>
      <c r="H217" s="48">
        <f t="shared" ref="H217:K217" si="65">H207*H208</f>
        <v>3.6851653231465633</v>
      </c>
      <c r="I217" s="48">
        <f t="shared" si="65"/>
        <v>3.5995960137554883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2"/>
      <c r="O217" s="111">
        <v>215</v>
      </c>
      <c r="P217" s="111">
        <v>0</v>
      </c>
      <c r="Q217" s="163">
        <v>7.736538747893019</v>
      </c>
      <c r="R217" s="163">
        <v>3.3527795605031869</v>
      </c>
      <c r="S217" s="163">
        <v>13.450518663523193</v>
      </c>
      <c r="T217" s="163">
        <v>0.24933261390844602</v>
      </c>
      <c r="U217" s="163">
        <v>0.26235437370938852</v>
      </c>
      <c r="V217" s="163">
        <v>5.4108996007845031E-3</v>
      </c>
      <c r="W217" s="163">
        <v>0.8447093749693726</v>
      </c>
      <c r="X217" s="214">
        <v>4.7785680732139859</v>
      </c>
      <c r="Y217" s="163">
        <v>14.398969761234133</v>
      </c>
      <c r="Z217" s="163">
        <v>2.0747515772098915</v>
      </c>
      <c r="AA217" s="163">
        <v>12.91113531614744</v>
      </c>
      <c r="AB217" s="163">
        <v>2.7507283247345948</v>
      </c>
      <c r="AC217" s="163">
        <v>2.0884504091394228E-3</v>
      </c>
      <c r="AD217" s="163">
        <v>0.16270457716316059</v>
      </c>
      <c r="AE217" s="163">
        <v>0.21377484998976606</v>
      </c>
      <c r="AF217" s="163">
        <v>1.3957150384020989</v>
      </c>
      <c r="AG217" s="163">
        <v>9.1665379256770141</v>
      </c>
      <c r="AH217" s="163">
        <v>0.66456380870069154</v>
      </c>
      <c r="AI217" s="163">
        <v>1.2413622817302705</v>
      </c>
      <c r="AJ217" s="163">
        <v>8.2225173665086189</v>
      </c>
      <c r="AK217" s="163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20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4.050948438553144</v>
      </c>
      <c r="H218" s="48">
        <f t="shared" ref="H218:K218" si="67">H207*H209</f>
        <v>3.9598348183237695</v>
      </c>
      <c r="I218" s="48">
        <f t="shared" si="67"/>
        <v>3.7448173455376641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2"/>
      <c r="O218" s="111">
        <v>216</v>
      </c>
      <c r="P218" s="111">
        <v>0</v>
      </c>
      <c r="Q218" s="163">
        <v>7.3937862944257819</v>
      </c>
      <c r="R218" s="163">
        <v>3.5213517171632218</v>
      </c>
      <c r="S218" s="163">
        <v>14.715203034692047</v>
      </c>
      <c r="T218" s="163">
        <v>0.2853699005195634</v>
      </c>
      <c r="U218" s="163">
        <v>0.26253634085559485</v>
      </c>
      <c r="V218" s="163">
        <v>-3.0736482061421598E-3</v>
      </c>
      <c r="W218" s="163">
        <v>1.0057263390524842</v>
      </c>
      <c r="X218" s="214">
        <v>5.4962280371268051</v>
      </c>
      <c r="Y218" s="163">
        <v>16.550192444979015</v>
      </c>
      <c r="Z218" s="163">
        <v>2.2574228884570293</v>
      </c>
      <c r="AA218" s="163">
        <v>13.641554563261813</v>
      </c>
      <c r="AB218" s="163">
        <v>3.2924529667869793</v>
      </c>
      <c r="AC218" s="163">
        <v>2.3631360532481288E-5</v>
      </c>
      <c r="AD218" s="163">
        <v>0.26742669639653349</v>
      </c>
      <c r="AE218" s="163">
        <v>0.12249128300055856</v>
      </c>
      <c r="AF218" s="163">
        <v>1.4880955839852663</v>
      </c>
      <c r="AG218" s="163">
        <v>10.083185295311228</v>
      </c>
      <c r="AH218" s="163">
        <v>0.91586992111934218</v>
      </c>
      <c r="AI218" s="163">
        <v>1.1194217167218217</v>
      </c>
      <c r="AJ218" s="163">
        <v>8.8321560174300391</v>
      </c>
      <c r="AK218" s="163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20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4.2749033036131392</v>
      </c>
      <c r="H219" s="48">
        <f t="shared" ref="H219:K219" si="69">H208*H209</f>
        <v>4.0362587456954699</v>
      </c>
      <c r="I219" s="48">
        <f t="shared" si="69"/>
        <v>3.8035992288434723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2"/>
      <c r="O219" s="111">
        <v>217</v>
      </c>
      <c r="P219" s="111">
        <v>0</v>
      </c>
      <c r="Q219" s="163">
        <v>7.6203723113235613</v>
      </c>
      <c r="R219" s="163">
        <v>4.1426485269941935</v>
      </c>
      <c r="S219" s="163">
        <v>14.800185030707405</v>
      </c>
      <c r="T219" s="163">
        <v>0.23506163905904412</v>
      </c>
      <c r="U219" s="163">
        <v>0.31126629768496317</v>
      </c>
      <c r="V219" s="163">
        <v>-5.1738838443516188E-3</v>
      </c>
      <c r="W219" s="163">
        <v>1.3943720497910066</v>
      </c>
      <c r="X219" s="214">
        <v>5.3484947215204866</v>
      </c>
      <c r="Y219" s="163">
        <v>15.398847929460191</v>
      </c>
      <c r="Z219" s="163">
        <v>2.7436995487393911</v>
      </c>
      <c r="AA219" s="163">
        <v>15.765187316932179</v>
      </c>
      <c r="AB219" s="163">
        <v>3.3814344630434503</v>
      </c>
      <c r="AC219" s="163">
        <v>1.1920685900659098E-4</v>
      </c>
      <c r="AD219" s="163">
        <v>0.23233062320834832</v>
      </c>
      <c r="AE219" s="163">
        <v>0.23713071743403921</v>
      </c>
      <c r="AF219" s="163">
        <v>1.4235119793187465</v>
      </c>
      <c r="AG219" s="163">
        <v>10.552509749297711</v>
      </c>
      <c r="AH219" s="163">
        <v>1.0627363462871402</v>
      </c>
      <c r="AI219" s="163">
        <v>1.1480947359947922</v>
      </c>
      <c r="AJ219" s="163">
        <v>9.076752585427327</v>
      </c>
      <c r="AK219" s="163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20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-2.1037910000331497</v>
      </c>
      <c r="H220" s="48">
        <f t="shared" ref="H220:K220" si="71">LN(H156/H198)</f>
        <v>-2.103622923741169</v>
      </c>
      <c r="I220" s="48">
        <f t="shared" si="71"/>
        <v>-2.1034758801556492</v>
      </c>
      <c r="J220" s="48">
        <f t="shared" si="71"/>
        <v>-2.1641005019720838</v>
      </c>
      <c r="K220" s="48">
        <f t="shared" si="71"/>
        <v>-2.2212589158120326</v>
      </c>
      <c r="L220" s="48">
        <f t="shared" ref="L220:M220" si="72">LN(L156/L198)</f>
        <v>-2.278417329651981</v>
      </c>
      <c r="M220" s="48">
        <f t="shared" si="72"/>
        <v>-2.3355757434919298</v>
      </c>
      <c r="N220" s="182"/>
      <c r="O220" s="111">
        <v>218</v>
      </c>
      <c r="P220" s="111">
        <v>0</v>
      </c>
      <c r="Q220" s="163">
        <v>1.9333693589027843</v>
      </c>
      <c r="R220" s="163">
        <v>-0.39135791561368238</v>
      </c>
      <c r="S220" s="163">
        <v>-3.3866082270975828</v>
      </c>
      <c r="T220" s="163">
        <v>-1.2607708407394267</v>
      </c>
      <c r="U220" s="163">
        <v>-1.692310328414772</v>
      </c>
      <c r="V220" s="163">
        <v>-0.57529403974048354</v>
      </c>
      <c r="W220" s="163">
        <v>-1.0185646087462168</v>
      </c>
      <c r="X220" s="214">
        <v>-2.9185576405479696</v>
      </c>
      <c r="Y220" s="163">
        <v>-4.603215653995675</v>
      </c>
      <c r="Z220" s="163">
        <v>-2.1023995777376978</v>
      </c>
      <c r="AA220" s="163">
        <v>-4.5333220809693069</v>
      </c>
      <c r="AB220" s="163">
        <v>-2.91495173993916</v>
      </c>
      <c r="AC220" s="163">
        <v>-0.57669053973468964</v>
      </c>
      <c r="AD220" s="163">
        <v>-1.0776910018363026</v>
      </c>
      <c r="AE220" s="163">
        <v>-0.67591476307848464</v>
      </c>
      <c r="AF220" s="163">
        <v>-2.1272453399729532</v>
      </c>
      <c r="AG220" s="163">
        <v>-2.9887047204672825</v>
      </c>
      <c r="AH220" s="163">
        <v>-1.7864702971475879</v>
      </c>
      <c r="AI220" s="163">
        <v>-2.3099059764770069</v>
      </c>
      <c r="AJ220" s="163">
        <v>-3.5220902339104607</v>
      </c>
      <c r="AK220" s="163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20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1.5985990713529048</v>
      </c>
      <c r="H221" s="31">
        <f t="shared" ref="H221:K221" si="73">H157/H199</f>
        <v>1.6698356069272395</v>
      </c>
      <c r="I221" s="31">
        <f t="shared" si="73"/>
        <v>1.7496523145260816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3">
        <v>1.2397222445616967</v>
      </c>
      <c r="R221" s="163">
        <v>0.13632720472809742</v>
      </c>
      <c r="S221" s="163">
        <v>-0.33631074385573906</v>
      </c>
      <c r="T221" s="163">
        <v>0.1470488996714161</v>
      </c>
      <c r="U221" s="163">
        <v>0.52702288356411142</v>
      </c>
      <c r="V221" s="163">
        <v>0.67292738365833238</v>
      </c>
      <c r="W221" s="163">
        <v>0.234894323745583</v>
      </c>
      <c r="X221" s="214">
        <v>0.84378677545575087</v>
      </c>
      <c r="Y221" s="163">
        <v>-0.56373454960515335</v>
      </c>
      <c r="Z221" s="163">
        <v>1.5454390007572489</v>
      </c>
      <c r="AA221" s="163">
        <v>1.4874484144626263</v>
      </c>
      <c r="AB221" s="163">
        <v>1.1795742999052423</v>
      </c>
      <c r="AC221" s="163">
        <v>2.5073883911889401</v>
      </c>
      <c r="AD221" s="163">
        <v>0.39314093757124441</v>
      </c>
      <c r="AE221" s="163">
        <v>0.33624623801011516</v>
      </c>
      <c r="AF221" s="163">
        <v>0.47821791440892358</v>
      </c>
      <c r="AG221" s="163">
        <v>-6.5660251347442161E-2</v>
      </c>
      <c r="AH221" s="163">
        <v>0.55041526831247267</v>
      </c>
      <c r="AI221" s="163">
        <v>0.74522831841773263</v>
      </c>
      <c r="AJ221" s="163">
        <v>-0.23344248782074195</v>
      </c>
      <c r="AK221" s="163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20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2"/>
      <c r="O222" s="111">
        <v>220</v>
      </c>
      <c r="P222" s="111">
        <v>0</v>
      </c>
      <c r="Q222" s="163">
        <v>11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214">
        <v>11</v>
      </c>
      <c r="Y222" s="163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20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3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214">
        <v>0</v>
      </c>
      <c r="Y223" s="163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20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3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214">
        <v>0</v>
      </c>
      <c r="Y224" s="163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20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3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214">
        <v>0</v>
      </c>
      <c r="Y225" s="163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20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12.810935258155617</v>
      </c>
      <c r="H226" s="50">
        <f t="shared" ref="H226:K241" si="78">H162*H205</f>
        <v>12.810935258155617</v>
      </c>
      <c r="I226" s="50">
        <f t="shared" si="78"/>
        <v>12.810935258155617</v>
      </c>
      <c r="J226" s="50">
        <f t="shared" si="78"/>
        <v>12.810935258155617</v>
      </c>
      <c r="K226" s="50">
        <f t="shared" si="78"/>
        <v>12.810935258155617</v>
      </c>
      <c r="L226" s="50">
        <f t="shared" ref="L226:M226" si="79">L162*L205</f>
        <v>12.810935258155617</v>
      </c>
      <c r="M226" s="50">
        <f t="shared" si="79"/>
        <v>12.810935258155617</v>
      </c>
      <c r="N226" s="183"/>
      <c r="O226" s="111">
        <v>224</v>
      </c>
      <c r="P226" s="111">
        <v>0</v>
      </c>
      <c r="Q226" s="163">
        <v>12.817219145404639</v>
      </c>
      <c r="R226" s="163">
        <v>12.809732041092667</v>
      </c>
      <c r="S226" s="163">
        <v>12.815667288766317</v>
      </c>
      <c r="T226" s="163">
        <v>12.814549938113361</v>
      </c>
      <c r="U226" s="163">
        <v>12.81527413480965</v>
      </c>
      <c r="V226" s="163">
        <v>12.816805233884939</v>
      </c>
      <c r="W226" s="163">
        <v>12.81288440307239</v>
      </c>
      <c r="X226" s="214">
        <v>12.81331330994302</v>
      </c>
      <c r="Y226" s="163">
        <v>12.814736982825067</v>
      </c>
      <c r="Z226" s="163">
        <v>12.812338831390388</v>
      </c>
      <c r="AA226" s="163">
        <v>12.810934558134596</v>
      </c>
      <c r="AB226" s="163">
        <v>12.811148202512005</v>
      </c>
      <c r="AC226" s="163">
        <v>12.816571389915095</v>
      </c>
      <c r="AD226" s="163">
        <v>12.821412544937436</v>
      </c>
      <c r="AE226" s="163">
        <v>12.819095782593745</v>
      </c>
      <c r="AF226" s="163">
        <v>12.812096781482326</v>
      </c>
      <c r="AG226" s="163">
        <v>12.820454839694522</v>
      </c>
      <c r="AH226" s="163">
        <v>12.815345078290729</v>
      </c>
      <c r="AI226" s="163">
        <v>12.815711468242117</v>
      </c>
      <c r="AJ226" s="163">
        <v>12.812372588661209</v>
      </c>
      <c r="AK226" s="163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20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-0.10303327116011021</v>
      </c>
      <c r="H227" s="50">
        <f t="shared" si="78"/>
        <v>-0.10911828422784514</v>
      </c>
      <c r="I227" s="50">
        <f t="shared" si="78"/>
        <v>-0.11085755344431297</v>
      </c>
      <c r="J227" s="50">
        <f t="shared" si="78"/>
        <v>-0.60405056294750337</v>
      </c>
      <c r="K227" s="50">
        <f t="shared" si="78"/>
        <v>-0.60405056294750337</v>
      </c>
      <c r="L227" s="50">
        <f t="shared" ref="L227:M227" si="80">L163*L206</f>
        <v>-0.60405056294750337</v>
      </c>
      <c r="M227" s="50">
        <f t="shared" si="80"/>
        <v>-0.60405056294750337</v>
      </c>
      <c r="N227" s="183"/>
      <c r="O227" s="111">
        <v>225</v>
      </c>
      <c r="P227" s="111">
        <v>0</v>
      </c>
      <c r="Q227" s="163">
        <v>-0.21035145152183377</v>
      </c>
      <c r="R227" s="163">
        <v>-6.4912776278580206E-2</v>
      </c>
      <c r="S227" s="163">
        <v>-0.10240243604368385</v>
      </c>
      <c r="T227" s="163">
        <v>-0.15370367446094546</v>
      </c>
      <c r="U227" s="163">
        <v>-0.11206047099568392</v>
      </c>
      <c r="V227" s="163">
        <v>-0.1849784123695839</v>
      </c>
      <c r="W227" s="163">
        <v>-0.10354209439681131</v>
      </c>
      <c r="X227" s="214">
        <v>-0.1429307724888593</v>
      </c>
      <c r="Y227" s="163">
        <v>-0.11059140086445091</v>
      </c>
      <c r="Z227" s="163">
        <v>-8.1196932292701779E-2</v>
      </c>
      <c r="AA227" s="163">
        <v>-0.20684177922513572</v>
      </c>
      <c r="AB227" s="163">
        <v>-0.22507185816644493</v>
      </c>
      <c r="AC227" s="163">
        <v>-0.16676707941345922</v>
      </c>
      <c r="AD227" s="163">
        <v>-0.12393580560646952</v>
      </c>
      <c r="AE227" s="163">
        <v>-0.22479579375878148</v>
      </c>
      <c r="AF227" s="163">
        <v>-0.12761662858455758</v>
      </c>
      <c r="AG227" s="163">
        <v>-0.11056278503459614</v>
      </c>
      <c r="AH227" s="163">
        <v>-0.22456585529869713</v>
      </c>
      <c r="AI227" s="163">
        <v>-0.11193938537023657</v>
      </c>
      <c r="AJ227" s="163">
        <v>-0.10248464298008385</v>
      </c>
      <c r="AK227" s="163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20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-0.85735094183792948</v>
      </c>
      <c r="H228" s="50">
        <f t="shared" si="78"/>
        <v>-0.8528038730059665</v>
      </c>
      <c r="I228" s="50">
        <f t="shared" si="78"/>
        <v>-0.8443382543181891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3"/>
      <c r="O228" s="111">
        <v>226</v>
      </c>
      <c r="P228" s="111">
        <v>0</v>
      </c>
      <c r="Q228" s="163">
        <v>1.1611750959245415</v>
      </c>
      <c r="R228" s="163">
        <v>-0.77173344624141116</v>
      </c>
      <c r="S228" s="163">
        <v>-1.6233289255813119</v>
      </c>
      <c r="T228" s="163">
        <v>-0.24239243933060117</v>
      </c>
      <c r="U228" s="163">
        <v>-0.20922618989469977</v>
      </c>
      <c r="V228" s="163">
        <v>2.4874515763904436E-2</v>
      </c>
      <c r="W228" s="163">
        <v>-0.34718804643293577</v>
      </c>
      <c r="X228" s="214">
        <v>-0.9917645437255691</v>
      </c>
      <c r="Y228" s="163">
        <v>-1.7515550309995069</v>
      </c>
      <c r="Z228" s="163">
        <v>-0.57568198044017949</v>
      </c>
      <c r="AA228" s="163">
        <v>-1.4955918247476756</v>
      </c>
      <c r="AB228" s="163">
        <v>-0.72522454547232729</v>
      </c>
      <c r="AC228" s="163">
        <v>8.8691569236168701E-3</v>
      </c>
      <c r="AD228" s="163">
        <v>-0.18452314027970321</v>
      </c>
      <c r="AE228" s="163">
        <v>0.15035057971242261</v>
      </c>
      <c r="AF228" s="163">
        <v>-0.5468404451043819</v>
      </c>
      <c r="AG228" s="163">
        <v>-1.3176332907362858</v>
      </c>
      <c r="AH228" s="163">
        <v>-0.33815289869427007</v>
      </c>
      <c r="AI228" s="163">
        <v>-0.49729091568505801</v>
      </c>
      <c r="AJ228" s="163">
        <v>-1.2626918175792654</v>
      </c>
      <c r="AK228" s="163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20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-0.32737336169167491</v>
      </c>
      <c r="H229" s="50">
        <f t="shared" si="78"/>
        <v>-0.31453300317096616</v>
      </c>
      <c r="I229" s="50">
        <f t="shared" si="78"/>
        <v>-0.31030995315347532</v>
      </c>
      <c r="J229" s="50">
        <f t="shared" si="78"/>
        <v>-0.31030995315347532</v>
      </c>
      <c r="K229" s="50">
        <f t="shared" si="78"/>
        <v>-0.31030995315347532</v>
      </c>
      <c r="L229" s="50">
        <f t="shared" ref="L229:M229" si="82">L165*L208</f>
        <v>-0.31030995315347532</v>
      </c>
      <c r="M229" s="50">
        <f t="shared" si="82"/>
        <v>-0.31030995315347532</v>
      </c>
      <c r="N229" s="183"/>
      <c r="O229" s="111">
        <v>227</v>
      </c>
      <c r="P229" s="111">
        <v>0</v>
      </c>
      <c r="Q229" s="163">
        <v>0.53923328844842855</v>
      </c>
      <c r="R229" s="163">
        <v>-0.31112792693041885</v>
      </c>
      <c r="S229" s="163">
        <v>-0.59490752035248329</v>
      </c>
      <c r="T229" s="163">
        <v>-7.2884090319695949E-2</v>
      </c>
      <c r="U229" s="163">
        <v>-8.9126990802696066E-2</v>
      </c>
      <c r="V229" s="163">
        <v>1.5566068796261245E-2</v>
      </c>
      <c r="W229" s="163">
        <v>-0.17587787634040611</v>
      </c>
      <c r="X229" s="214">
        <v>-0.33384462527417247</v>
      </c>
      <c r="Y229" s="163">
        <v>-0.56797994881407321</v>
      </c>
      <c r="Z229" s="163">
        <v>-0.26285825402054996</v>
      </c>
      <c r="AA229" s="163">
        <v>-0.62794465168091362</v>
      </c>
      <c r="AB229" s="163">
        <v>-0.28269619116471545</v>
      </c>
      <c r="AC229" s="163">
        <v>1.7276351963038353E-2</v>
      </c>
      <c r="AD229" s="163">
        <v>-6.3596083892697983E-2</v>
      </c>
      <c r="AE229" s="163">
        <v>0.10741290547504276</v>
      </c>
      <c r="AF229" s="163">
        <v>-0.17921228084021085</v>
      </c>
      <c r="AG229" s="163">
        <v>-0.48889388352116447</v>
      </c>
      <c r="AH229" s="163">
        <v>-0.14188496431576761</v>
      </c>
      <c r="AI229" s="163">
        <v>-0.17439125603850716</v>
      </c>
      <c r="AJ229" s="163">
        <v>-0.46976936584797402</v>
      </c>
      <c r="AK229" s="163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20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-0.22955506363788816</v>
      </c>
      <c r="H230" s="50">
        <f t="shared" si="78"/>
        <v>-0.22558836517088079</v>
      </c>
      <c r="I230" s="50">
        <f t="shared" si="78"/>
        <v>-0.21547801415652726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3"/>
      <c r="O230" s="111">
        <v>228</v>
      </c>
      <c r="P230" s="111">
        <v>0</v>
      </c>
      <c r="Q230" s="163">
        <v>0.25550242329061085</v>
      </c>
      <c r="R230" s="163">
        <v>-0.23144263758001496</v>
      </c>
      <c r="S230" s="163">
        <v>-0.40029566434716268</v>
      </c>
      <c r="T230" s="163">
        <v>-5.7088330901468885E-2</v>
      </c>
      <c r="U230" s="163">
        <v>-5.863451654757932E-2</v>
      </c>
      <c r="V230" s="163">
        <v>-5.9130608693621712E-3</v>
      </c>
      <c r="W230" s="163">
        <v>-0.13115816168383149</v>
      </c>
      <c r="X230" s="214">
        <v>-0.27225961595719295</v>
      </c>
      <c r="Y230" s="163">
        <v>-0.45759609934266338</v>
      </c>
      <c r="Z230" s="163">
        <v>-0.18083985484543222</v>
      </c>
      <c r="AA230" s="163">
        <v>-0.43511348221458779</v>
      </c>
      <c r="AB230" s="163">
        <v>-0.20487539340611718</v>
      </c>
      <c r="AC230" s="163">
        <v>1.2479701283502081E-4</v>
      </c>
      <c r="AD230" s="163">
        <v>-6.9736972838000719E-2</v>
      </c>
      <c r="AE230" s="163">
        <v>3.1847121025384589E-2</v>
      </c>
      <c r="AF230" s="163">
        <v>-0.13024348594837445</v>
      </c>
      <c r="AG230" s="163">
        <v>-0.35101705971184838</v>
      </c>
      <c r="AH230" s="163">
        <v>-0.12624226632368268</v>
      </c>
      <c r="AI230" s="163">
        <v>-9.4298412781597091E-2</v>
      </c>
      <c r="AJ230" s="163">
        <v>-0.33136729347590449</v>
      </c>
      <c r="AK230" s="163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20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1.523675767919651E-3</v>
      </c>
      <c r="H231" s="50">
        <f t="shared" si="78"/>
        <v>1.7089629257160623E-3</v>
      </c>
      <c r="I231" s="50">
        <f t="shared" si="78"/>
        <v>1.76387645728704E-3</v>
      </c>
      <c r="J231" s="50">
        <f t="shared" si="78"/>
        <v>5.2370192585111858E-2</v>
      </c>
      <c r="K231" s="50">
        <f t="shared" si="78"/>
        <v>5.2370192585111858E-2</v>
      </c>
      <c r="L231" s="50">
        <f t="shared" ref="L231:M231" si="84">L167*L210</f>
        <v>5.2370192585111858E-2</v>
      </c>
      <c r="M231" s="50">
        <f t="shared" si="84"/>
        <v>5.2370192585111858E-2</v>
      </c>
      <c r="N231" s="183"/>
      <c r="O231" s="111">
        <v>229</v>
      </c>
      <c r="P231" s="111">
        <v>0</v>
      </c>
      <c r="Q231" s="163">
        <v>6.8350121941838354E-3</v>
      </c>
      <c r="R231" s="163">
        <v>6.6354572429282816E-4</v>
      </c>
      <c r="S231" s="163">
        <v>1.6461690911790975E-3</v>
      </c>
      <c r="T231" s="163">
        <v>3.8989197869203768E-3</v>
      </c>
      <c r="U231" s="163">
        <v>1.9208277124963286E-3</v>
      </c>
      <c r="V231" s="163">
        <v>5.3572730696213712E-3</v>
      </c>
      <c r="W231" s="163">
        <v>1.7572524244999391E-3</v>
      </c>
      <c r="X231" s="214">
        <v>3.2423021111671166E-3</v>
      </c>
      <c r="Y231" s="163">
        <v>1.883831210619165E-3</v>
      </c>
      <c r="Z231" s="163">
        <v>1.0647623193695171E-3</v>
      </c>
      <c r="AA231" s="163">
        <v>7.3595243392058545E-3</v>
      </c>
      <c r="AB231" s="163">
        <v>8.279690032014831E-3</v>
      </c>
      <c r="AC231" s="163">
        <v>4.321775299562217E-3</v>
      </c>
      <c r="AD231" s="163">
        <v>2.6712534555942092E-3</v>
      </c>
      <c r="AE231" s="163">
        <v>7.8468958497276472E-3</v>
      </c>
      <c r="AF231" s="163">
        <v>2.6197617472897231E-3</v>
      </c>
      <c r="AG231" s="163">
        <v>1.8957287961985372E-3</v>
      </c>
      <c r="AH231" s="163">
        <v>7.8300355404736632E-3</v>
      </c>
      <c r="AI231" s="163">
        <v>1.8501656038749034E-3</v>
      </c>
      <c r="AJ231" s="163">
        <v>1.6457522586944859E-3</v>
      </c>
      <c r="AK231" s="163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20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-0.68359589414391608</v>
      </c>
      <c r="H232" s="50">
        <f t="shared" si="78"/>
        <v>-0.67636404858468968</v>
      </c>
      <c r="I232" s="50">
        <f t="shared" si="78"/>
        <v>-0.66300242897337691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3"/>
      <c r="O232" s="111">
        <v>230</v>
      </c>
      <c r="P232" s="111">
        <v>0</v>
      </c>
      <c r="Q232" s="163">
        <v>-1.3973033998491451</v>
      </c>
      <c r="R232" s="163">
        <v>-0.57041136800994297</v>
      </c>
      <c r="S232" s="163">
        <v>-2.3677233979265186</v>
      </c>
      <c r="T232" s="163">
        <v>-5.7632055873979016E-2</v>
      </c>
      <c r="U232" s="163">
        <v>-4.0864562341854579E-2</v>
      </c>
      <c r="V232" s="163">
        <v>-5.9851173101795952E-4</v>
      </c>
      <c r="W232" s="163">
        <v>-0.10599353862188564</v>
      </c>
      <c r="X232" s="214">
        <v>-0.97123146511594383</v>
      </c>
      <c r="Y232" s="163">
        <v>-3.2068351504899413</v>
      </c>
      <c r="Z232" s="163">
        <v>-0.36617547348315338</v>
      </c>
      <c r="AA232" s="163">
        <v>-1.8695097165798824</v>
      </c>
      <c r="AB232" s="163">
        <v>-0.52520290583523854</v>
      </c>
      <c r="AC232" s="163">
        <v>-7.2298314448320251E-5</v>
      </c>
      <c r="AD232" s="163">
        <v>-3.4307175680955711E-2</v>
      </c>
      <c r="AE232" s="163">
        <v>-2.5356856136515511E-2</v>
      </c>
      <c r="AF232" s="163">
        <v>-0.27186658750224957</v>
      </c>
      <c r="AG232" s="163">
        <v>-1.8909987308624856</v>
      </c>
      <c r="AH232" s="163">
        <v>-0.1080583693867528</v>
      </c>
      <c r="AI232" s="163">
        <v>-0.21691149453408201</v>
      </c>
      <c r="AJ232" s="163">
        <v>-1.4183424090400574</v>
      </c>
      <c r="AK232" s="163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20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0.3910247482815159</v>
      </c>
      <c r="H233" s="50">
        <f t="shared" si="78"/>
        <v>0.36095246519263702</v>
      </c>
      <c r="I233" s="50">
        <f t="shared" si="78"/>
        <v>0.3513249398003761</v>
      </c>
      <c r="J233" s="50">
        <f t="shared" si="78"/>
        <v>0.3513249398003761</v>
      </c>
      <c r="K233" s="50">
        <f t="shared" si="78"/>
        <v>0.3513249398003761</v>
      </c>
      <c r="L233" s="50">
        <f t="shared" ref="L233:M233" si="86">L169*L212</f>
        <v>0.3513249398003761</v>
      </c>
      <c r="M233" s="50">
        <f t="shared" si="86"/>
        <v>0.3513249398003761</v>
      </c>
      <c r="N233" s="183"/>
      <c r="O233" s="111">
        <v>231</v>
      </c>
      <c r="P233" s="111">
        <v>0</v>
      </c>
      <c r="Q233" s="163">
        <v>1.0009835108698977</v>
      </c>
      <c r="R233" s="163">
        <v>0.4392554354606511</v>
      </c>
      <c r="S233" s="163">
        <v>1.4408178526813642</v>
      </c>
      <c r="T233" s="163">
        <v>1.7801644489039103E-2</v>
      </c>
      <c r="U233" s="163">
        <v>3.0726174138521523E-2</v>
      </c>
      <c r="V233" s="163">
        <v>8.6510648300228826E-4</v>
      </c>
      <c r="W233" s="163">
        <v>0.11934768627786604</v>
      </c>
      <c r="X233" s="214">
        <v>0.58482042597573602</v>
      </c>
      <c r="Y233" s="163">
        <v>1.1931318830775903</v>
      </c>
      <c r="Z233" s="163">
        <v>0.21238332751866368</v>
      </c>
      <c r="AA233" s="163">
        <v>1.5267055481285496</v>
      </c>
      <c r="AB233" s="163">
        <v>0.2395492952943534</v>
      </c>
      <c r="AC233" s="163">
        <v>1.0793873592197295E-3</v>
      </c>
      <c r="AD233" s="163">
        <v>1.2898164654694219E-2</v>
      </c>
      <c r="AE233" s="163">
        <v>3.268220351405688E-2</v>
      </c>
      <c r="AF233" s="163">
        <v>7.7658314869115314E-2</v>
      </c>
      <c r="AG233" s="163">
        <v>0.60019001573638064</v>
      </c>
      <c r="AH233" s="163">
        <v>7.270092419342658E-2</v>
      </c>
      <c r="AI233" s="163">
        <v>0.13863434709824368</v>
      </c>
      <c r="AJ233" s="163">
        <v>0.82651441807711445</v>
      </c>
      <c r="AK233" s="163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20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0.3944640161494074</v>
      </c>
      <c r="H234" s="50">
        <f t="shared" si="78"/>
        <v>0.38094917009163271</v>
      </c>
      <c r="I234" s="50">
        <f t="shared" si="78"/>
        <v>0.34756782547452114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3"/>
      <c r="O234" s="111">
        <v>232</v>
      </c>
      <c r="P234" s="111">
        <v>0</v>
      </c>
      <c r="Q234" s="163">
        <v>0.53152653218519497</v>
      </c>
      <c r="R234" s="163">
        <v>0.37369844689917298</v>
      </c>
      <c r="S234" s="163">
        <v>1.2535577776228428</v>
      </c>
      <c r="T234" s="163">
        <v>2.3937467861274167E-2</v>
      </c>
      <c r="U234" s="163">
        <v>2.5925714574593171E-2</v>
      </c>
      <c r="V234" s="163">
        <v>2.5258863662084462E-4</v>
      </c>
      <c r="W234" s="163">
        <v>0.13282906344759243</v>
      </c>
      <c r="X234" s="214">
        <v>0.54833592711910273</v>
      </c>
      <c r="Y234" s="163">
        <v>1.5427550802753944</v>
      </c>
      <c r="Z234" s="163">
        <v>0.24535704991014357</v>
      </c>
      <c r="AA234" s="163">
        <v>1.4109583499511626</v>
      </c>
      <c r="AB234" s="163">
        <v>0.31427240337410517</v>
      </c>
      <c r="AC234" s="163">
        <v>1.1283921093521567E-7</v>
      </c>
      <c r="AD234" s="163">
        <v>3.5637078450070317E-2</v>
      </c>
      <c r="AE234" s="163">
        <v>1.0513672296079524E-2</v>
      </c>
      <c r="AF234" s="163">
        <v>0.10860849530390344</v>
      </c>
      <c r="AG234" s="163">
        <v>0.90413635749447019</v>
      </c>
      <c r="AH234" s="163">
        <v>0.12007346188616168</v>
      </c>
      <c r="AI234" s="163">
        <v>6.9453330296702462E-2</v>
      </c>
      <c r="AJ234" s="163">
        <v>0.82341073629388617</v>
      </c>
      <c r="AK234" s="163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20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1.7709495771093469E-2</v>
      </c>
      <c r="H235" s="50">
        <f t="shared" si="78"/>
        <v>1.8655924308256223E-2</v>
      </c>
      <c r="I235" s="50">
        <f t="shared" si="78"/>
        <v>1.8765141105913284E-2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3"/>
      <c r="O235" s="111">
        <v>233</v>
      </c>
      <c r="P235" s="111">
        <v>0</v>
      </c>
      <c r="Q235" s="163">
        <v>-5.0580659938642462E-2</v>
      </c>
      <c r="R235" s="163">
        <v>8.5998141944468778E-3</v>
      </c>
      <c r="S235" s="163">
        <v>3.1848074501680403E-2</v>
      </c>
      <c r="T235" s="163">
        <v>6.2058028719936386E-3</v>
      </c>
      <c r="U235" s="163">
        <v>4.5241445063193778E-3</v>
      </c>
      <c r="V235" s="163">
        <v>-9.0609863618895225E-4</v>
      </c>
      <c r="W235" s="163">
        <v>6.8495640262678766E-3</v>
      </c>
      <c r="X235" s="214">
        <v>2.7022604875018952E-2</v>
      </c>
      <c r="Y235" s="163">
        <v>3.6503612236704945E-2</v>
      </c>
      <c r="Z235" s="163">
        <v>9.2147273885308401E-3</v>
      </c>
      <c r="AA235" s="163">
        <v>5.5092051486741719E-2</v>
      </c>
      <c r="AB235" s="163">
        <v>3.1805840173389575E-2</v>
      </c>
      <c r="AC235" s="163">
        <v>-3.0019446097357793E-4</v>
      </c>
      <c r="AD235" s="163">
        <v>4.3808913890054932E-3</v>
      </c>
      <c r="AE235" s="163">
        <v>-6.303484156459243E-3</v>
      </c>
      <c r="AF235" s="163">
        <v>1.2641784422513392E-2</v>
      </c>
      <c r="AG235" s="163">
        <v>2.7773251422851725E-2</v>
      </c>
      <c r="AH235" s="163">
        <v>1.4701336196569877E-2</v>
      </c>
      <c r="AI235" s="163">
        <v>1.1564917720543022E-2</v>
      </c>
      <c r="AJ235" s="163">
        <v>2.4878366575417889E-2</v>
      </c>
      <c r="AK235" s="163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20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2.6382670098599207E-3</v>
      </c>
      <c r="H236" s="50">
        <f t="shared" si="78"/>
        <v>2.6844892593909705E-3</v>
      </c>
      <c r="I236" s="50">
        <f t="shared" si="78"/>
        <v>2.6906605798628367E-3</v>
      </c>
      <c r="J236" s="50">
        <f t="shared" si="78"/>
        <v>1.466111227849924E-2</v>
      </c>
      <c r="K236" s="50">
        <f t="shared" si="78"/>
        <v>1.466111227849924E-2</v>
      </c>
      <c r="L236" s="50">
        <f t="shared" ref="L236:M236" si="89">L172*L215</f>
        <v>1.466111227849924E-2</v>
      </c>
      <c r="M236" s="50">
        <f t="shared" si="89"/>
        <v>1.466111227849924E-2</v>
      </c>
      <c r="N236" s="183"/>
      <c r="O236" s="111">
        <v>234</v>
      </c>
      <c r="P236" s="111">
        <v>0</v>
      </c>
      <c r="Q236" s="163">
        <v>-7.7108539075189777E-3</v>
      </c>
      <c r="R236" s="163">
        <v>1.7241988350755215E-3</v>
      </c>
      <c r="S236" s="163">
        <v>5.8835501779623597E-3</v>
      </c>
      <c r="T236" s="163">
        <v>1.8000313713456226E-3</v>
      </c>
      <c r="U236" s="163">
        <v>9.1714144057095538E-4</v>
      </c>
      <c r="V236" s="163">
        <v>-2.6551056812821439E-4</v>
      </c>
      <c r="W236" s="163">
        <v>1.8954850961006963E-3</v>
      </c>
      <c r="X236" s="214">
        <v>4.5498888993001476E-3</v>
      </c>
      <c r="Y236" s="163">
        <v>6.7725789092243629E-3</v>
      </c>
      <c r="Z236" s="163">
        <v>1.6264355071232283E-3</v>
      </c>
      <c r="AA236" s="163">
        <v>1.7223194760850068E-2</v>
      </c>
      <c r="AB236" s="163">
        <v>5.784298218930034E-3</v>
      </c>
      <c r="AC236" s="163">
        <v>-2.2787392937599995E-4</v>
      </c>
      <c r="AD236" s="163">
        <v>7.7820963986709472E-4</v>
      </c>
      <c r="AE236" s="163">
        <v>-2.5116772903241509E-3</v>
      </c>
      <c r="AF236" s="163">
        <v>2.5854534520374606E-3</v>
      </c>
      <c r="AG236" s="163">
        <v>5.3367947177089476E-3</v>
      </c>
      <c r="AH236" s="163">
        <v>2.9832126549523249E-3</v>
      </c>
      <c r="AI236" s="163">
        <v>1.6276197418885806E-3</v>
      </c>
      <c r="AJ236" s="163">
        <v>4.5744486712180525E-3</v>
      </c>
      <c r="AK236" s="163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20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4.9894786799843974E-4</v>
      </c>
      <c r="H237" s="50">
        <f t="shared" si="78"/>
        <v>5.192841074552725E-4</v>
      </c>
      <c r="I237" s="50">
        <f t="shared" si="78"/>
        <v>5.0391705827321047E-4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3"/>
      <c r="O237" s="111">
        <v>235</v>
      </c>
      <c r="P237" s="111">
        <v>0</v>
      </c>
      <c r="Q237" s="163">
        <v>-3.651401660952122E-4</v>
      </c>
      <c r="R237" s="163">
        <v>1.2957291349621745E-3</v>
      </c>
      <c r="S237" s="163">
        <v>-4.2765756272884861E-4</v>
      </c>
      <c r="T237" s="163">
        <v>2.1114942110416008E-4</v>
      </c>
      <c r="U237" s="163">
        <v>2.7608934146759672E-5</v>
      </c>
      <c r="V237" s="163">
        <v>-4.1677455241819303E-6</v>
      </c>
      <c r="W237" s="163">
        <v>-4.7795737807742167E-5</v>
      </c>
      <c r="X237" s="214">
        <v>4.8255018388353599E-4</v>
      </c>
      <c r="Y237" s="163">
        <v>-6.9871164474204922E-4</v>
      </c>
      <c r="Z237" s="163">
        <v>1.366482796670625E-5</v>
      </c>
      <c r="AA237" s="163">
        <v>9.1306525324611084E-4</v>
      </c>
      <c r="AB237" s="163">
        <v>2.4804437098322728E-5</v>
      </c>
      <c r="AC237" s="163">
        <v>1.7741533196455746E-7</v>
      </c>
      <c r="AD237" s="163">
        <v>2.7675532987610072E-4</v>
      </c>
      <c r="AE237" s="163">
        <v>4.276735245538317E-5</v>
      </c>
      <c r="AF237" s="163">
        <v>2.8553549611797007E-4</v>
      </c>
      <c r="AG237" s="163">
        <v>-3.5520235163010827E-4</v>
      </c>
      <c r="AH237" s="163">
        <v>-9.307438916603788E-5</v>
      </c>
      <c r="AI237" s="163">
        <v>-4.3625520593413176E-4</v>
      </c>
      <c r="AJ237" s="163">
        <v>-8.0159211783809388E-6</v>
      </c>
      <c r="AK237" s="163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20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0.55657172281703948</v>
      </c>
      <c r="H238" s="50">
        <f t="shared" si="78"/>
        <v>0.53190559195851628</v>
      </c>
      <c r="I238" s="50">
        <f t="shared" si="78"/>
        <v>0.51955477722592813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3"/>
      <c r="O238" s="111">
        <v>236</v>
      </c>
      <c r="P238" s="111">
        <v>0</v>
      </c>
      <c r="Q238" s="163">
        <v>0.78873286089648875</v>
      </c>
      <c r="R238" s="163">
        <v>0.46259049075075559</v>
      </c>
      <c r="S238" s="163">
        <v>1.5544946429812612</v>
      </c>
      <c r="T238" s="163">
        <v>3.9118107631325415E-2</v>
      </c>
      <c r="U238" s="163">
        <v>3.554997897460787E-2</v>
      </c>
      <c r="V238" s="163">
        <v>7.6858877715815755E-4</v>
      </c>
      <c r="W238" s="163">
        <v>9.9544133275785596E-2</v>
      </c>
      <c r="X238" s="214">
        <v>0.59573904590128923</v>
      </c>
      <c r="Y238" s="163">
        <v>2.4465904688822473</v>
      </c>
      <c r="Z238" s="163">
        <v>0.36975758802753672</v>
      </c>
      <c r="AA238" s="163">
        <v>1.4726381487282758</v>
      </c>
      <c r="AB238" s="163">
        <v>0.42518880904831052</v>
      </c>
      <c r="AC238" s="163">
        <v>2.5139553036407342E-4</v>
      </c>
      <c r="AD238" s="163">
        <v>2.4173711963210946E-2</v>
      </c>
      <c r="AE238" s="163">
        <v>4.3347360932844629E-2</v>
      </c>
      <c r="AF238" s="163">
        <v>0.23626431067038178</v>
      </c>
      <c r="AG238" s="163">
        <v>1.8190212704517679</v>
      </c>
      <c r="AH238" s="163">
        <v>9.416586193120427E-2</v>
      </c>
      <c r="AI238" s="163">
        <v>0.13114593547908746</v>
      </c>
      <c r="AJ238" s="163">
        <v>1.0355461850435881</v>
      </c>
      <c r="AK238" s="163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20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0.23679388362162146</v>
      </c>
      <c r="H239" s="50">
        <f t="shared" si="78"/>
        <v>0.23146793383178779</v>
      </c>
      <c r="I239" s="50">
        <f t="shared" si="78"/>
        <v>0.21889931608712127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3"/>
      <c r="O239" s="111">
        <v>237</v>
      </c>
      <c r="P239" s="111">
        <v>0</v>
      </c>
      <c r="Q239" s="163">
        <v>0.67423743986661733</v>
      </c>
      <c r="R239" s="163">
        <v>0.35718931355721117</v>
      </c>
      <c r="S239" s="163">
        <v>1.0339932813115091</v>
      </c>
      <c r="T239" s="163">
        <v>1.4930908807257386E-2</v>
      </c>
      <c r="U239" s="163">
        <v>1.7355902564960397E-2</v>
      </c>
      <c r="V239" s="163">
        <v>-1.8452091989272796E-4</v>
      </c>
      <c r="W239" s="163">
        <v>6.0861573835338231E-2</v>
      </c>
      <c r="X239" s="214">
        <v>0.58068654016787569</v>
      </c>
      <c r="Y239" s="163">
        <v>1.1755309485851693</v>
      </c>
      <c r="Z239" s="163">
        <v>0.17591095201815724</v>
      </c>
      <c r="AA239" s="163">
        <v>0.68565457658542417</v>
      </c>
      <c r="AB239" s="163">
        <v>0.21753577662963294</v>
      </c>
      <c r="AC239" s="163">
        <v>1.380763541369899E-6</v>
      </c>
      <c r="AD239" s="163">
        <v>1.1592481670263159E-2</v>
      </c>
      <c r="AE239" s="163">
        <v>1.0745555237154975E-2</v>
      </c>
      <c r="AF239" s="163">
        <v>5.4804584132750217E-2</v>
      </c>
      <c r="AG239" s="163">
        <v>0.72560163423921431</v>
      </c>
      <c r="AH239" s="163">
        <v>6.1660099116706203E-2</v>
      </c>
      <c r="AI239" s="163">
        <v>9.9467016290157875E-2</v>
      </c>
      <c r="AJ239" s="163">
        <v>0.51472563177110797</v>
      </c>
      <c r="AK239" s="163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20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-0.85933948900606139</v>
      </c>
      <c r="H240" s="50">
        <f t="shared" si="78"/>
        <v>-0.81136724779028535</v>
      </c>
      <c r="I240" s="50">
        <f t="shared" si="78"/>
        <v>-0.76459811732714489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3"/>
      <c r="O240" s="111">
        <v>238</v>
      </c>
      <c r="P240" s="111">
        <v>0</v>
      </c>
      <c r="Q240" s="163">
        <v>-1.5746487919400061</v>
      </c>
      <c r="R240" s="163">
        <v>-0.99274061064863439</v>
      </c>
      <c r="S240" s="163">
        <v>-2.8679142493585044</v>
      </c>
      <c r="T240" s="163">
        <v>-4.6230200301300171E-2</v>
      </c>
      <c r="U240" s="163">
        <v>-6.219864595168393E-2</v>
      </c>
      <c r="V240" s="163">
        <v>1.0260922389060407E-3</v>
      </c>
      <c r="W240" s="163">
        <v>-0.26157116285563908</v>
      </c>
      <c r="X240" s="214">
        <v>-1.3304444088085599</v>
      </c>
      <c r="Y240" s="163">
        <v>-3.2723064653217309</v>
      </c>
      <c r="Z240" s="163">
        <v>-0.5745819213188712</v>
      </c>
      <c r="AA240" s="163">
        <v>-2.8921671761303567</v>
      </c>
      <c r="AB240" s="163">
        <v>-0.63553718422987171</v>
      </c>
      <c r="AC240" s="163">
        <v>-2.2897378050964168E-5</v>
      </c>
      <c r="AD240" s="163">
        <v>-4.5657443303016736E-2</v>
      </c>
      <c r="AE240" s="163">
        <v>-5.1875525260073156E-2</v>
      </c>
      <c r="AF240" s="163">
        <v>-0.21389334352486333</v>
      </c>
      <c r="AG240" s="163">
        <v>-2.0527833953536931</v>
      </c>
      <c r="AH240" s="163">
        <v>-0.21075804747880983</v>
      </c>
      <c r="AI240" s="163">
        <v>-0.21887200524140971</v>
      </c>
      <c r="AJ240" s="163">
        <v>-1.7517121256820185</v>
      </c>
      <c r="AK240" s="163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20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-0.58447510196318764</v>
      </c>
      <c r="H241" s="50">
        <f t="shared" si="78"/>
        <v>-0.58442840701683052</v>
      </c>
      <c r="I241" s="50">
        <f t="shared" si="78"/>
        <v>-0.58438755537584608</v>
      </c>
      <c r="J241" s="50">
        <f t="shared" si="78"/>
        <v>-0.60123028453339167</v>
      </c>
      <c r="K241" s="50">
        <f t="shared" si="78"/>
        <v>-0.61711003197818615</v>
      </c>
      <c r="L241" s="50">
        <f t="shared" ref="L241:M241" si="94">L177*L220</f>
        <v>-0.63298977942298063</v>
      </c>
      <c r="M241" s="50">
        <f t="shared" si="94"/>
        <v>-0.6488695268677751</v>
      </c>
      <c r="N241" s="183"/>
      <c r="O241" s="111">
        <v>239</v>
      </c>
      <c r="P241" s="111">
        <v>0</v>
      </c>
      <c r="Q241" s="163">
        <v>0.55628644601188293</v>
      </c>
      <c r="R241" s="163">
        <v>-0.10602941125309286</v>
      </c>
      <c r="S241" s="163">
        <v>-0.9820630833756343</v>
      </c>
      <c r="T241" s="163">
        <v>-0.35677939298716826</v>
      </c>
      <c r="U241" s="163">
        <v>-0.48582662836577895</v>
      </c>
      <c r="V241" s="163">
        <v>-0.16404452667909478</v>
      </c>
      <c r="W241" s="163">
        <v>-0.29030067322239189</v>
      </c>
      <c r="X241" s="214">
        <v>-0.82800259958399525</v>
      </c>
      <c r="Y241" s="163">
        <v>-1.3199324696760579</v>
      </c>
      <c r="Z241" s="163">
        <v>-0.59664005659846053</v>
      </c>
      <c r="AA241" s="163">
        <v>-1.27730874944879</v>
      </c>
      <c r="AB241" s="163">
        <v>-0.82096294447944318</v>
      </c>
      <c r="AC241" s="163">
        <v>-0.16389625558699453</v>
      </c>
      <c r="AD241" s="163">
        <v>-0.30695897511943082</v>
      </c>
      <c r="AE241" s="163">
        <v>-0.19635227806660777</v>
      </c>
      <c r="AF241" s="163">
        <v>-0.60145255190682156</v>
      </c>
      <c r="AG241" s="163">
        <v>-0.87031906051010266</v>
      </c>
      <c r="AH241" s="163">
        <v>-0.50510241454501104</v>
      </c>
      <c r="AI241" s="163">
        <v>-0.68935887779533611</v>
      </c>
      <c r="AJ241" s="163">
        <v>-0.99128620680861201</v>
      </c>
      <c r="AK241" s="163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20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2.6365856571681313E-2</v>
      </c>
      <c r="H242" s="50">
        <f t="shared" ref="H242:K243" si="95">H178*H221</f>
        <v>2.7540767975843986E-2</v>
      </c>
      <c r="I242" s="50">
        <f t="shared" si="95"/>
        <v>2.8857193027182152E-2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3"/>
      <c r="O242" s="111">
        <v>240</v>
      </c>
      <c r="P242" s="111">
        <v>0</v>
      </c>
      <c r="Q242" s="163">
        <v>2.1161570899682687E-2</v>
      </c>
      <c r="R242" s="163">
        <v>2.2565244317392743E-3</v>
      </c>
      <c r="S242" s="163">
        <v>-5.6785426682375937E-3</v>
      </c>
      <c r="T242" s="163">
        <v>2.3988640298715606E-3</v>
      </c>
      <c r="U242" s="163">
        <v>8.5123134105115558E-3</v>
      </c>
      <c r="V242" s="163">
        <v>1.1031933270929243E-2</v>
      </c>
      <c r="W242" s="163">
        <v>3.8727812961493356E-3</v>
      </c>
      <c r="X242" s="214">
        <v>1.4380116407444358E-2</v>
      </c>
      <c r="Y242" s="163">
        <v>-9.2435830779787221E-3</v>
      </c>
      <c r="Z242" s="163">
        <v>2.6527273459070442E-2</v>
      </c>
      <c r="AA242" s="163">
        <v>2.5507569672967238E-2</v>
      </c>
      <c r="AB242" s="163">
        <v>1.9543453852831197E-2</v>
      </c>
      <c r="AC242" s="163">
        <v>3.9915347019856141E-2</v>
      </c>
      <c r="AD242" s="163">
        <v>5.8754859917965838E-3</v>
      </c>
      <c r="AE242" s="163">
        <v>5.8502700849958596E-3</v>
      </c>
      <c r="AF242" s="163">
        <v>7.8972921909008873E-3</v>
      </c>
      <c r="AG242" s="163">
        <v>-9.7095532322089939E-4</v>
      </c>
      <c r="AH242" s="163">
        <v>8.861453012360564E-3</v>
      </c>
      <c r="AI242" s="163">
        <v>1.3035615515081311E-2</v>
      </c>
      <c r="AJ242" s="163">
        <v>-4.1497410238369014E-3</v>
      </c>
      <c r="AK242" s="163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20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0.18588794182873825</v>
      </c>
      <c r="H243" s="50">
        <f t="shared" si="95"/>
        <v>0.2027868456313508</v>
      </c>
      <c r="I243" s="50">
        <f t="shared" si="95"/>
        <v>0.21968574943396335</v>
      </c>
      <c r="J243" s="50">
        <f t="shared" si="95"/>
        <v>0.23658465323657593</v>
      </c>
      <c r="K243" s="50">
        <f t="shared" si="95"/>
        <v>0.25348355703918851</v>
      </c>
      <c r="L243" s="50">
        <f t="shared" ref="L243:M243" si="97">L179*L222</f>
        <v>0.23658465323657593</v>
      </c>
      <c r="M243" s="50">
        <f t="shared" si="97"/>
        <v>0.25348355703918851</v>
      </c>
      <c r="N243" s="183"/>
      <c r="O243" s="111">
        <v>241</v>
      </c>
      <c r="P243" s="111">
        <v>0</v>
      </c>
      <c r="Q243" s="163">
        <v>0.18465427274259827</v>
      </c>
      <c r="R243" s="163">
        <v>0.18422278120649191</v>
      </c>
      <c r="S243" s="163">
        <v>0.18710925265550621</v>
      </c>
      <c r="T243" s="163">
        <v>0.1865107300519824</v>
      </c>
      <c r="U243" s="163">
        <v>0.18923548266337797</v>
      </c>
      <c r="V243" s="163">
        <v>0.18795699628023463</v>
      </c>
      <c r="W243" s="163">
        <v>0.18597921240832163</v>
      </c>
      <c r="X243" s="214">
        <v>0.18885348093746609</v>
      </c>
      <c r="Y243" s="163">
        <v>0.19171038147008104</v>
      </c>
      <c r="Z243" s="163">
        <v>0.18645457997155429</v>
      </c>
      <c r="AA243" s="163">
        <v>0.19155467421852329</v>
      </c>
      <c r="AB243" s="163">
        <v>0.18926844187966144</v>
      </c>
      <c r="AC243" s="163">
        <v>0.18695945840292974</v>
      </c>
      <c r="AD243" s="163">
        <v>0.19044572439059054</v>
      </c>
      <c r="AE243" s="163">
        <v>0.1865162802078239</v>
      </c>
      <c r="AF243" s="163">
        <v>0.18828980644875676</v>
      </c>
      <c r="AG243" s="163">
        <v>0.18495970657317976</v>
      </c>
      <c r="AH243" s="163">
        <v>0.18776379650905398</v>
      </c>
      <c r="AI243" s="163">
        <v>0.18633354648598682</v>
      </c>
      <c r="AJ243" s="163">
        <v>0.18912808922592717</v>
      </c>
      <c r="AK243" s="163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20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3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214">
        <v>0</v>
      </c>
      <c r="Y244" s="163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20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10.979690690401728</v>
      </c>
      <c r="H245" s="44">
        <f t="shared" ref="H245:K245" si="98">SUM(H226:H243)</f>
        <v>10.995903464470741</v>
      </c>
      <c r="I245" s="44">
        <f t="shared" si="98"/>
        <v>11.027576777657172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9"/>
      <c r="O245" s="111">
        <v>243</v>
      </c>
      <c r="P245" s="111">
        <v>0</v>
      </c>
      <c r="Q245" s="163">
        <v>15.296587301411522</v>
      </c>
      <c r="R245" s="163">
        <v>11.592830144345372</v>
      </c>
      <c r="S245" s="163">
        <v>9.3802764125733606</v>
      </c>
      <c r="T245" s="163">
        <v>12.124653380260314</v>
      </c>
      <c r="U245" s="163">
        <v>12.072031418829779</v>
      </c>
      <c r="V245" s="163">
        <v>12.70760958768278</v>
      </c>
      <c r="W245" s="163">
        <v>12.010141805868603</v>
      </c>
      <c r="X245" s="214">
        <v>10.49094816156701</v>
      </c>
      <c r="Y245" s="163">
        <v>8.7128769072409575</v>
      </c>
      <c r="Z245" s="163">
        <v>11.402674719339155</v>
      </c>
      <c r="AA245" s="163">
        <v>9.400063881232203</v>
      </c>
      <c r="AB245" s="163">
        <v>10.842829992698174</v>
      </c>
      <c r="AC245" s="163">
        <v>12.744084131361303</v>
      </c>
      <c r="AD245" s="163">
        <v>12.28142670515213</v>
      </c>
      <c r="AE245" s="163">
        <v>12.899055779612977</v>
      </c>
      <c r="AF245" s="163">
        <v>11.432626796804632</v>
      </c>
      <c r="AG245" s="163">
        <v>10.005835235721271</v>
      </c>
      <c r="AH245" s="163">
        <v>11.73122736889948</v>
      </c>
      <c r="AI245" s="163">
        <v>11.465325359821522</v>
      </c>
      <c r="AJ245" s="163">
        <v>9.9009845982192299</v>
      </c>
      <c r="AK245" s="163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20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58670.404148620531</v>
      </c>
      <c r="H246" s="8">
        <f t="shared" ref="H246:K246" si="100">EXP(H245)</f>
        <v>59629.366873105711</v>
      </c>
      <c r="I246" s="8">
        <f t="shared" si="100"/>
        <v>61548.254838784676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3">
        <v>4397678.3038479248</v>
      </c>
      <c r="R246" s="163">
        <v>108318.38129959977</v>
      </c>
      <c r="S246" s="163">
        <v>11852.290423542869</v>
      </c>
      <c r="T246" s="163">
        <v>184361.42573990626</v>
      </c>
      <c r="U246" s="163">
        <v>174910.80177680132</v>
      </c>
      <c r="V246" s="163">
        <v>330251.44164287997</v>
      </c>
      <c r="W246" s="163">
        <v>164413.81745769602</v>
      </c>
      <c r="X246" s="214">
        <v>35988.263902051258</v>
      </c>
      <c r="Y246" s="163">
        <v>6080.7109898349499</v>
      </c>
      <c r="Z246" s="163">
        <v>89560.953696063836</v>
      </c>
      <c r="AA246" s="163">
        <v>12089.152975539098</v>
      </c>
      <c r="AB246" s="163">
        <v>51165.972613801772</v>
      </c>
      <c r="AC246" s="163">
        <v>342519.58973704249</v>
      </c>
      <c r="AD246" s="163">
        <v>215653.17074167958</v>
      </c>
      <c r="AE246" s="163">
        <v>399934.3867910984</v>
      </c>
      <c r="AF246" s="163">
        <v>92284.06820889526</v>
      </c>
      <c r="AG246" s="163">
        <v>22155.371145611301</v>
      </c>
      <c r="AH246" s="163">
        <v>124396.25681208294</v>
      </c>
      <c r="AI246" s="163">
        <v>95351.501659233065</v>
      </c>
      <c r="AJ246" s="163">
        <v>19950.003509229657</v>
      </c>
      <c r="AK246" s="163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20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122.20389238769019</v>
      </c>
      <c r="H247" s="21">
        <f t="shared" ref="H247:K247" si="102">H137</f>
        <v>125.81139963390576</v>
      </c>
      <c r="I247" s="21">
        <f t="shared" si="102"/>
        <v>129.52540192113207</v>
      </c>
      <c r="J247" s="21">
        <f t="shared" si="102"/>
        <v>129.52540192113207</v>
      </c>
      <c r="K247" s="21">
        <f t="shared" si="102"/>
        <v>129.52540192113207</v>
      </c>
      <c r="L247" s="21">
        <f t="shared" ref="L247:M247" si="103">L137</f>
        <v>129.52540192113207</v>
      </c>
      <c r="M247" s="21">
        <f t="shared" si="103"/>
        <v>129.52540192113207</v>
      </c>
      <c r="N247" s="174"/>
      <c r="O247" s="111">
        <v>245</v>
      </c>
      <c r="P247" s="111">
        <v>0</v>
      </c>
      <c r="Q247" s="163">
        <v>144.91918771568427</v>
      </c>
      <c r="R247" s="163">
        <v>114.93650454568989</v>
      </c>
      <c r="S247" s="163">
        <v>122.02164572814232</v>
      </c>
      <c r="T247" s="163">
        <v>132.11194364909412</v>
      </c>
      <c r="U247" s="163">
        <v>123.913509346631</v>
      </c>
      <c r="V247" s="163">
        <v>139.21729358520494</v>
      </c>
      <c r="W247" s="163">
        <v>122.20389238769019</v>
      </c>
      <c r="X247" s="214">
        <v>130.14327960169641</v>
      </c>
      <c r="Y247" s="163">
        <v>123.62280177898599</v>
      </c>
      <c r="Z247" s="163">
        <v>117.8921714713937</v>
      </c>
      <c r="AA247" s="163">
        <v>143.80565315970563</v>
      </c>
      <c r="AB247" s="163">
        <v>148.33075337123731</v>
      </c>
      <c r="AC247" s="163">
        <v>135.23963297986805</v>
      </c>
      <c r="AD247" s="163">
        <v>126.22162414702781</v>
      </c>
      <c r="AE247" s="163">
        <v>148.33075337123731</v>
      </c>
      <c r="AF247" s="163">
        <v>126.98371470726295</v>
      </c>
      <c r="AG247" s="163">
        <v>123.62280177898599</v>
      </c>
      <c r="AH247" s="163">
        <v>148.33075337123731</v>
      </c>
      <c r="AI247" s="163">
        <v>124.05142591788095</v>
      </c>
      <c r="AJ247" s="163">
        <v>122.02164572814232</v>
      </c>
      <c r="AK247" s="163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20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7169751.754920315</v>
      </c>
      <c r="H248" s="8">
        <f t="shared" ref="H248:K248" si="104">H246*H247</f>
        <v>7502054.1055890843</v>
      </c>
      <c r="I248" s="8">
        <f t="shared" si="104"/>
        <v>7972062.4455378475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3">
        <v>637307967.62852943</v>
      </c>
      <c r="R248" s="163">
        <v>12449736.12462322</v>
      </c>
      <c r="S248" s="163">
        <v>1446235.9831286017</v>
      </c>
      <c r="T248" s="163">
        <v>24356346.288417146</v>
      </c>
      <c r="U248" s="163">
        <v>21673811.270796392</v>
      </c>
      <c r="V248" s="163">
        <v>45976711.908133999</v>
      </c>
      <c r="W248" s="163">
        <v>20092008.455649622</v>
      </c>
      <c r="X248" s="214">
        <v>4683630.691384295</v>
      </c>
      <c r="Y248" s="163">
        <v>751714.52937166765</v>
      </c>
      <c r="Z248" s="163">
        <v>10558535.310277909</v>
      </c>
      <c r="AA248" s="163">
        <v>1738488.5397949989</v>
      </c>
      <c r="AB248" s="163">
        <v>7589487.264777313</v>
      </c>
      <c r="AC248" s="163">
        <v>46322223.604452603</v>
      </c>
      <c r="AD248" s="163">
        <v>27220093.463471096</v>
      </c>
      <c r="AE248" s="163">
        <v>59322568.891787447</v>
      </c>
      <c r="AF248" s="163">
        <v>11718573.78946395</v>
      </c>
      <c r="AG248" s="163">
        <v>2738909.0554737714</v>
      </c>
      <c r="AH248" s="163">
        <v>18451790.489498172</v>
      </c>
      <c r="AI248" s="163">
        <v>11828489.744239053</v>
      </c>
      <c r="AJ248" s="163">
        <v>2434332.2604784174</v>
      </c>
      <c r="AK248" s="163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20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3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214">
        <v>0</v>
      </c>
      <c r="Y249" s="163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20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3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214">
        <v>0</v>
      </c>
      <c r="Y250" s="163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20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3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214">
        <v>0</v>
      </c>
      <c r="Y251" s="163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20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">
      <c r="A252" s="3"/>
      <c r="B252" s="3"/>
      <c r="C252" s="3"/>
      <c r="D252" s="3"/>
      <c r="E252" s="37"/>
      <c r="O252" s="111">
        <v>250</v>
      </c>
      <c r="P252" s="111">
        <v>0</v>
      </c>
      <c r="Q252" s="163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214">
        <v>0</v>
      </c>
      <c r="Y252" s="163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20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1"/>
      <c r="O253" s="111">
        <v>251</v>
      </c>
      <c r="P253" s="111">
        <v>0</v>
      </c>
      <c r="Q253" s="163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214">
        <v>0</v>
      </c>
      <c r="Y253" s="163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20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3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214">
        <v>0</v>
      </c>
      <c r="Y254" s="163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20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3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214">
        <v>0</v>
      </c>
      <c r="Y255" s="163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20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6541743.249008731</v>
      </c>
      <c r="H256" s="60">
        <f t="shared" ref="H256:K256" si="107">H121</f>
        <v>7178334.3480833303</v>
      </c>
      <c r="I256" s="60">
        <f t="shared" si="107"/>
        <v>7440133.7619804461</v>
      </c>
      <c r="J256" s="60">
        <f t="shared" si="107"/>
        <v>1961617.1007221374</v>
      </c>
      <c r="K256" s="60">
        <f t="shared" si="107"/>
        <v>1871578.8757989914</v>
      </c>
      <c r="L256" s="60">
        <f t="shared" ref="L256:M256" si="108">L121</f>
        <v>1785673.4053998175</v>
      </c>
      <c r="M256" s="60">
        <f t="shared" si="108"/>
        <v>1703710.9960919661</v>
      </c>
      <c r="N256" s="60"/>
      <c r="O256" s="111">
        <v>254</v>
      </c>
      <c r="P256" s="111">
        <v>0</v>
      </c>
      <c r="Q256" s="163">
        <v>666886625.51901197</v>
      </c>
      <c r="R256" s="163">
        <v>24804672.070677251</v>
      </c>
      <c r="S256" s="163">
        <v>1640282.3681843961</v>
      </c>
      <c r="T256" s="163">
        <v>25350481.836767741</v>
      </c>
      <c r="U256" s="163">
        <v>19960172.479246095</v>
      </c>
      <c r="V256" s="163">
        <v>40813641.483385205</v>
      </c>
      <c r="W256" s="163">
        <v>22465934.186253089</v>
      </c>
      <c r="X256" s="214">
        <v>4732070.7214082088</v>
      </c>
      <c r="Y256" s="163">
        <v>891167.56632925686</v>
      </c>
      <c r="Z256" s="163">
        <v>8783945.6639200747</v>
      </c>
      <c r="AA256" s="163">
        <v>1153022.1782147114</v>
      </c>
      <c r="AB256" s="163">
        <v>4864883.2445317432</v>
      </c>
      <c r="AC256" s="163">
        <v>41449283.67207171</v>
      </c>
      <c r="AD256" s="163">
        <v>22846328.137358025</v>
      </c>
      <c r="AE256" s="163">
        <v>62552073.294648439</v>
      </c>
      <c r="AF256" s="163">
        <v>12670488.919235758</v>
      </c>
      <c r="AG256" s="163">
        <v>2174398.889711068</v>
      </c>
      <c r="AH256" s="163">
        <v>16020808.775869189</v>
      </c>
      <c r="AI256" s="163">
        <v>12917512.562765377</v>
      </c>
      <c r="AJ256" s="163">
        <v>2494241.5456404341</v>
      </c>
      <c r="AK256" s="163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20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7169751.754920315</v>
      </c>
      <c r="H257" s="60">
        <f t="shared" ref="H257:K257" si="110">H248</f>
        <v>7502054.1055890843</v>
      </c>
      <c r="I257" s="60">
        <f t="shared" si="110"/>
        <v>7972062.4455378475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3">
        <v>637307967.62852943</v>
      </c>
      <c r="R257" s="163">
        <v>12449736.12462322</v>
      </c>
      <c r="S257" s="163">
        <v>1446235.9831286017</v>
      </c>
      <c r="T257" s="163">
        <v>24356346.288417146</v>
      </c>
      <c r="U257" s="163">
        <v>21673811.270796392</v>
      </c>
      <c r="V257" s="163">
        <v>45976711.908133999</v>
      </c>
      <c r="W257" s="163">
        <v>20092008.455649622</v>
      </c>
      <c r="X257" s="214">
        <v>4683630.691384295</v>
      </c>
      <c r="Y257" s="163">
        <v>751714.52937166765</v>
      </c>
      <c r="Z257" s="163">
        <v>10558535.310277909</v>
      </c>
      <c r="AA257" s="163">
        <v>1738488.5397949989</v>
      </c>
      <c r="AB257" s="163">
        <v>7589487.264777313</v>
      </c>
      <c r="AC257" s="163">
        <v>46322223.604452603</v>
      </c>
      <c r="AD257" s="163">
        <v>27220093.463471096</v>
      </c>
      <c r="AE257" s="163">
        <v>59322568.891787447</v>
      </c>
      <c r="AF257" s="163">
        <v>11718573.78946395</v>
      </c>
      <c r="AG257" s="163">
        <v>2738909.0554737714</v>
      </c>
      <c r="AH257" s="163">
        <v>18451790.489498172</v>
      </c>
      <c r="AI257" s="163">
        <v>11828489.744239053</v>
      </c>
      <c r="AJ257" s="163">
        <v>2434332.2604784174</v>
      </c>
      <c r="AK257" s="163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20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-628008.50591158401</v>
      </c>
      <c r="H258" s="25">
        <f t="shared" ref="H258:K258" si="113">H256-H257</f>
        <v>-323719.75750575401</v>
      </c>
      <c r="I258" s="25">
        <f t="shared" si="113"/>
        <v>-531928.68355740141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5"/>
      <c r="O258" s="111">
        <v>256</v>
      </c>
      <c r="P258" s="111">
        <v>0</v>
      </c>
      <c r="Q258" s="163">
        <v>29578657.890482545</v>
      </c>
      <c r="R258" s="163">
        <v>12354935.94605403</v>
      </c>
      <c r="S258" s="163">
        <v>194046.38505579438</v>
      </c>
      <c r="T258" s="163">
        <v>994135.54835059494</v>
      </c>
      <c r="U258" s="163">
        <v>-1713638.7915502973</v>
      </c>
      <c r="V258" s="163">
        <v>-5163070.4247487932</v>
      </c>
      <c r="W258" s="163">
        <v>2373925.7306034677</v>
      </c>
      <c r="X258" s="214">
        <v>48440.030023913831</v>
      </c>
      <c r="Y258" s="163">
        <v>139453.03695758921</v>
      </c>
      <c r="Z258" s="163">
        <v>-1774589.6463578343</v>
      </c>
      <c r="AA258" s="163">
        <v>-585466.36158028757</v>
      </c>
      <c r="AB258" s="163">
        <v>-2724604.0202455698</v>
      </c>
      <c r="AC258" s="163">
        <v>-4872939.9323808923</v>
      </c>
      <c r="AD258" s="163">
        <v>-4373765.3261130713</v>
      </c>
      <c r="AE258" s="163">
        <v>3229504.4028609917</v>
      </c>
      <c r="AF258" s="163">
        <v>951915.12977180816</v>
      </c>
      <c r="AG258" s="163">
        <v>-564510.1657627034</v>
      </c>
      <c r="AH258" s="163">
        <v>-2430981.7136289831</v>
      </c>
      <c r="AI258" s="163">
        <v>1089022.8185263239</v>
      </c>
      <c r="AJ258" s="163">
        <v>59909.285162016749</v>
      </c>
      <c r="AK258" s="163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20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-8.759138773258178E-2</v>
      </c>
      <c r="H259" s="61">
        <f t="shared" ref="H259:K259" si="116">H258/H257</f>
        <v>-4.3150816156415139E-2</v>
      </c>
      <c r="I259" s="61">
        <f t="shared" si="116"/>
        <v>-6.6724098963265713E-2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3">
        <v>4.6411875251688661E-2</v>
      </c>
      <c r="R259" s="163">
        <v>0.99238536643506092</v>
      </c>
      <c r="S259" s="163">
        <v>0.13417339031768472</v>
      </c>
      <c r="T259" s="163">
        <v>4.0816284042708165E-2</v>
      </c>
      <c r="U259" s="163">
        <v>-7.9064949405519599E-2</v>
      </c>
      <c r="V259" s="163">
        <v>-0.11229751346866902</v>
      </c>
      <c r="W259" s="163">
        <v>0.11815273400086339</v>
      </c>
      <c r="X259" s="214">
        <v>1.0342410240205529E-2</v>
      </c>
      <c r="Y259" s="163">
        <v>0.18551329195958632</v>
      </c>
      <c r="Z259" s="163">
        <v>-0.16807157377504908</v>
      </c>
      <c r="AA259" s="163">
        <v>-0.33676745528004759</v>
      </c>
      <c r="AB259" s="163">
        <v>-0.35899711340058671</v>
      </c>
      <c r="AC259" s="163">
        <v>-0.10519658930864652</v>
      </c>
      <c r="AD259" s="163">
        <v>-0.16068149552765459</v>
      </c>
      <c r="AE259" s="163">
        <v>5.4439726114222285E-2</v>
      </c>
      <c r="AF259" s="163">
        <v>8.1231312519247464E-2</v>
      </c>
      <c r="AG259" s="163">
        <v>-0.20610767072916025</v>
      </c>
      <c r="AH259" s="163">
        <v>-0.13174774095839509</v>
      </c>
      <c r="AI259" s="163">
        <v>9.2067782284439278E-2</v>
      </c>
      <c r="AJ259" s="163">
        <v>2.4610151265975017E-2</v>
      </c>
      <c r="AK259" s="163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20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5" thickBot="1" x14ac:dyDescent="0.25">
      <c r="A260" s="3"/>
      <c r="B260" s="38">
        <v>241</v>
      </c>
      <c r="M260" s="90"/>
      <c r="O260" s="111">
        <v>258</v>
      </c>
      <c r="P260" s="111">
        <v>0</v>
      </c>
      <c r="Q260" s="163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214">
        <v>0</v>
      </c>
      <c r="Y260" s="163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20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8" customFormat="1" ht="13.5" thickBot="1" x14ac:dyDescent="0.25">
      <c r="A261" s="30"/>
      <c r="B261" s="93">
        <v>242</v>
      </c>
      <c r="C261" s="216" t="s">
        <v>154</v>
      </c>
      <c r="D261" s="217"/>
      <c r="E261" s="217"/>
      <c r="F261" s="62"/>
      <c r="G261" s="62">
        <f>HLOOKUP($E$3,$Q$3:$CE$269,O261,TRUE)</f>
        <v>-9.1667349480746396E-2</v>
      </c>
      <c r="H261" s="62">
        <f t="shared" ref="H261:K261" si="118">LN(H256/H257)</f>
        <v>-4.4109492588139877E-2</v>
      </c>
      <c r="I261" s="62">
        <f t="shared" si="118"/>
        <v>-6.9054407983781804E-2</v>
      </c>
      <c r="J261" s="62" t="e">
        <f t="shared" si="118"/>
        <v>#NUM!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9">
        <v>259</v>
      </c>
      <c r="P261" s="219">
        <v>0</v>
      </c>
      <c r="Q261" s="213">
        <v>4.5367050329651368E-2</v>
      </c>
      <c r="R261" s="213">
        <v>0.68933259749771869</v>
      </c>
      <c r="S261" s="213">
        <v>0.1259040951320283</v>
      </c>
      <c r="T261" s="213">
        <v>4.0005293791986606E-2</v>
      </c>
      <c r="U261" s="213">
        <v>-8.2365765740685132E-2</v>
      </c>
      <c r="V261" s="213">
        <v>-0.11911862981757558</v>
      </c>
      <c r="W261" s="213">
        <v>0.11167797899859878</v>
      </c>
      <c r="X261" s="215">
        <v>1.0289293438666823E-2</v>
      </c>
      <c r="Y261" s="213">
        <v>0.17017583857315138</v>
      </c>
      <c r="Z261" s="213">
        <v>-0.18400886803332583</v>
      </c>
      <c r="AA261" s="213">
        <v>-0.41062960410939753</v>
      </c>
      <c r="AB261" s="213">
        <v>-0.44472131879639099</v>
      </c>
      <c r="AC261" s="213">
        <v>-0.11115123769332692</v>
      </c>
      <c r="AD261" s="213">
        <v>-0.17516502062973122</v>
      </c>
      <c r="AE261" s="213">
        <v>5.3009560568334758E-2</v>
      </c>
      <c r="AF261" s="213">
        <v>7.8100495895402341E-2</v>
      </c>
      <c r="AG261" s="213">
        <v>-0.23080743238259485</v>
      </c>
      <c r="AH261" s="213">
        <v>-0.1412729855282201</v>
      </c>
      <c r="AI261" s="213">
        <v>8.8072947085392747E-2</v>
      </c>
      <c r="AJ261" s="213">
        <v>2.4312200014364814E-2</v>
      </c>
      <c r="AK261" s="213">
        <v>7.1088368407897409E-2</v>
      </c>
      <c r="AL261" s="213">
        <v>-0.2494463748605496</v>
      </c>
      <c r="AM261" s="213">
        <v>-3.5323407065295964E-2</v>
      </c>
      <c r="AN261" s="213">
        <v>-0.28379343140248919</v>
      </c>
      <c r="AO261" s="213">
        <v>-0.20133203636505317</v>
      </c>
      <c r="AP261" s="213">
        <v>-0.23046700501020001</v>
      </c>
      <c r="AQ261" s="213">
        <v>-0.56301113228127964</v>
      </c>
      <c r="AR261" s="213">
        <v>0.16983472745278344</v>
      </c>
      <c r="AS261" s="213">
        <v>0.16517118532726821</v>
      </c>
      <c r="AT261" s="213">
        <v>4.6849462680324805E-2</v>
      </c>
      <c r="AU261" s="213">
        <v>-9.2030290387265207E-2</v>
      </c>
      <c r="AV261" s="213">
        <v>-1.3597057165973493E-2</v>
      </c>
      <c r="AW261" s="213">
        <v>-0.19886788067098882</v>
      </c>
      <c r="AX261" s="213">
        <v>-0.23517395268724575</v>
      </c>
      <c r="AY261" s="213">
        <v>-0.16138079865080168</v>
      </c>
      <c r="AZ261" s="213">
        <v>-7.092120646301206E-2</v>
      </c>
      <c r="BA261" s="213">
        <v>0.11363781750916124</v>
      </c>
      <c r="BB261" s="213">
        <v>-0.14351244814584868</v>
      </c>
      <c r="BC261" s="213">
        <v>-0.12207388187310986</v>
      </c>
      <c r="BD261" s="213">
        <v>4.8630427941724147E-2</v>
      </c>
      <c r="BE261" s="213">
        <v>-9.1667349480746396E-2</v>
      </c>
      <c r="BF261" s="213">
        <v>5.4827970423291836E-2</v>
      </c>
      <c r="BG261" s="213">
        <v>-0.35990777494756127</v>
      </c>
      <c r="BH261" s="213">
        <v>2.5742769970603607E-2</v>
      </c>
      <c r="BI261" s="213">
        <v>-0.1427372608489357</v>
      </c>
      <c r="BJ261" s="213">
        <v>-3.8394035908504931E-2</v>
      </c>
      <c r="BK261" s="213">
        <v>-0.16264805507018759</v>
      </c>
      <c r="BL261" s="213">
        <v>-0.10367969672271901</v>
      </c>
      <c r="BM261" s="213">
        <v>8.2460970620447563E-2</v>
      </c>
      <c r="BN261" s="213">
        <v>0.11244761129122202</v>
      </c>
      <c r="BO261" s="213">
        <v>7.6920313206913921E-2</v>
      </c>
      <c r="BP261" s="213">
        <v>-4.1485979966266094E-2</v>
      </c>
      <c r="BQ261" s="213">
        <v>-7.9287415644441098E-2</v>
      </c>
      <c r="BR261" s="213">
        <v>-0.14830049709061152</v>
      </c>
      <c r="BS261" s="213">
        <v>0.11189635873102806</v>
      </c>
      <c r="BT261" s="213">
        <v>-1.1501696373013277E-2</v>
      </c>
      <c r="BU261" s="213">
        <v>0.52944574365265096</v>
      </c>
      <c r="BV261" s="213">
        <v>-3.1013643732482783E-2</v>
      </c>
      <c r="BW261" s="213">
        <v>-0.45657017682524337</v>
      </c>
      <c r="BX261" s="221">
        <v>9.5339226117957004E-2</v>
      </c>
      <c r="BY261" s="213">
        <v>-0.19594661765466731</v>
      </c>
      <c r="BZ261" s="213">
        <v>0.1274813872531238</v>
      </c>
      <c r="CA261" s="213">
        <v>0.26802324138088135</v>
      </c>
      <c r="CB261" s="213">
        <v>-1.5373478811613703E-2</v>
      </c>
      <c r="CC261" s="213">
        <v>-2.1033004704942824E-2</v>
      </c>
      <c r="CD261" s="167"/>
      <c r="CE261" s="167"/>
    </row>
    <row r="262" spans="1:86" hidden="1" x14ac:dyDescent="0.2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3">
        <v>4.5367050329651368E-2</v>
      </c>
      <c r="R262" s="163">
        <v>0.68933259749771869</v>
      </c>
      <c r="S262" s="163">
        <v>0.1259040951320283</v>
      </c>
      <c r="T262" s="163">
        <v>4.0005293791986606E-2</v>
      </c>
      <c r="U262" s="163">
        <v>-8.2365765740685132E-2</v>
      </c>
      <c r="V262" s="163">
        <v>-0.11911862981757558</v>
      </c>
      <c r="W262" s="163">
        <v>0.11167797899859878</v>
      </c>
      <c r="X262" s="214">
        <v>1.0289293438666823E-2</v>
      </c>
      <c r="Y262" s="163">
        <v>0.17017583857315138</v>
      </c>
      <c r="Z262" s="163">
        <v>-0.18400886803332583</v>
      </c>
      <c r="AA262" s="163">
        <v>-0.41062960410939753</v>
      </c>
      <c r="AB262" s="163">
        <v>-0.44472131879639099</v>
      </c>
      <c r="AC262" s="163">
        <v>-0.11115123769332692</v>
      </c>
      <c r="AD262" s="163">
        <v>-0.17516502062973122</v>
      </c>
      <c r="AE262" s="163">
        <v>5.3009560568334758E-2</v>
      </c>
      <c r="AF262" s="163">
        <v>7.8100495895402341E-2</v>
      </c>
      <c r="AG262" s="163">
        <v>-0.23080743238259485</v>
      </c>
      <c r="AH262" s="163">
        <v>-0.1412729855282201</v>
      </c>
      <c r="AI262" s="163">
        <v>8.8072947085392747E-2</v>
      </c>
      <c r="AJ262" s="163">
        <v>2.4312200014364814E-2</v>
      </c>
      <c r="AK262" s="163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7">
        <v>-2.6780322903377264E-2</v>
      </c>
      <c r="CE262" s="167">
        <v>-1.9405557213708326E-2</v>
      </c>
    </row>
    <row r="263" spans="1:86" hidden="1" x14ac:dyDescent="0.2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3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214">
        <v>0</v>
      </c>
      <c r="Y263" s="163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7">
        <v>0</v>
      </c>
      <c r="CE263" s="167">
        <v>0</v>
      </c>
    </row>
    <row r="264" spans="1:86" hidden="1" x14ac:dyDescent="0.2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3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3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3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3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3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3"/>
      <c r="O269" s="111">
        <v>267</v>
      </c>
      <c r="Q269" s="163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4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Q29"/>
  <sheetViews>
    <sheetView tabSelected="1" workbookViewId="0">
      <selection activeCell="E8" sqref="E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8" width="13.5703125" bestFit="1" customWidth="1"/>
    <col min="9" max="10" width="13.5703125" hidden="1" customWidth="1"/>
    <col min="11" max="11" width="13.7109375" hidden="1" customWidth="1"/>
    <col min="12" max="13" width="9.28515625" bestFit="1" customWidth="1"/>
  </cols>
  <sheetData>
    <row r="2" spans="3:17" ht="23.25" x14ac:dyDescent="0.35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0" customFormat="1" ht="23.25" customHeight="1" x14ac:dyDescent="0.25">
      <c r="C3" s="235" t="str">
        <f>'Model Inputs'!F5</f>
        <v>Niagara-on-the-Lake Hydro Inc.</v>
      </c>
      <c r="D3" s="235"/>
      <c r="E3" s="235"/>
      <c r="F3" s="235"/>
      <c r="G3" s="235"/>
      <c r="H3" s="235"/>
      <c r="I3" s="235"/>
      <c r="J3" s="235"/>
      <c r="K3" s="235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6541743.249008731</v>
      </c>
      <c r="G10" s="84">
        <f>'Benchmarking Calculations'!H121</f>
        <v>7178334.3480833303</v>
      </c>
      <c r="H10" s="84">
        <f>'Benchmarking Calculations'!I121</f>
        <v>7440133.7619804461</v>
      </c>
      <c r="I10" s="89" t="str">
        <f>IF(ISNUMBER(I12),'Benchmarking Calculations'!J121,"na")</f>
        <v>na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7169751.754920315</v>
      </c>
      <c r="G12" s="84">
        <f>'Benchmarking Calculations'!H257</f>
        <v>7502054.1055890843</v>
      </c>
      <c r="H12" s="84">
        <f>'Benchmarking Calculations'!I257</f>
        <v>7972062.4455378475</v>
      </c>
      <c r="I12" s="89" t="str">
        <f>IF(ISNUMBER('Benchmarking Calculations'!J257),'Benchmarking Calculations'!J257,"na")</f>
        <v>na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-628008.50591158401</v>
      </c>
      <c r="G14" s="84">
        <f t="shared" si="0"/>
        <v>-323719.75750575401</v>
      </c>
      <c r="H14" s="84">
        <f t="shared" si="0"/>
        <v>-531928.68355740141</v>
      </c>
      <c r="I14" s="89" t="str">
        <f>IF(ISNUMBER(I12),I10-I12,"na")</f>
        <v>na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184</v>
      </c>
      <c r="E16" s="11"/>
      <c r="F16" s="205">
        <f>LN(F10/F12)</f>
        <v>-9.1667349480746396E-2</v>
      </c>
      <c r="G16" s="205">
        <f t="shared" ref="G16:H16" si="2">LN(G10/G12)</f>
        <v>-4.4109492588139877E-2</v>
      </c>
      <c r="H16" s="205">
        <f t="shared" si="2"/>
        <v>-6.9054407983781804E-2</v>
      </c>
      <c r="I16" s="133" t="str">
        <f>IF(ISNUMBER(I14),LN(I10/I12),"na")</f>
        <v>na</v>
      </c>
      <c r="J16" s="133" t="str">
        <f t="shared" ref="J16:K16" si="3">IF(ISNUMBER(J14),LN(J10/J12),"na")</f>
        <v>na</v>
      </c>
      <c r="K16" s="133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181</v>
      </c>
      <c r="F18" s="153"/>
      <c r="G18" s="153"/>
      <c r="H18" s="153">
        <f>AVERAGE(F16:H16)</f>
        <v>-6.8277083350889348E-2</v>
      </c>
      <c r="I18" s="64" t="str">
        <f>IF(ISNUMBER(I16),AVERAGE(G16:I16),"na")</f>
        <v>na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34">
        <f>IF(F16&lt;-0.25,1,IF(F16&lt;-0.1,2,IF(F16&lt;0.1,3,IF(F16&lt;0.25,4,5))))</f>
        <v>3</v>
      </c>
      <c r="G22" s="134">
        <f t="shared" ref="G22" si="5">IF(G16&lt;-0.25,1,IF(G16&lt;-0.1,2,IF(G16&lt;0.1,3,IF(G16&lt;0.25,4,5))))</f>
        <v>3</v>
      </c>
      <c r="H22" s="134">
        <f>IF($H$16&lt;-0.25,1,IF($H$16&lt;-0.1,2,IF($H$16&lt;0.1,3,IF($H$16&lt;0.25,4,5))))</f>
        <v>3</v>
      </c>
      <c r="I22" s="134" t="str">
        <f>IF(ISNUMBER(I16),IF(I16&lt;-0.25,1,IF(I16&lt;-0.1,2,IF(I16&lt;0.1,3,IF(I16&lt;0.25,4,5)))),"na")</f>
        <v>na</v>
      </c>
      <c r="J22" s="134" t="str">
        <f t="shared" ref="J22:K22" si="6">IF(ISNUMBER(J16),IF(J16&lt;-0.25,1,IF(J16&lt;-0.1,2,IF(J16&lt;0.1,3,IF(J16&lt;0.25,4,5)))),"na")</f>
        <v>na</v>
      </c>
      <c r="K22" s="134" t="str">
        <f t="shared" si="6"/>
        <v>na</v>
      </c>
    </row>
    <row r="24" spans="4:15" ht="15" x14ac:dyDescent="0.25">
      <c r="E24" t="s">
        <v>155</v>
      </c>
      <c r="H24" s="134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Model Inputs</vt:lpstr>
      <vt:lpstr>Benchmarking Calculations</vt:lpstr>
      <vt:lpstr>Results</vt:lpstr>
      <vt:lpstr>'Benchmarking Calculations'!Print_Area</vt:lpstr>
      <vt:lpstr>'Model Inputs'!Print_Area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Jeff Klassen</cp:lastModifiedBy>
  <cp:lastPrinted>2018-11-20T18:23:39Z</cp:lastPrinted>
  <dcterms:created xsi:type="dcterms:W3CDTF">2016-07-20T15:58:10Z</dcterms:created>
  <dcterms:modified xsi:type="dcterms:W3CDTF">2018-11-20T18:52:08Z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