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Shareal\Alex Share\IRM\Alectra - 2019\Prep - Oral Hearing\Adjusted ROE Calculation\"/>
    </mc:Choice>
  </mc:AlternateContent>
  <bookViews>
    <workbookView xWindow="0" yWindow="0" windowWidth="28800" windowHeight="11700"/>
  </bookViews>
  <sheets>
    <sheet name="Adjusted Regl. Earnings and RO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7" l="1"/>
  <c r="H138" i="7"/>
  <c r="G138" i="7"/>
  <c r="J163" i="7" l="1"/>
  <c r="J162" i="7"/>
  <c r="F40" i="7"/>
  <c r="J39" i="7"/>
  <c r="J38" i="7"/>
  <c r="J34" i="7"/>
  <c r="J33" i="7"/>
  <c r="J35" i="7" l="1"/>
  <c r="J40" i="7"/>
  <c r="J118" i="7"/>
  <c r="J153" i="7"/>
  <c r="J143" i="7"/>
  <c r="G89" i="7"/>
  <c r="H89" i="7"/>
  <c r="I89" i="7"/>
  <c r="J89" i="7"/>
  <c r="F89" i="7"/>
  <c r="G108" i="7"/>
  <c r="H108" i="7"/>
  <c r="H110" i="7" s="1"/>
  <c r="H114" i="7" s="1"/>
  <c r="I108" i="7"/>
  <c r="I110" i="7" s="1"/>
  <c r="I114" i="7" s="1"/>
  <c r="F108" i="7"/>
  <c r="F110" i="7" s="1"/>
  <c r="F114" i="7" s="1"/>
  <c r="G110" i="7"/>
  <c r="J117" i="7"/>
  <c r="J106" i="7"/>
  <c r="J105" i="7"/>
  <c r="J213" i="7"/>
  <c r="J108" i="7" l="1"/>
  <c r="J110" i="7" s="1"/>
  <c r="G114" i="7"/>
  <c r="J114" i="7" s="1"/>
  <c r="J165" i="7"/>
  <c r="J191" i="7" s="1"/>
  <c r="J212" i="7"/>
  <c r="J222" i="7" s="1"/>
  <c r="J195" i="7"/>
  <c r="F115" i="7" l="1"/>
  <c r="I115" i="7"/>
  <c r="H115" i="7"/>
  <c r="G115" i="7"/>
  <c r="F111" i="7"/>
  <c r="J111" i="7"/>
  <c r="H111" i="7"/>
  <c r="I111" i="7"/>
  <c r="G111" i="7"/>
  <c r="J215" i="7"/>
  <c r="J217" i="7" s="1"/>
  <c r="F10" i="7"/>
  <c r="I119" i="7" l="1"/>
  <c r="I120" i="7" s="1"/>
  <c r="I149" i="7" s="1"/>
  <c r="I151" i="7" s="1"/>
  <c r="G119" i="7"/>
  <c r="G120" i="7" s="1"/>
  <c r="H119" i="7"/>
  <c r="H120" i="7" s="1"/>
  <c r="H149" i="7" s="1"/>
  <c r="H151" i="7" s="1"/>
  <c r="F119" i="7"/>
  <c r="F120" i="7" s="1"/>
  <c r="J115" i="7"/>
  <c r="F76" i="7"/>
  <c r="G149" i="7" l="1"/>
  <c r="G151" i="7" s="1"/>
  <c r="G124" i="7" s="1"/>
  <c r="H124" i="7"/>
  <c r="H155" i="7"/>
  <c r="H93" i="7" s="1"/>
  <c r="H98" i="7" s="1"/>
  <c r="H10" i="7" s="1"/>
  <c r="I124" i="7"/>
  <c r="I155" i="7"/>
  <c r="I93" i="7" s="1"/>
  <c r="I98" i="7" s="1"/>
  <c r="I10" i="7" s="1"/>
  <c r="G155" i="7"/>
  <c r="G93" i="7" s="1"/>
  <c r="G98" i="7" s="1"/>
  <c r="G10" i="7" s="1"/>
  <c r="F149" i="7"/>
  <c r="F151" i="7" s="1"/>
  <c r="G72" i="7"/>
  <c r="F9" i="7" s="1"/>
  <c r="J151" i="7" l="1"/>
  <c r="F155" i="7"/>
  <c r="F93" i="7" s="1"/>
  <c r="F98" i="7" s="1"/>
  <c r="I126" i="7"/>
  <c r="I128" i="7" s="1"/>
  <c r="I130" i="7"/>
  <c r="I132" i="7" s="1"/>
  <c r="G126" i="7"/>
  <c r="G130" i="7"/>
  <c r="H130" i="7"/>
  <c r="H126" i="7"/>
  <c r="F124" i="7"/>
  <c r="J124" i="7" s="1"/>
  <c r="G78" i="7"/>
  <c r="H132" i="7" l="1"/>
  <c r="H128" i="7"/>
  <c r="J155" i="7"/>
  <c r="J93" i="7" s="1"/>
  <c r="J98" i="7" s="1"/>
  <c r="G132" i="7"/>
  <c r="F126" i="7"/>
  <c r="F130" i="7"/>
  <c r="G128" i="7"/>
  <c r="I134" i="7"/>
  <c r="F11" i="7"/>
  <c r="F128" i="7" l="1"/>
  <c r="J128" i="7" s="1"/>
  <c r="J126" i="7"/>
  <c r="F132" i="7"/>
  <c r="J132" i="7" s="1"/>
  <c r="J130" i="7"/>
  <c r="H134" i="7"/>
  <c r="H136" i="7" s="1"/>
  <c r="H145" i="7" s="1"/>
  <c r="H92" i="7" s="1"/>
  <c r="H97" i="7" s="1"/>
  <c r="I136" i="7"/>
  <c r="I145" i="7" s="1"/>
  <c r="I92" i="7" s="1"/>
  <c r="I97" i="7" s="1"/>
  <c r="G134" i="7"/>
  <c r="G136" i="7" s="1"/>
  <c r="G145" i="7" s="1"/>
  <c r="G92" i="7" s="1"/>
  <c r="G97" i="7" s="1"/>
  <c r="H213" i="7"/>
  <c r="F213" i="7"/>
  <c r="I213" i="7"/>
  <c r="G213" i="7"/>
  <c r="H212" i="7"/>
  <c r="H215" i="7" s="1"/>
  <c r="H217" i="7" s="1"/>
  <c r="F212" i="7"/>
  <c r="F215" i="7" s="1"/>
  <c r="F217" i="7" s="1"/>
  <c r="I212" i="7"/>
  <c r="I215" i="7" s="1"/>
  <c r="I217" i="7" s="1"/>
  <c r="G212" i="7"/>
  <c r="G222" i="7" s="1"/>
  <c r="G224" i="7" s="1"/>
  <c r="F195" i="7"/>
  <c r="I195" i="7"/>
  <c r="G195" i="7"/>
  <c r="H195" i="7"/>
  <c r="F183" i="7"/>
  <c r="F184" i="7" s="1"/>
  <c r="I183" i="7"/>
  <c r="I184" i="7" s="1"/>
  <c r="G183" i="7"/>
  <c r="H165" i="7"/>
  <c r="F165" i="7"/>
  <c r="I165" i="7"/>
  <c r="G165" i="7"/>
  <c r="H183" i="7"/>
  <c r="H184" i="7" s="1"/>
  <c r="F134" i="7" l="1"/>
  <c r="F136" i="7" s="1"/>
  <c r="G99" i="7"/>
  <c r="G9" i="7"/>
  <c r="I99" i="7"/>
  <c r="I9" i="7"/>
  <c r="I11" i="7" s="1"/>
  <c r="J134" i="7"/>
  <c r="H99" i="7"/>
  <c r="H9" i="7"/>
  <c r="H11" i="7" s="1"/>
  <c r="G184" i="7"/>
  <c r="G185" i="7" s="1"/>
  <c r="G187" i="7" s="1"/>
  <c r="J183" i="7"/>
  <c r="G191" i="7"/>
  <c r="I191" i="7"/>
  <c r="F191" i="7"/>
  <c r="H222" i="7"/>
  <c r="H224" i="7" s="1"/>
  <c r="H226" i="7" s="1"/>
  <c r="F222" i="7"/>
  <c r="F224" i="7" s="1"/>
  <c r="F226" i="7" s="1"/>
  <c r="I222" i="7"/>
  <c r="I224" i="7" s="1"/>
  <c r="I226" i="7" s="1"/>
  <c r="I185" i="7"/>
  <c r="I187" i="7" s="1"/>
  <c r="F185" i="7"/>
  <c r="F187" i="7" s="1"/>
  <c r="H191" i="7"/>
  <c r="H185" i="7"/>
  <c r="G215" i="7"/>
  <c r="G217" i="7" s="1"/>
  <c r="G226" i="7" s="1"/>
  <c r="G11" i="7" l="1"/>
  <c r="F145" i="7"/>
  <c r="F92" i="7" s="1"/>
  <c r="F97" i="7" s="1"/>
  <c r="F99" i="7" s="1"/>
  <c r="J136" i="7"/>
  <c r="J145" i="7" s="1"/>
  <c r="J92" i="7" s="1"/>
  <c r="J97" i="7" s="1"/>
  <c r="J224" i="7"/>
  <c r="J226" i="7" s="1"/>
  <c r="J184" i="7"/>
  <c r="J185" i="7" s="1"/>
  <c r="J187" i="7" s="1"/>
  <c r="J194" i="7" s="1"/>
  <c r="J196" i="7" s="1"/>
  <c r="J198" i="7" s="1"/>
  <c r="J202" i="7" s="1"/>
  <c r="J204" i="7" s="1"/>
  <c r="I169" i="7"/>
  <c r="I171" i="7" s="1"/>
  <c r="I173" i="7" s="1"/>
  <c r="I228" i="7"/>
  <c r="I18" i="7" s="1"/>
  <c r="I25" i="7" s="1"/>
  <c r="F169" i="7"/>
  <c r="F175" i="7" s="1"/>
  <c r="F177" i="7" s="1"/>
  <c r="F228" i="7"/>
  <c r="G169" i="7"/>
  <c r="G171" i="7" s="1"/>
  <c r="G228" i="7"/>
  <c r="H169" i="7"/>
  <c r="H175" i="7" s="1"/>
  <c r="H177" i="7" s="1"/>
  <c r="H228" i="7"/>
  <c r="H18" i="7" s="1"/>
  <c r="H25" i="7" s="1"/>
  <c r="G194" i="7"/>
  <c r="G196" i="7" s="1"/>
  <c r="G198" i="7" s="1"/>
  <c r="G202" i="7" s="1"/>
  <c r="G204" i="7" s="1"/>
  <c r="I194" i="7"/>
  <c r="I196" i="7" s="1"/>
  <c r="I198" i="7" s="1"/>
  <c r="I202" i="7" s="1"/>
  <c r="I204" i="7" s="1"/>
  <c r="F194" i="7"/>
  <c r="F196" i="7" s="1"/>
  <c r="F198" i="7" s="1"/>
  <c r="F202" i="7" s="1"/>
  <c r="F204" i="7" s="1"/>
  <c r="H187" i="7"/>
  <c r="I44" i="7" l="1"/>
  <c r="I49" i="7" s="1"/>
  <c r="H44" i="7"/>
  <c r="H49" i="7" s="1"/>
  <c r="J99" i="7"/>
  <c r="F60" i="7"/>
  <c r="F72" i="7" s="1"/>
  <c r="G175" i="7"/>
  <c r="G18" i="7"/>
  <c r="G25" i="7" s="1"/>
  <c r="J169" i="7"/>
  <c r="J228" i="7"/>
  <c r="F18" i="7"/>
  <c r="F25" i="7" s="1"/>
  <c r="I175" i="7"/>
  <c r="I177" i="7" s="1"/>
  <c r="I179" i="7" s="1"/>
  <c r="I206" i="7" s="1"/>
  <c r="I17" i="7" s="1"/>
  <c r="I24" i="7" s="1"/>
  <c r="I43" i="7" s="1"/>
  <c r="F171" i="7"/>
  <c r="F173" i="7" s="1"/>
  <c r="F179" i="7" s="1"/>
  <c r="F206" i="7" s="1"/>
  <c r="H171" i="7"/>
  <c r="H173" i="7" s="1"/>
  <c r="H179" i="7" s="1"/>
  <c r="G173" i="7"/>
  <c r="G177" i="7"/>
  <c r="H194" i="7"/>
  <c r="H196" i="7" s="1"/>
  <c r="H198" i="7" s="1"/>
  <c r="J177" i="7" l="1"/>
  <c r="I45" i="7"/>
  <c r="G44" i="7"/>
  <c r="G49" i="7" s="1"/>
  <c r="F44" i="7"/>
  <c r="F78" i="7"/>
  <c r="J9" i="7"/>
  <c r="J173" i="7"/>
  <c r="J175" i="7"/>
  <c r="J171" i="7"/>
  <c r="I26" i="7"/>
  <c r="I19" i="7" s="1"/>
  <c r="J18" i="7"/>
  <c r="J25" i="7" s="1"/>
  <c r="F17" i="7"/>
  <c r="F24" i="7" s="1"/>
  <c r="F43" i="7" s="1"/>
  <c r="G179" i="7"/>
  <c r="J179" i="7" s="1"/>
  <c r="J206" i="7" s="1"/>
  <c r="H202" i="7"/>
  <c r="H204" i="7" s="1"/>
  <c r="H206" i="7" s="1"/>
  <c r="H17" i="7" s="1"/>
  <c r="H24" i="7" s="1"/>
  <c r="H43" i="7" s="1"/>
  <c r="H45" i="7" s="1"/>
  <c r="J44" i="7" l="1"/>
  <c r="J49" i="7" s="1"/>
  <c r="F49" i="7"/>
  <c r="J11" i="7"/>
  <c r="F26" i="7"/>
  <c r="F19" i="7" s="1"/>
  <c r="H26" i="7"/>
  <c r="H19" i="7" s="1"/>
  <c r="G206" i="7"/>
  <c r="G17" i="7" l="1"/>
  <c r="G24" i="7" s="1"/>
  <c r="G43" i="7" s="1"/>
  <c r="G45" i="7" s="1"/>
  <c r="J17" i="7"/>
  <c r="J24" i="7" s="1"/>
  <c r="J26" i="7" s="1"/>
  <c r="J19" i="7" s="1"/>
  <c r="G26" i="7" l="1"/>
  <c r="G19" i="7" s="1"/>
  <c r="F48" i="7" l="1"/>
  <c r="F45" i="7"/>
  <c r="F50" i="7" s="1"/>
  <c r="I48" i="7"/>
  <c r="G48" i="7"/>
  <c r="H48" i="7"/>
  <c r="J43" i="7"/>
  <c r="J48" i="7" s="1"/>
  <c r="I50" i="7"/>
  <c r="H50" i="7"/>
  <c r="G50" i="7"/>
  <c r="J45" i="7" l="1"/>
  <c r="J50" i="7" s="1"/>
</calcChain>
</file>

<file path=xl/sharedStrings.xml><?xml version="1.0" encoding="utf-8"?>
<sst xmlns="http://schemas.openxmlformats.org/spreadsheetml/2006/main" count="236" uniqueCount="149">
  <si>
    <t>Deemed Equity</t>
  </si>
  <si>
    <t>50% Net Additions</t>
  </si>
  <si>
    <t>Reduced UCC</t>
  </si>
  <si>
    <t>Adjusted Taxable Income</t>
  </si>
  <si>
    <t>Tax Rate</t>
  </si>
  <si>
    <t>Adjustments to Rate Base</t>
  </si>
  <si>
    <t>Adjustments to Average Net Fixed Assets:</t>
  </si>
  <si>
    <t>Remove capitalized OM&amp;A</t>
  </si>
  <si>
    <t>Add depreciation difference</t>
  </si>
  <si>
    <t>Change in Average Net Fixed Assets (divide by 2)</t>
  </si>
  <si>
    <t>Adjustments to Working Capital Allowance:</t>
  </si>
  <si>
    <t>Add capitalized OM&amp;A</t>
  </si>
  <si>
    <t>Working Capital Rate</t>
  </si>
  <si>
    <t>Adjustments to Working Capital Base controllable expenses:</t>
  </si>
  <si>
    <t>Adjustment to Working Capital Allowance</t>
  </si>
  <si>
    <t>B1</t>
  </si>
  <si>
    <t>B2</t>
  </si>
  <si>
    <t>(B1+B2)</t>
  </si>
  <si>
    <t>(B1+B2)*0.4</t>
  </si>
  <si>
    <t>Capital Cost Allowance (CCA) difference (Class 47):</t>
  </si>
  <si>
    <t>A1</t>
  </si>
  <si>
    <t>A2</t>
  </si>
  <si>
    <t>A3</t>
  </si>
  <si>
    <t>(A1+A2+A3)</t>
  </si>
  <si>
    <t>Changes in Deemed Interest Amounts</t>
  </si>
  <si>
    <t>Reduced Income Taxes/Current PILs</t>
  </si>
  <si>
    <t>Additions (Capitalized OM&amp;A)</t>
  </si>
  <si>
    <t>Adjustments to Current PILs:</t>
  </si>
  <si>
    <t>Net Adjustments to Taxable Income</t>
  </si>
  <si>
    <t>Adjustments to Arrive at Taxable Income:</t>
  </si>
  <si>
    <t>Add back incremental CCA Claim (per above*)</t>
  </si>
  <si>
    <t>Deduct Incremental Amortization that was added</t>
  </si>
  <si>
    <t>Change in Rate Base (per below, B1+B2)</t>
  </si>
  <si>
    <t>BRZ</t>
  </si>
  <si>
    <t>ERZ</t>
  </si>
  <si>
    <t>HRZ</t>
  </si>
  <si>
    <t>PRZ</t>
  </si>
  <si>
    <t>Alectra</t>
  </si>
  <si>
    <t>Input Rates and Source of Data</t>
  </si>
  <si>
    <t>CCA Claim (8%)*</t>
  </si>
  <si>
    <t>Deemed Short-term Debt Rate</t>
  </si>
  <si>
    <t>Change in Short-term Interest</t>
  </si>
  <si>
    <t>Deemed Short-term Debt Weight (4%)</t>
  </si>
  <si>
    <t>Deemed Long-term Debt Weight (56%)</t>
  </si>
  <si>
    <t>Deemed Long-term Debt Rate</t>
  </si>
  <si>
    <t>Change in Long-term Interest</t>
  </si>
  <si>
    <t>Impact on Earnings from Change in PILs</t>
  </si>
  <si>
    <t>Reported Results</t>
  </si>
  <si>
    <t>Effects of Accounting Changes</t>
  </si>
  <si>
    <t>Source</t>
  </si>
  <si>
    <t>Alectra Utilities</t>
  </si>
  <si>
    <t>ROE %</t>
  </si>
  <si>
    <t>ROE%</t>
  </si>
  <si>
    <t>Effects of Accounting Changes on Regulatory Net Earnings</t>
  </si>
  <si>
    <t>Source of Data:</t>
  </si>
  <si>
    <t>(EB-2014-0083) HOBNI 2015_Rev_Reqt_Work_Form_V4_xlsm_20141223; Tab 4 Rate Base and Tab 7 Cost of Capital</t>
  </si>
  <si>
    <t>Impact on Earnings from Deemed Interest Change</t>
  </si>
  <si>
    <t>Impact on Net Earnings Before Interest and Tax</t>
  </si>
  <si>
    <t>(EB-2012-0033) Enersource_DRO_reply_2013_RRWF_V3_20130111; Tab 4 Rate Base and Tab 7 Cost of Capital</t>
  </si>
  <si>
    <t>Long Term Debt Rate</t>
  </si>
  <si>
    <t>Short Term Debt Rate</t>
  </si>
  <si>
    <t>Working Capital Allowance Rate</t>
  </si>
  <si>
    <t>(EB-2016-0077)  Horizon_4.1 Revenue Requirement Work Form 2017_V7.02_Jan19_2017; Tab 4 Rate Base and Tab 7 Cost of Capital</t>
  </si>
  <si>
    <t>(EB-2015-0003) C_PowerStream_RRWF 2017_20161102; Tab 4 Rate Base and Tab 7 Cost of Capital</t>
  </si>
  <si>
    <r>
      <t>PRZ</t>
    </r>
    <r>
      <rPr>
        <vertAlign val="superscript"/>
        <sz val="11"/>
        <color theme="1"/>
        <rFont val="Calibri"/>
        <family val="2"/>
        <scheme val="minor"/>
      </rPr>
      <t>4</t>
    </r>
  </si>
  <si>
    <t>Regulatory Net Income before ESM DVA Entry</t>
  </si>
  <si>
    <t>Add back ROE on Stranded Meters</t>
  </si>
  <si>
    <t>Add back 1/5th of Application costs</t>
  </si>
  <si>
    <t>Deduct tax on ROE on Stranded Meters (26.5%)</t>
  </si>
  <si>
    <t>Deduct tax on 1/5th of Application Costs (26.5%)</t>
  </si>
  <si>
    <t>Reg. Net Income per 2.1.5.6 before ESM DVA Entry</t>
  </si>
  <si>
    <t>ESM DVA entry accrued in 2017</t>
  </si>
  <si>
    <t>2016 ESM DVA adjustment (booked in 2017)</t>
  </si>
  <si>
    <t>Tax on ESM DVA entry and adjustment (26.5%)</t>
  </si>
  <si>
    <t>Horizon RZ</t>
  </si>
  <si>
    <t>Regulatory Net Income per 2.1.5.6 after ESM Entry</t>
  </si>
  <si>
    <t>Note 1</t>
  </si>
  <si>
    <t>Ref.</t>
  </si>
  <si>
    <t>Note 2</t>
  </si>
  <si>
    <t>Ref:</t>
  </si>
  <si>
    <t>References:</t>
  </si>
  <si>
    <t>RRR Filings 2015</t>
  </si>
  <si>
    <t>RRR Filings 2016 for BRZ/ERZ/PRZ; EB-2017-0024 Exhibit 2 Tab 1 Schedule 6 for HRZ</t>
  </si>
  <si>
    <t>Effects of Accounting Changes on Rate Base</t>
  </si>
  <si>
    <t>Effects of Accounting Changes on Deemed Equity (40%)</t>
  </si>
  <si>
    <t>Total Adjustment to Closing Net Fixed Assets</t>
  </si>
  <si>
    <t>Regulatory Net Income (no ESM DVA Entry)</t>
  </si>
  <si>
    <t>Effects of Accounting Changes on Regulatory Net Earnings (Ref: BRZ per App. Ex 2 Tab 2 Sch 7; ERZ per App. Ex 2 Tab 4 Sch 7; HRZ per HRZ-Staff-22, PRZ per G-Staff-5)</t>
  </si>
  <si>
    <t>Deduct non-allowable Donations (non-LEAP)</t>
  </si>
  <si>
    <t>Adjustment for DVA interest (income) expense</t>
  </si>
  <si>
    <t>Add Tax on Stranded Meter Rate Rider</t>
  </si>
  <si>
    <t>Add Tax on DVA Interest (income) expense (26.5%)</t>
  </si>
  <si>
    <t>Add Tax on non-allowable Donations (non-LEAP) (26.5%)</t>
  </si>
  <si>
    <t>Exhibit 2 Tab 1 Schedule 6 Table 20-21</t>
  </si>
  <si>
    <t>Alectra Rep. Sub Table 1; IRR HRZ-Staff-17</t>
  </si>
  <si>
    <t>Change from 2016 to 2017</t>
  </si>
  <si>
    <t>Note 3</t>
  </si>
  <si>
    <t>Note 1: Reconciliation to RRR 2.1.5.4 Filings</t>
  </si>
  <si>
    <t>2014-2016 RRR Average</t>
  </si>
  <si>
    <t>% of total</t>
  </si>
  <si>
    <t>Revised OM&amp;A</t>
  </si>
  <si>
    <t>Prorate for 2017 part year:</t>
  </si>
  <si>
    <t>Months</t>
  </si>
  <si>
    <t>Prorated</t>
  </si>
  <si>
    <t>Change in OM&amp;A (%)</t>
  </si>
  <si>
    <t>Change in OM&amp;A ($)</t>
  </si>
  <si>
    <t>$ Used in Original Filing</t>
  </si>
  <si>
    <t>% Used in Original Filing</t>
  </si>
  <si>
    <t>Change in Deemed Equity</t>
  </si>
  <si>
    <t>Change in Deemed Interest</t>
  </si>
  <si>
    <t>Change in Rate Base (per below)</t>
  </si>
  <si>
    <t>Change in OM&amp;A (Working Capital Base) (per above)</t>
  </si>
  <si>
    <t>Change in Working Capital Allowance/Rate Base</t>
  </si>
  <si>
    <t>Change in Deemed Equity (40%)</t>
  </si>
  <si>
    <t>Impact of Alectra Utilities Overhead Capitalization</t>
  </si>
  <si>
    <t>Total Change in Regulatory Net Income</t>
  </si>
  <si>
    <t>Change in Current PILs from OM&amp;A and Interest (26.5%)</t>
  </si>
  <si>
    <t>Change in Deemed Interest:</t>
  </si>
  <si>
    <t>Regulatory Net Income (per Alectra Reply Sub. Table 1)</t>
  </si>
  <si>
    <t>Originally Proposed:</t>
  </si>
  <si>
    <t>Note 2; IRR HRZ-Staff-17</t>
  </si>
  <si>
    <t>Adjustments to Regulatory Net Income and Deemed Equity:</t>
  </si>
  <si>
    <t>Adjustments per below:</t>
  </si>
  <si>
    <t>Deemed Equity (per Alectra Reply Sub. Table 1)</t>
  </si>
  <si>
    <t>Regulatory Net Income</t>
  </si>
  <si>
    <t>Adjusted Earnings and ROE per HRZ-Staff-17</t>
  </si>
  <si>
    <t>Rounding Difference</t>
  </si>
  <si>
    <t>Change in Regulatory Net Income</t>
  </si>
  <si>
    <t>Net Income for ESM, after HRZ-Staff-17 Adj.</t>
  </si>
  <si>
    <t>Annualized Adjustment to Overhead Capitalization</t>
  </si>
  <si>
    <t>Earnings and ROE excluding Accounting Changes</t>
  </si>
  <si>
    <t>Table 1: Earnings and ROE excluding Accounting Changes</t>
  </si>
  <si>
    <t>Entity (Rate Zone)</t>
  </si>
  <si>
    <t>Table 2: Historical Regulatory Earnings and ROE</t>
  </si>
  <si>
    <t>Total</t>
  </si>
  <si>
    <t>Table 1: Earnings and ROE Excluding Accounting Changes</t>
  </si>
  <si>
    <t>Ex 2 Tab 1 Sch 6 Table 26 - Revised per HRZ-Staff-17</t>
  </si>
  <si>
    <t>Note 2: Updated reported results per Adjustments in HRZ-Staff-17 and HRZ-Staff-21</t>
  </si>
  <si>
    <t>Figures to be used in Table 1 above</t>
  </si>
  <si>
    <r>
      <t>HRZ</t>
    </r>
    <r>
      <rPr>
        <vertAlign val="superscript"/>
        <sz val="11"/>
        <color theme="1"/>
        <rFont val="Calibri"/>
        <family val="2"/>
        <scheme val="minor"/>
      </rPr>
      <t>1</t>
    </r>
  </si>
  <si>
    <r>
      <t>BRZ</t>
    </r>
    <r>
      <rPr>
        <vertAlign val="superscript"/>
        <sz val="11"/>
        <color theme="1"/>
        <rFont val="Calibri"/>
        <family val="2"/>
        <scheme val="minor"/>
      </rPr>
      <t>2</t>
    </r>
  </si>
  <si>
    <r>
      <t>ERZ</t>
    </r>
    <r>
      <rPr>
        <vertAlign val="superscript"/>
        <sz val="11"/>
        <color theme="1"/>
        <rFont val="Calibri"/>
        <family val="2"/>
        <scheme val="minor"/>
      </rPr>
      <t>3</t>
    </r>
  </si>
  <si>
    <t>Increased (Reduced) net income before tax (A1)</t>
  </si>
  <si>
    <t>Change in Current PILs from HRZ-Staff-21*</t>
  </si>
  <si>
    <t>*HRZ-Staff-21 Reallocations to other RZ based on GP Dep. %</t>
  </si>
  <si>
    <t>*RZ Allocations prior to HRZ-Staff-21 not provided</t>
  </si>
  <si>
    <t>Add back (deduct) OM&amp;A</t>
  </si>
  <si>
    <t>Deduct (add back) Depreciation</t>
  </si>
  <si>
    <t>Note 3: Effects of Changes in Accounting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</si>
</sst>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2" applyNumberFormat="0" applyAlignment="0" applyProtection="0"/>
    <xf numFmtId="0" fontId="6" fillId="23" borderId="23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2" applyNumberFormat="0" applyAlignment="0" applyProtection="0"/>
    <xf numFmtId="0" fontId="18" fillId="0" borderId="27" applyNumberFormat="0" applyFill="0" applyAlignment="0" applyProtection="0"/>
    <xf numFmtId="0" fontId="19" fillId="24" borderId="0" applyNumberFormat="0" applyBorder="0" applyAlignment="0" applyProtection="0"/>
    <xf numFmtId="0" fontId="4" fillId="25" borderId="28" applyNumberFormat="0" applyFont="0" applyAlignment="0" applyProtection="0"/>
    <xf numFmtId="0" fontId="8" fillId="22" borderId="29" applyNumberFormat="0" applyAlignment="0" applyProtection="0"/>
    <xf numFmtId="0" fontId="20" fillId="0" borderId="0" applyNumberFormat="0" applyFill="0" applyBorder="0" applyAlignment="0" applyProtection="0"/>
    <xf numFmtId="0" fontId="21" fillId="0" borderId="30" applyNumberFormat="0" applyFill="0" applyAlignment="0" applyProtection="0"/>
    <xf numFmtId="0" fontId="5" fillId="0" borderId="0" applyNumberFormat="0" applyFill="0" applyBorder="0" applyAlignment="0" applyProtection="0"/>
    <xf numFmtId="0" fontId="4" fillId="0" borderId="0"/>
  </cellStyleXfs>
  <cellXfs count="152">
    <xf numFmtId="0" fontId="0" fillId="0" borderId="0" xfId="0"/>
    <xf numFmtId="9" fontId="0" fillId="0" borderId="0" xfId="2" applyFont="1"/>
    <xf numFmtId="164" fontId="0" fillId="0" borderId="0" xfId="2" applyNumberFormat="1" applyFont="1"/>
    <xf numFmtId="0" fontId="2" fillId="0" borderId="0" xfId="0" applyFont="1"/>
    <xf numFmtId="0" fontId="0" fillId="0" borderId="0" xfId="0" applyAlignment="1">
      <alignment wrapText="1"/>
    </xf>
    <xf numFmtId="165" fontId="0" fillId="0" borderId="0" xfId="1" applyNumberFormat="1" applyFont="1"/>
    <xf numFmtId="165" fontId="0" fillId="0" borderId="1" xfId="1" applyNumberFormat="1" applyFont="1" applyBorder="1"/>
    <xf numFmtId="0" fontId="0" fillId="0" borderId="0" xfId="0" applyAlignment="1">
      <alignment horizontal="left" indent="1"/>
    </xf>
    <xf numFmtId="0" fontId="0" fillId="0" borderId="1" xfId="0" applyBorder="1"/>
    <xf numFmtId="165" fontId="1" fillId="0" borderId="0" xfId="1" applyNumberFormat="1" applyFont="1"/>
    <xf numFmtId="0" fontId="0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  <xf numFmtId="165" fontId="0" fillId="0" borderId="0" xfId="1" applyNumberFormat="1" applyFont="1" applyAlignment="1">
      <alignment wrapText="1"/>
    </xf>
    <xf numFmtId="0" fontId="2" fillId="0" borderId="13" xfId="0" applyFont="1" applyBorder="1"/>
    <xf numFmtId="0" fontId="0" fillId="0" borderId="14" xfId="0" applyBorder="1"/>
    <xf numFmtId="165" fontId="0" fillId="0" borderId="14" xfId="1" applyNumberFormat="1" applyFont="1" applyBorder="1"/>
    <xf numFmtId="10" fontId="0" fillId="0" borderId="1" xfId="2" applyNumberFormat="1" applyFont="1" applyBorder="1"/>
    <xf numFmtId="165" fontId="0" fillId="0" borderId="0" xfId="0" applyNumberFormat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2" borderId="0" xfId="0" applyNumberFormat="1" applyFill="1"/>
    <xf numFmtId="0" fontId="0" fillId="0" borderId="31" xfId="0" applyBorder="1" applyAlignment="1">
      <alignment horizontal="right"/>
    </xf>
    <xf numFmtId="9" fontId="0" fillId="0" borderId="0" xfId="0" applyNumberFormat="1" applyFont="1"/>
    <xf numFmtId="165" fontId="0" fillId="0" borderId="0" xfId="0" applyNumberFormat="1" applyFont="1"/>
    <xf numFmtId="0" fontId="0" fillId="0" borderId="0" xfId="0" applyBorder="1" applyAlignment="1">
      <alignment horizontal="left" indent="1"/>
    </xf>
    <xf numFmtId="165" fontId="1" fillId="3" borderId="0" xfId="1" applyNumberFormat="1" applyFont="1" applyFill="1"/>
    <xf numFmtId="165" fontId="2" fillId="2" borderId="2" xfId="1" applyNumberFormat="1" applyFont="1" applyFill="1" applyBorder="1"/>
    <xf numFmtId="165" fontId="2" fillId="3" borderId="2" xfId="1" applyNumberFormat="1" applyFont="1" applyFill="1" applyBorder="1"/>
    <xf numFmtId="165" fontId="1" fillId="2" borderId="0" xfId="1" applyNumberFormat="1" applyFont="1" applyFill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10" fontId="0" fillId="0" borderId="0" xfId="0" applyNumberFormat="1" applyBorder="1"/>
    <xf numFmtId="10" fontId="0" fillId="0" borderId="15" xfId="0" applyNumberFormat="1" applyBorder="1"/>
    <xf numFmtId="0" fontId="0" fillId="0" borderId="18" xfId="0" applyBorder="1"/>
    <xf numFmtId="10" fontId="0" fillId="0" borderId="1" xfId="0" applyNumberFormat="1" applyBorder="1"/>
    <xf numFmtId="10" fontId="0" fillId="0" borderId="19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2" fillId="0" borderId="0" xfId="1" applyNumberFormat="1" applyFont="1" applyBorder="1"/>
    <xf numFmtId="0" fontId="0" fillId="0" borderId="16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0" fontId="0" fillId="0" borderId="0" xfId="2" applyNumberFormat="1" applyFont="1" applyBorder="1"/>
    <xf numFmtId="0" fontId="0" fillId="0" borderId="6" xfId="0" applyBorder="1" applyAlignment="1">
      <alignment horizontal="left"/>
    </xf>
    <xf numFmtId="0" fontId="0" fillId="0" borderId="7" xfId="0" applyBorder="1"/>
    <xf numFmtId="165" fontId="0" fillId="0" borderId="7" xfId="0" applyNumberFormat="1" applyBorder="1"/>
    <xf numFmtId="10" fontId="0" fillId="0" borderId="7" xfId="2" applyNumberFormat="1" applyFont="1" applyBorder="1"/>
    <xf numFmtId="10" fontId="0" fillId="0" borderId="9" xfId="2" applyNumberFormat="1" applyFont="1" applyBorder="1"/>
    <xf numFmtId="10" fontId="0" fillId="0" borderId="3" xfId="2" applyNumberFormat="1" applyFont="1" applyBorder="1"/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1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0" xfId="0" applyBorder="1" applyAlignment="1">
      <alignment horizontal="right"/>
    </xf>
    <xf numFmtId="10" fontId="2" fillId="0" borderId="0" xfId="2" applyNumberFormat="1" applyFont="1" applyBorder="1"/>
    <xf numFmtId="10" fontId="1" fillId="0" borderId="0" xfId="2" applyNumberFormat="1" applyFont="1" applyBorder="1"/>
    <xf numFmtId="0" fontId="0" fillId="0" borderId="10" xfId="0" applyBorder="1" applyAlignment="1">
      <alignment horizontal="center"/>
    </xf>
    <xf numFmtId="0" fontId="0" fillId="0" borderId="37" xfId="0" applyBorder="1"/>
    <xf numFmtId="0" fontId="0" fillId="0" borderId="19" xfId="0" applyBorder="1"/>
    <xf numFmtId="0" fontId="0" fillId="0" borderId="20" xfId="0" applyBorder="1"/>
    <xf numFmtId="10" fontId="0" fillId="0" borderId="18" xfId="2" applyNumberFormat="1" applyFont="1" applyBorder="1"/>
    <xf numFmtId="10" fontId="0" fillId="0" borderId="38" xfId="2" applyNumberFormat="1" applyFont="1" applyBorder="1"/>
    <xf numFmtId="165" fontId="1" fillId="0" borderId="0" xfId="2" applyNumberFormat="1" applyFont="1" applyBorder="1"/>
    <xf numFmtId="165" fontId="1" fillId="0" borderId="15" xfId="2" applyNumberFormat="1" applyFont="1" applyBorder="1"/>
    <xf numFmtId="0" fontId="0" fillId="0" borderId="39" xfId="0" applyBorder="1"/>
    <xf numFmtId="10" fontId="0" fillId="0" borderId="7" xfId="0" applyNumberFormat="1" applyBorder="1"/>
    <xf numFmtId="165" fontId="1" fillId="0" borderId="17" xfId="2" applyNumberFormat="1" applyFont="1" applyBorder="1"/>
    <xf numFmtId="165" fontId="2" fillId="0" borderId="0" xfId="0" applyNumberFormat="1" applyFont="1"/>
    <xf numFmtId="10" fontId="2" fillId="0" borderId="0" xfId="2" applyNumberFormat="1" applyFont="1" applyAlignment="1">
      <alignment horizontal="left" indent="2"/>
    </xf>
    <xf numFmtId="10" fontId="1" fillId="0" borderId="0" xfId="2" applyNumberFormat="1" applyFont="1" applyAlignment="1"/>
    <xf numFmtId="10" fontId="1" fillId="0" borderId="0" xfId="2" applyNumberFormat="1" applyFont="1"/>
    <xf numFmtId="165" fontId="1" fillId="0" borderId="0" xfId="1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0" fontId="0" fillId="0" borderId="31" xfId="0" applyBorder="1" applyAlignment="1">
      <alignment horizontal="center" wrapText="1"/>
    </xf>
    <xf numFmtId="165" fontId="1" fillId="0" borderId="40" xfId="2" applyNumberFormat="1" applyFont="1" applyBorder="1"/>
    <xf numFmtId="0" fontId="0" fillId="0" borderId="41" xfId="0" applyBorder="1" applyAlignment="1">
      <alignment horizontal="right" wrapText="1"/>
    </xf>
    <xf numFmtId="0" fontId="0" fillId="0" borderId="40" xfId="0" applyBorder="1" applyAlignment="1">
      <alignment horizontal="center" wrapText="1"/>
    </xf>
    <xf numFmtId="0" fontId="0" fillId="0" borderId="40" xfId="0" applyBorder="1"/>
    <xf numFmtId="0" fontId="0" fillId="0" borderId="21" xfId="0" applyBorder="1" applyAlignment="1">
      <alignment horizontal="right"/>
    </xf>
    <xf numFmtId="0" fontId="0" fillId="0" borderId="17" xfId="0" applyBorder="1" applyAlignment="1">
      <alignment horizontal="center"/>
    </xf>
    <xf numFmtId="165" fontId="2" fillId="0" borderId="14" xfId="0" applyNumberFormat="1" applyFont="1" applyBorder="1"/>
    <xf numFmtId="0" fontId="2" fillId="0" borderId="14" xfId="0" applyFont="1" applyBorder="1"/>
    <xf numFmtId="0" fontId="0" fillId="0" borderId="1" xfId="0" applyBorder="1" applyAlignment="1">
      <alignment horizontal="center"/>
    </xf>
    <xf numFmtId="165" fontId="1" fillId="0" borderId="17" xfId="1" applyNumberFormat="1" applyFont="1" applyBorder="1"/>
    <xf numFmtId="165" fontId="1" fillId="0" borderId="0" xfId="1" applyNumberFormat="1" applyFont="1" applyBorder="1"/>
    <xf numFmtId="165" fontId="1" fillId="0" borderId="15" xfId="1" applyNumberFormat="1" applyFont="1" applyBorder="1"/>
    <xf numFmtId="165" fontId="1" fillId="0" borderId="40" xfId="1" applyNumberFormat="1" applyFont="1" applyBorder="1"/>
    <xf numFmtId="10" fontId="1" fillId="0" borderId="9" xfId="2" applyNumberFormat="1" applyFont="1" applyBorder="1"/>
    <xf numFmtId="10" fontId="1" fillId="0" borderId="36" xfId="2" applyNumberFormat="1" applyFont="1" applyBorder="1"/>
    <xf numFmtId="10" fontId="1" fillId="0" borderId="42" xfId="2" applyNumberFormat="1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10" fontId="1" fillId="0" borderId="17" xfId="2" applyNumberFormat="1" applyFont="1" applyBorder="1" applyAlignment="1">
      <alignment horizontal="center"/>
    </xf>
    <xf numFmtId="10" fontId="1" fillId="0" borderId="0" xfId="2" applyNumberFormat="1" applyFont="1" applyBorder="1" applyAlignment="1">
      <alignment horizontal="center"/>
    </xf>
    <xf numFmtId="10" fontId="1" fillId="0" borderId="15" xfId="2" applyNumberFormat="1" applyFont="1" applyBorder="1" applyAlignment="1">
      <alignment horizontal="center"/>
    </xf>
    <xf numFmtId="10" fontId="1" fillId="0" borderId="40" xfId="2" applyNumberFormat="1" applyFont="1" applyBorder="1" applyAlignment="1">
      <alignment horizontal="center"/>
    </xf>
    <xf numFmtId="10" fontId="1" fillId="0" borderId="17" xfId="2" applyNumberFormat="1" applyFont="1" applyBorder="1"/>
    <xf numFmtId="10" fontId="1" fillId="0" borderId="15" xfId="2" applyNumberFormat="1" applyFont="1" applyBorder="1"/>
    <xf numFmtId="10" fontId="1" fillId="0" borderId="40" xfId="2" applyNumberFormat="1" applyFont="1" applyBorder="1"/>
    <xf numFmtId="10" fontId="1" fillId="0" borderId="18" xfId="2" applyNumberFormat="1" applyFont="1" applyBorder="1"/>
    <xf numFmtId="10" fontId="1" fillId="0" borderId="1" xfId="2" applyNumberFormat="1" applyFont="1" applyBorder="1"/>
    <xf numFmtId="10" fontId="1" fillId="0" borderId="19" xfId="2" applyNumberFormat="1" applyFont="1" applyBorder="1"/>
    <xf numFmtId="10" fontId="1" fillId="0" borderId="38" xfId="2" applyNumberFormat="1" applyFont="1" applyBorder="1"/>
    <xf numFmtId="0" fontId="0" fillId="27" borderId="0" xfId="0" applyFill="1"/>
    <xf numFmtId="168" fontId="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center"/>
    </xf>
    <xf numFmtId="168" fontId="0" fillId="0" borderId="9" xfId="2" applyNumberFormat="1" applyFont="1" applyBorder="1"/>
    <xf numFmtId="168" fontId="0" fillId="0" borderId="3" xfId="2" applyNumberFormat="1" applyFont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left"/>
    </xf>
    <xf numFmtId="10" fontId="0" fillId="0" borderId="19" xfId="2" applyNumberFormat="1" applyFont="1" applyBorder="1"/>
    <xf numFmtId="0" fontId="2" fillId="28" borderId="0" xfId="0" applyFont="1" applyFill="1" applyBorder="1"/>
    <xf numFmtId="0" fontId="0" fillId="28" borderId="0" xfId="0" applyFill="1" applyBorder="1"/>
    <xf numFmtId="10" fontId="0" fillId="28" borderId="0" xfId="2" applyNumberFormat="1" applyFont="1" applyFill="1" applyBorder="1"/>
    <xf numFmtId="0" fontId="2" fillId="28" borderId="0" xfId="0" applyFont="1" applyFill="1"/>
    <xf numFmtId="0" fontId="0" fillId="28" borderId="0" xfId="0" applyFill="1"/>
    <xf numFmtId="0" fontId="0" fillId="0" borderId="0" xfId="0" applyFill="1"/>
    <xf numFmtId="0" fontId="2" fillId="27" borderId="0" xfId="0" applyFont="1" applyFill="1"/>
    <xf numFmtId="165" fontId="2" fillId="0" borderId="14" xfId="1" applyNumberFormat="1" applyFont="1" applyBorder="1"/>
    <xf numFmtId="165" fontId="2" fillId="3" borderId="0" xfId="1" applyNumberFormat="1" applyFont="1" applyFill="1"/>
    <xf numFmtId="165" fontId="2" fillId="0" borderId="2" xfId="0" applyNumberFormat="1" applyFont="1" applyBorder="1"/>
    <xf numFmtId="0" fontId="0" fillId="26" borderId="21" xfId="0" applyFont="1" applyFill="1" applyBorder="1" applyAlignment="1">
      <alignment horizontal="center"/>
    </xf>
    <xf numFmtId="0" fontId="0" fillId="26" borderId="16" xfId="0" applyFont="1" applyFill="1" applyBorder="1" applyAlignment="1">
      <alignment horizontal="center"/>
    </xf>
    <xf numFmtId="0" fontId="0" fillId="26" borderId="20" xfId="0" applyFont="1" applyFill="1" applyBorder="1" applyAlignment="1">
      <alignment horizontal="center"/>
    </xf>
    <xf numFmtId="0" fontId="0" fillId="26" borderId="34" xfId="0" applyFill="1" applyBorder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35" xfId="0" applyFill="1" applyBorder="1" applyAlignment="1">
      <alignment horizontal="center"/>
    </xf>
    <xf numFmtId="0" fontId="0" fillId="26" borderId="34" xfId="0" applyFont="1" applyFill="1" applyBorder="1" applyAlignment="1">
      <alignment horizontal="center"/>
    </xf>
    <xf numFmtId="0" fontId="0" fillId="26" borderId="33" xfId="0" applyFont="1" applyFill="1" applyBorder="1" applyAlignment="1">
      <alignment horizontal="center"/>
    </xf>
    <xf numFmtId="0" fontId="0" fillId="26" borderId="32" xfId="0" applyFont="1" applyFill="1" applyBorder="1" applyAlignment="1">
      <alignment horizontal="center"/>
    </xf>
  </cellXfs>
  <cellStyles count="50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 2" xfId="4"/>
    <cellStyle name="Currency" xfId="1" builtinId="4"/>
    <cellStyle name="Currency 2" xfId="5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7"/>
    <cellStyle name="Normal 2 2" xfId="49"/>
    <cellStyle name="Normal 3" xfId="3"/>
    <cellStyle name="Note 2" xfId="44"/>
    <cellStyle name="Output 2" xfId="45"/>
    <cellStyle name="Percent" xfId="2" builtinId="5"/>
    <cellStyle name="Percent 2" xfId="6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9"/>
  <sheetViews>
    <sheetView tabSelected="1" topLeftCell="A13" workbookViewId="0">
      <selection activeCell="A37" sqref="A37"/>
    </sheetView>
  </sheetViews>
  <sheetFormatPr defaultRowHeight="15" x14ac:dyDescent="0.25"/>
  <cols>
    <col min="1" max="1" width="18.28515625" customWidth="1"/>
    <col min="5" max="13" width="15.28515625" customWidth="1"/>
    <col min="14" max="14" width="13" bestFit="1" customWidth="1"/>
  </cols>
  <sheetData>
    <row r="2" spans="1:16" x14ac:dyDescent="0.25">
      <c r="A2" s="136" t="s">
        <v>131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6" ht="15.75" thickBot="1" x14ac:dyDescent="0.3"/>
    <row r="4" spans="1:16" x14ac:dyDescent="0.25">
      <c r="A4" s="14"/>
      <c r="B4" s="15"/>
      <c r="C4" s="15"/>
      <c r="D4" s="15"/>
      <c r="E4" s="15"/>
      <c r="F4" s="146" t="s">
        <v>47</v>
      </c>
      <c r="G4" s="147"/>
      <c r="H4" s="147"/>
      <c r="I4" s="147"/>
      <c r="J4" s="148"/>
    </row>
    <row r="5" spans="1:16" x14ac:dyDescent="0.25">
      <c r="A5" s="16" t="s">
        <v>132</v>
      </c>
      <c r="B5" s="17"/>
      <c r="C5" s="17"/>
      <c r="D5" s="17"/>
      <c r="E5" s="17"/>
      <c r="F5" s="72" t="s">
        <v>35</v>
      </c>
      <c r="G5" s="49" t="s">
        <v>33</v>
      </c>
      <c r="H5" s="49" t="s">
        <v>34</v>
      </c>
      <c r="I5" s="50" t="s">
        <v>36</v>
      </c>
      <c r="J5" s="90" t="s">
        <v>50</v>
      </c>
    </row>
    <row r="6" spans="1:16" x14ac:dyDescent="0.25">
      <c r="A6" s="16"/>
      <c r="B6" s="17"/>
      <c r="C6" s="17"/>
      <c r="D6" s="17"/>
      <c r="E6" s="17"/>
      <c r="F6" s="95"/>
      <c r="G6" s="66"/>
      <c r="H6" s="69"/>
      <c r="I6" s="67"/>
      <c r="J6" s="92"/>
    </row>
    <row r="7" spans="1:16" x14ac:dyDescent="0.25">
      <c r="A7" s="16" t="s">
        <v>49</v>
      </c>
      <c r="B7" s="17"/>
      <c r="C7" s="17"/>
      <c r="D7" s="17"/>
      <c r="E7" s="17"/>
      <c r="F7" s="96" t="s">
        <v>76</v>
      </c>
      <c r="G7" s="64" t="s">
        <v>78</v>
      </c>
      <c r="H7" s="64" t="s">
        <v>78</v>
      </c>
      <c r="I7" s="130" t="s">
        <v>78</v>
      </c>
      <c r="J7" s="93" t="s">
        <v>76</v>
      </c>
    </row>
    <row r="8" spans="1:16" x14ac:dyDescent="0.25">
      <c r="A8" s="16"/>
      <c r="B8" s="17"/>
      <c r="C8" s="17"/>
      <c r="D8" s="17"/>
      <c r="E8" s="17"/>
      <c r="F8" s="41"/>
      <c r="G8" s="17"/>
      <c r="H8" s="17"/>
      <c r="I8" s="68"/>
      <c r="J8" s="94"/>
    </row>
    <row r="9" spans="1:16" x14ac:dyDescent="0.25">
      <c r="A9" s="16" t="s">
        <v>65</v>
      </c>
      <c r="B9" s="17"/>
      <c r="C9" s="17"/>
      <c r="D9" s="17"/>
      <c r="E9" s="17"/>
      <c r="F9" s="100">
        <f>G72</f>
        <v>21180442</v>
      </c>
      <c r="G9" s="101">
        <f>G97</f>
        <v>9522996.8228156045</v>
      </c>
      <c r="H9" s="101">
        <f t="shared" ref="H9:I9" si="0">H97</f>
        <v>17671117.746527739</v>
      </c>
      <c r="I9" s="102">
        <f t="shared" si="0"/>
        <v>34680000.958945625</v>
      </c>
      <c r="J9" s="103">
        <f>F72</f>
        <v>83054555.719061494</v>
      </c>
      <c r="K9" s="27"/>
      <c r="L9" s="27"/>
    </row>
    <row r="10" spans="1:16" x14ac:dyDescent="0.25">
      <c r="A10" s="16" t="s">
        <v>0</v>
      </c>
      <c r="B10" s="17"/>
      <c r="C10" s="17"/>
      <c r="D10" s="17"/>
      <c r="E10" s="17"/>
      <c r="F10" s="100">
        <f>207057276</f>
        <v>207057276</v>
      </c>
      <c r="G10" s="101">
        <f>G98</f>
        <v>168520438.30844709</v>
      </c>
      <c r="H10" s="101">
        <f t="shared" ref="H10:I10" si="1">H98</f>
        <v>316681764.208013</v>
      </c>
      <c r="I10" s="102">
        <f t="shared" si="1"/>
        <v>415262107.2034719</v>
      </c>
      <c r="J10" s="103">
        <v>1107528050</v>
      </c>
    </row>
    <row r="11" spans="1:16" ht="15.75" thickBot="1" x14ac:dyDescent="0.3">
      <c r="A11" s="73" t="s">
        <v>51</v>
      </c>
      <c r="B11" s="8"/>
      <c r="C11" s="8"/>
      <c r="D11" s="8"/>
      <c r="E11" s="74"/>
      <c r="F11" s="104">
        <f>F9/F10</f>
        <v>0.10229267190784447</v>
      </c>
      <c r="G11" s="104">
        <f>G9/G10</f>
        <v>5.6509447271822486E-2</v>
      </c>
      <c r="H11" s="104">
        <f>H9/H10</f>
        <v>5.5800869338723379E-2</v>
      </c>
      <c r="I11" s="105">
        <f>I9/I10</f>
        <v>8.3513521598427398E-2</v>
      </c>
      <c r="J11" s="106">
        <f>J9/J10</f>
        <v>7.4990927515615965E-2</v>
      </c>
    </row>
    <row r="12" spans="1:16" x14ac:dyDescent="0.25">
      <c r="A12" s="17"/>
      <c r="B12" s="17"/>
      <c r="C12" s="17"/>
      <c r="D12" s="17"/>
      <c r="E12" s="17"/>
      <c r="F12" s="71"/>
      <c r="G12" s="71"/>
      <c r="H12" s="71"/>
      <c r="I12" s="71"/>
      <c r="J12" s="71"/>
      <c r="K12" s="54"/>
      <c r="L12" s="70"/>
      <c r="M12" s="54"/>
      <c r="N12" s="54"/>
      <c r="O12" s="70"/>
      <c r="P12" s="71"/>
    </row>
    <row r="13" spans="1:16" x14ac:dyDescent="0.25">
      <c r="A13" s="39"/>
      <c r="B13" s="40"/>
      <c r="C13" s="40"/>
      <c r="D13" s="40"/>
      <c r="E13" s="40"/>
      <c r="F13" s="143" t="s">
        <v>48</v>
      </c>
      <c r="G13" s="144"/>
      <c r="H13" s="144"/>
      <c r="I13" s="144"/>
      <c r="J13" s="145"/>
      <c r="K13" s="54"/>
      <c r="L13" s="70"/>
      <c r="M13" s="54"/>
      <c r="N13" s="54"/>
      <c r="O13" s="70"/>
      <c r="P13" s="71"/>
    </row>
    <row r="14" spans="1:16" x14ac:dyDescent="0.25">
      <c r="A14" s="41"/>
      <c r="B14" s="17"/>
      <c r="C14" s="17"/>
      <c r="D14" s="17"/>
      <c r="E14" s="17"/>
      <c r="F14" s="107" t="s">
        <v>35</v>
      </c>
      <c r="G14" s="108" t="s">
        <v>33</v>
      </c>
      <c r="H14" s="108" t="s">
        <v>34</v>
      </c>
      <c r="I14" s="109" t="s">
        <v>36</v>
      </c>
      <c r="J14" s="110" t="s">
        <v>50</v>
      </c>
      <c r="K14" s="54"/>
      <c r="L14" s="70"/>
      <c r="M14" s="54"/>
      <c r="N14" s="54"/>
      <c r="O14" s="70"/>
      <c r="P14" s="71"/>
    </row>
    <row r="15" spans="1:16" x14ac:dyDescent="0.25">
      <c r="A15" s="41" t="s">
        <v>49</v>
      </c>
      <c r="B15" s="17"/>
      <c r="C15" s="17"/>
      <c r="D15" s="17"/>
      <c r="E15" s="17"/>
      <c r="F15" s="111" t="s">
        <v>96</v>
      </c>
      <c r="G15" s="112" t="s">
        <v>96</v>
      </c>
      <c r="H15" s="112" t="s">
        <v>96</v>
      </c>
      <c r="I15" s="113" t="s">
        <v>96</v>
      </c>
      <c r="J15" s="114" t="s">
        <v>96</v>
      </c>
      <c r="K15" s="54"/>
      <c r="L15" s="70"/>
      <c r="M15" s="54"/>
      <c r="N15" s="54"/>
      <c r="O15" s="70"/>
      <c r="P15" s="71"/>
    </row>
    <row r="16" spans="1:16" x14ac:dyDescent="0.25">
      <c r="A16" s="41"/>
      <c r="B16" s="17"/>
      <c r="C16" s="17"/>
      <c r="D16" s="17"/>
      <c r="E16" s="17"/>
      <c r="F16" s="115"/>
      <c r="G16" s="71"/>
      <c r="H16" s="71"/>
      <c r="I16" s="116"/>
      <c r="J16" s="117"/>
      <c r="K16" s="54"/>
      <c r="L16" s="70"/>
      <c r="M16" s="54"/>
      <c r="N16" s="54"/>
      <c r="O16" s="70"/>
      <c r="P16" s="71"/>
    </row>
    <row r="17" spans="1:16" x14ac:dyDescent="0.25">
      <c r="A17" s="41" t="s">
        <v>124</v>
      </c>
      <c r="B17" s="17"/>
      <c r="C17" s="17"/>
      <c r="D17" s="17"/>
      <c r="E17" s="17"/>
      <c r="F17" s="82">
        <f>F206</f>
        <v>-3998289.6300027203</v>
      </c>
      <c r="G17" s="78">
        <f t="shared" ref="G17:H17" si="2">G206</f>
        <v>1365171.7303590402</v>
      </c>
      <c r="H17" s="78">
        <f t="shared" si="2"/>
        <v>-1386981.50222924</v>
      </c>
      <c r="I17" s="79">
        <f t="shared" ref="I17" si="3">I206</f>
        <v>-144473.48639999999</v>
      </c>
      <c r="J17" s="91">
        <f>J206</f>
        <v>-4066720.0732701998</v>
      </c>
      <c r="K17" s="54"/>
      <c r="L17" s="70"/>
      <c r="M17" s="54"/>
      <c r="N17" s="54"/>
      <c r="O17" s="70"/>
      <c r="P17" s="71"/>
    </row>
    <row r="18" spans="1:16" x14ac:dyDescent="0.25">
      <c r="A18" s="41" t="s">
        <v>0</v>
      </c>
      <c r="B18" s="17"/>
      <c r="C18" s="17"/>
      <c r="D18" s="17"/>
      <c r="E18" s="17"/>
      <c r="F18" s="82">
        <f>F228</f>
        <v>-807080.00800000003</v>
      </c>
      <c r="G18" s="78">
        <f t="shared" ref="G18:H18" si="4">G228</f>
        <v>266342.33600000001</v>
      </c>
      <c r="H18" s="78">
        <f t="shared" si="4"/>
        <v>-267648.386</v>
      </c>
      <c r="I18" s="79">
        <f t="shared" ref="I18" si="5">I228</f>
        <v>-32580</v>
      </c>
      <c r="J18" s="91">
        <f>J228</f>
        <v>-1100095.45</v>
      </c>
      <c r="K18" s="54"/>
      <c r="L18" s="70"/>
      <c r="M18" s="54"/>
      <c r="N18" s="54"/>
      <c r="O18" s="70"/>
      <c r="P18" s="71"/>
    </row>
    <row r="19" spans="1:16" x14ac:dyDescent="0.25">
      <c r="A19" s="46" t="s">
        <v>51</v>
      </c>
      <c r="B19" s="8"/>
      <c r="C19" s="8"/>
      <c r="D19" s="8"/>
      <c r="E19" s="8"/>
      <c r="F19" s="118">
        <f>F26-F11</f>
        <v>-1.8985345641527929E-2</v>
      </c>
      <c r="G19" s="119">
        <f>G26-G11</f>
        <v>7.998972828391418E-3</v>
      </c>
      <c r="H19" s="119">
        <f>H26-H11</f>
        <v>-4.3362366626687673E-3</v>
      </c>
      <c r="I19" s="120">
        <f>I26-I11</f>
        <v>-3.4138375664422016E-4</v>
      </c>
      <c r="J19" s="121">
        <f>J26-J11</f>
        <v>-3.6009781556354814E-3</v>
      </c>
      <c r="K19" s="54"/>
      <c r="L19" s="70"/>
      <c r="M19" s="54"/>
      <c r="N19" s="54"/>
      <c r="O19" s="70"/>
      <c r="P19" s="71"/>
    </row>
    <row r="20" spans="1:16" x14ac:dyDescent="0.25">
      <c r="A20" s="17"/>
      <c r="B20" s="17"/>
      <c r="C20" s="17"/>
      <c r="D20" s="17"/>
      <c r="E20" s="17"/>
      <c r="F20" s="71"/>
      <c r="G20" s="71"/>
      <c r="H20" s="71"/>
      <c r="I20" s="71"/>
      <c r="J20" s="71"/>
      <c r="K20" s="54"/>
      <c r="L20" s="70"/>
      <c r="M20" s="54"/>
      <c r="N20" s="54"/>
      <c r="O20" s="70"/>
      <c r="P20" s="71"/>
    </row>
    <row r="21" spans="1:16" x14ac:dyDescent="0.25">
      <c r="A21" s="39"/>
      <c r="B21" s="40"/>
      <c r="C21" s="40"/>
      <c r="D21" s="40"/>
      <c r="E21" s="75"/>
      <c r="F21" s="143" t="s">
        <v>130</v>
      </c>
      <c r="G21" s="144"/>
      <c r="H21" s="144"/>
      <c r="I21" s="144"/>
      <c r="J21" s="145"/>
      <c r="K21" s="54"/>
      <c r="L21" s="70"/>
      <c r="M21" s="54"/>
      <c r="N21" s="54"/>
      <c r="O21" s="70"/>
      <c r="P21" s="71"/>
    </row>
    <row r="22" spans="1:16" x14ac:dyDescent="0.25">
      <c r="A22" s="41"/>
      <c r="B22" s="17"/>
      <c r="C22" s="17"/>
      <c r="D22" s="17"/>
      <c r="E22" s="17"/>
      <c r="F22" s="107" t="s">
        <v>35</v>
      </c>
      <c r="G22" s="108" t="s">
        <v>33</v>
      </c>
      <c r="H22" s="108" t="s">
        <v>34</v>
      </c>
      <c r="I22" s="109" t="s">
        <v>36</v>
      </c>
      <c r="J22" s="110" t="s">
        <v>50</v>
      </c>
      <c r="K22" s="54"/>
      <c r="L22" s="70"/>
      <c r="M22" s="54"/>
      <c r="N22" s="54"/>
      <c r="O22" s="70"/>
      <c r="P22" s="71"/>
    </row>
    <row r="23" spans="1:16" x14ac:dyDescent="0.25">
      <c r="A23" s="41"/>
      <c r="B23" s="17"/>
      <c r="C23" s="17"/>
      <c r="D23" s="17"/>
      <c r="E23" s="17"/>
      <c r="F23" s="115"/>
      <c r="G23" s="71"/>
      <c r="H23" s="71"/>
      <c r="I23" s="116"/>
      <c r="J23" s="117"/>
      <c r="K23" s="54"/>
      <c r="L23" s="70"/>
      <c r="M23" s="54"/>
      <c r="N23" s="54"/>
      <c r="O23" s="70"/>
      <c r="P23" s="71"/>
    </row>
    <row r="24" spans="1:16" x14ac:dyDescent="0.25">
      <c r="A24" s="41" t="s">
        <v>65</v>
      </c>
      <c r="B24" s="17"/>
      <c r="C24" s="17"/>
      <c r="D24" s="17"/>
      <c r="E24" s="17"/>
      <c r="F24" s="82">
        <f t="shared" ref="F24:J25" si="6">F9+F17</f>
        <v>17182152.369997278</v>
      </c>
      <c r="G24" s="78">
        <f t="shared" si="6"/>
        <v>10888168.553174645</v>
      </c>
      <c r="H24" s="78">
        <f t="shared" si="6"/>
        <v>16284136.244298499</v>
      </c>
      <c r="I24" s="79">
        <f t="shared" si="6"/>
        <v>34535527.472545624</v>
      </c>
      <c r="J24" s="91">
        <f t="shared" si="6"/>
        <v>78987835.645791292</v>
      </c>
      <c r="K24" s="54"/>
      <c r="L24" s="70"/>
      <c r="M24" s="54"/>
      <c r="N24" s="54"/>
      <c r="O24" s="70"/>
      <c r="P24" s="71"/>
    </row>
    <row r="25" spans="1:16" x14ac:dyDescent="0.25">
      <c r="A25" s="41" t="s">
        <v>0</v>
      </c>
      <c r="B25" s="17"/>
      <c r="C25" s="17"/>
      <c r="D25" s="17"/>
      <c r="E25" s="17"/>
      <c r="F25" s="82">
        <f t="shared" si="6"/>
        <v>206250195.99200001</v>
      </c>
      <c r="G25" s="78">
        <f t="shared" si="6"/>
        <v>168786780.64444709</v>
      </c>
      <c r="H25" s="78">
        <f t="shared" si="6"/>
        <v>316414115.82201302</v>
      </c>
      <c r="I25" s="79">
        <f t="shared" si="6"/>
        <v>415229527.2034719</v>
      </c>
      <c r="J25" s="91">
        <f t="shared" si="6"/>
        <v>1106427954.55</v>
      </c>
    </row>
    <row r="26" spans="1:16" x14ac:dyDescent="0.25">
      <c r="A26" s="46" t="s">
        <v>51</v>
      </c>
      <c r="B26" s="8"/>
      <c r="C26" s="8"/>
      <c r="D26" s="8"/>
      <c r="E26" s="8"/>
      <c r="F26" s="76">
        <f t="shared" ref="F26:I26" si="7">F24/F25</f>
        <v>8.3307326266316539E-2</v>
      </c>
      <c r="G26" s="26">
        <f t="shared" si="7"/>
        <v>6.4508420100213903E-2</v>
      </c>
      <c r="H26" s="26">
        <f t="shared" si="7"/>
        <v>5.1464632676054611E-2</v>
      </c>
      <c r="I26" s="132">
        <f t="shared" si="7"/>
        <v>8.3172137841783178E-2</v>
      </c>
      <c r="J26" s="77">
        <f>J24/J25</f>
        <v>7.1389949359980484E-2</v>
      </c>
    </row>
    <row r="27" spans="1:16" x14ac:dyDescent="0.25">
      <c r="A27" s="17"/>
      <c r="B27" s="17"/>
      <c r="C27" s="17"/>
      <c r="D27" s="17"/>
      <c r="E27" s="17"/>
      <c r="F27" s="54"/>
      <c r="G27" s="54"/>
      <c r="H27" s="54"/>
      <c r="I27" s="54"/>
      <c r="J27" s="54"/>
    </row>
    <row r="28" spans="1:16" x14ac:dyDescent="0.25">
      <c r="A28" s="133" t="s">
        <v>133</v>
      </c>
      <c r="B28" s="134"/>
      <c r="C28" s="134"/>
      <c r="D28" s="134"/>
      <c r="E28" s="134"/>
      <c r="F28" s="135"/>
      <c r="G28" s="135"/>
      <c r="H28" s="135"/>
      <c r="I28" s="135"/>
      <c r="J28" s="135"/>
    </row>
    <row r="29" spans="1:16" ht="15.75" thickBot="1" x14ac:dyDescent="0.3"/>
    <row r="30" spans="1:16" x14ac:dyDescent="0.25">
      <c r="A30" s="14"/>
      <c r="B30" s="15"/>
      <c r="C30" s="15"/>
      <c r="D30" s="15"/>
      <c r="E30" s="15"/>
      <c r="F30" s="61" t="s">
        <v>35</v>
      </c>
      <c r="G30" s="61" t="s">
        <v>33</v>
      </c>
      <c r="H30" s="61" t="s">
        <v>34</v>
      </c>
      <c r="I30" s="61" t="s">
        <v>36</v>
      </c>
      <c r="J30" s="62" t="s">
        <v>134</v>
      </c>
    </row>
    <row r="31" spans="1:16" x14ac:dyDescent="0.25">
      <c r="B31" s="131"/>
      <c r="C31" s="17"/>
      <c r="D31" s="17"/>
      <c r="E31" s="17"/>
      <c r="F31" s="17"/>
      <c r="G31" s="17"/>
      <c r="H31" s="17"/>
      <c r="I31" s="17"/>
      <c r="J31" s="56"/>
    </row>
    <row r="32" spans="1:16" x14ac:dyDescent="0.25">
      <c r="A32" s="55">
        <v>2015</v>
      </c>
      <c r="B32" s="131"/>
      <c r="C32" s="17"/>
      <c r="D32" s="17"/>
      <c r="E32" s="69" t="s">
        <v>79</v>
      </c>
      <c r="F32" s="64">
        <v>1</v>
      </c>
      <c r="G32" s="64">
        <v>1</v>
      </c>
      <c r="H32" s="64">
        <v>1</v>
      </c>
      <c r="I32" s="65">
        <v>1</v>
      </c>
      <c r="J32" s="56"/>
    </row>
    <row r="33" spans="1:10" x14ac:dyDescent="0.25">
      <c r="A33" s="16" t="s">
        <v>86</v>
      </c>
      <c r="B33" s="17"/>
      <c r="C33" s="17"/>
      <c r="D33" s="17"/>
      <c r="E33" s="69"/>
      <c r="F33" s="18">
        <v>19088000.260000002</v>
      </c>
      <c r="G33" s="18">
        <v>12321570.359999999</v>
      </c>
      <c r="H33" s="18">
        <v>21311943.969999999</v>
      </c>
      <c r="I33" s="18">
        <v>26082877.52</v>
      </c>
      <c r="J33" s="57">
        <f>SUM(F33:I33)</f>
        <v>78804392.109999999</v>
      </c>
    </row>
    <row r="34" spans="1:10" x14ac:dyDescent="0.25">
      <c r="A34" s="16" t="s">
        <v>0</v>
      </c>
      <c r="B34" s="17"/>
      <c r="C34" s="17"/>
      <c r="D34" s="17"/>
      <c r="E34" s="69"/>
      <c r="F34" s="18">
        <v>190520112.06</v>
      </c>
      <c r="G34" s="18">
        <v>160817281.27000001</v>
      </c>
      <c r="H34" s="18">
        <v>282498351.63999999</v>
      </c>
      <c r="I34" s="18">
        <v>392218673.33999997</v>
      </c>
      <c r="J34" s="57">
        <f>SUM(F34:I34)</f>
        <v>1026054418.3099999</v>
      </c>
    </row>
    <row r="35" spans="1:10" x14ac:dyDescent="0.25">
      <c r="A35" s="16" t="s">
        <v>52</v>
      </c>
      <c r="B35" s="17"/>
      <c r="C35" s="17"/>
      <c r="D35" s="17"/>
      <c r="E35" s="69"/>
      <c r="F35" s="54">
        <v>0.1</v>
      </c>
      <c r="G35" s="54">
        <v>7.6600000000000001E-2</v>
      </c>
      <c r="H35" s="54">
        <v>7.5399999999999995E-2</v>
      </c>
      <c r="I35" s="54">
        <v>6.6500000000000004E-2</v>
      </c>
      <c r="J35" s="58">
        <f>J33/J34</f>
        <v>7.6803326123576973E-2</v>
      </c>
    </row>
    <row r="36" spans="1:10" x14ac:dyDescent="0.25">
      <c r="A36" s="16"/>
      <c r="B36" s="17"/>
      <c r="C36" s="17"/>
      <c r="D36" s="17"/>
      <c r="E36" s="69"/>
      <c r="F36" s="54"/>
      <c r="G36" s="54"/>
      <c r="H36" s="54"/>
      <c r="I36" s="54"/>
      <c r="J36" s="56"/>
    </row>
    <row r="37" spans="1:10" x14ac:dyDescent="0.25">
      <c r="A37" s="55">
        <v>2016</v>
      </c>
      <c r="B37" s="131"/>
      <c r="C37" s="17"/>
      <c r="D37" s="17"/>
      <c r="E37" s="69" t="s">
        <v>79</v>
      </c>
      <c r="F37" s="64">
        <v>2</v>
      </c>
      <c r="G37" s="64">
        <v>2</v>
      </c>
      <c r="H37" s="64">
        <v>2</v>
      </c>
      <c r="I37" s="64">
        <v>2</v>
      </c>
      <c r="J37" s="56"/>
    </row>
    <row r="38" spans="1:10" x14ac:dyDescent="0.25">
      <c r="A38" s="16" t="s">
        <v>65</v>
      </c>
      <c r="B38" s="17"/>
      <c r="C38" s="17"/>
      <c r="D38" s="17"/>
      <c r="E38" s="69"/>
      <c r="F38" s="18">
        <v>20434786</v>
      </c>
      <c r="G38" s="18">
        <v>12310771.310000001</v>
      </c>
      <c r="H38" s="18">
        <v>19075259.100000001</v>
      </c>
      <c r="I38" s="18">
        <v>33600801.409999996</v>
      </c>
      <c r="J38" s="57">
        <f>SUM(F38:I38)</f>
        <v>85421617.819999993</v>
      </c>
    </row>
    <row r="39" spans="1:10" x14ac:dyDescent="0.25">
      <c r="A39" s="16" t="s">
        <v>0</v>
      </c>
      <c r="B39" s="17"/>
      <c r="C39" s="17"/>
      <c r="D39" s="17"/>
      <c r="E39" s="69"/>
      <c r="F39" s="18">
        <v>202586220</v>
      </c>
      <c r="G39" s="18">
        <v>168697788.31</v>
      </c>
      <c r="H39" s="18">
        <v>311076268.74000001</v>
      </c>
      <c r="I39" s="18">
        <v>425865000</v>
      </c>
      <c r="J39" s="57">
        <f>SUM(F39:I39)</f>
        <v>1108225277.05</v>
      </c>
    </row>
    <row r="40" spans="1:10" x14ac:dyDescent="0.25">
      <c r="A40" s="16" t="s">
        <v>52</v>
      </c>
      <c r="B40" s="17"/>
      <c r="C40" s="17"/>
      <c r="D40" s="17"/>
      <c r="E40" s="69"/>
      <c r="F40" s="54">
        <f>F38/F39</f>
        <v>0.10086957543311682</v>
      </c>
      <c r="G40" s="54">
        <v>7.2999999999999995E-2</v>
      </c>
      <c r="H40" s="54">
        <v>6.13E-2</v>
      </c>
      <c r="I40" s="54">
        <v>7.8899999999999998E-2</v>
      </c>
      <c r="J40" s="58">
        <f>J38/J39</f>
        <v>7.707965121259909E-2</v>
      </c>
    </row>
    <row r="41" spans="1:10" x14ac:dyDescent="0.25">
      <c r="A41" s="16"/>
      <c r="B41" s="17"/>
      <c r="C41" s="17"/>
      <c r="D41" s="17"/>
      <c r="E41" s="69"/>
      <c r="F41" s="54"/>
      <c r="G41" s="54"/>
      <c r="H41" s="54"/>
      <c r="I41" s="54"/>
      <c r="J41" s="56"/>
    </row>
    <row r="42" spans="1:10" x14ac:dyDescent="0.25">
      <c r="A42" s="55">
        <v>2017</v>
      </c>
      <c r="B42" s="131"/>
      <c r="C42" s="17"/>
      <c r="D42" s="17"/>
      <c r="E42" s="69" t="s">
        <v>79</v>
      </c>
      <c r="F42" s="64">
        <v>3</v>
      </c>
      <c r="G42" s="64">
        <v>3</v>
      </c>
      <c r="H42" s="64">
        <v>3</v>
      </c>
      <c r="I42" s="64">
        <v>3</v>
      </c>
      <c r="J42" s="56"/>
    </row>
    <row r="43" spans="1:10" x14ac:dyDescent="0.25">
      <c r="A43" s="16" t="s">
        <v>65</v>
      </c>
      <c r="B43" s="17"/>
      <c r="C43" s="17"/>
      <c r="D43" s="17"/>
      <c r="E43" s="17"/>
      <c r="F43" s="18">
        <f>F24</f>
        <v>17182152.369997278</v>
      </c>
      <c r="G43" s="18">
        <f t="shared" ref="G43:I43" si="8">G24</f>
        <v>10888168.553174645</v>
      </c>
      <c r="H43" s="18">
        <f t="shared" si="8"/>
        <v>16284136.244298499</v>
      </c>
      <c r="I43" s="18">
        <f t="shared" si="8"/>
        <v>34535527.472545624</v>
      </c>
      <c r="J43" s="57">
        <f>SUM(F43:I43)</f>
        <v>78889984.640016049</v>
      </c>
    </row>
    <row r="44" spans="1:10" x14ac:dyDescent="0.25">
      <c r="A44" s="16" t="s">
        <v>0</v>
      </c>
      <c r="B44" s="17"/>
      <c r="C44" s="17"/>
      <c r="D44" s="17"/>
      <c r="E44" s="17"/>
      <c r="F44" s="18">
        <f>F25</f>
        <v>206250195.99200001</v>
      </c>
      <c r="G44" s="18">
        <f t="shared" ref="G44:I44" si="9">G25</f>
        <v>168786780.64444709</v>
      </c>
      <c r="H44" s="18">
        <f t="shared" si="9"/>
        <v>316414115.82201302</v>
      </c>
      <c r="I44" s="18">
        <f t="shared" si="9"/>
        <v>415229527.2034719</v>
      </c>
      <c r="J44" s="57">
        <f>SUM(F44:I44)</f>
        <v>1106680619.661932</v>
      </c>
    </row>
    <row r="45" spans="1:10" ht="15.75" thickBot="1" x14ac:dyDescent="0.3">
      <c r="A45" s="19" t="s">
        <v>52</v>
      </c>
      <c r="B45" s="20"/>
      <c r="C45" s="20"/>
      <c r="D45" s="20"/>
      <c r="E45" s="20"/>
      <c r="F45" s="59">
        <f>F43/F44</f>
        <v>8.3307326266316539E-2</v>
      </c>
      <c r="G45" s="59">
        <f t="shared" ref="G45:I45" si="10">G43/G44</f>
        <v>6.4508420100213903E-2</v>
      </c>
      <c r="H45" s="59">
        <f t="shared" si="10"/>
        <v>5.1464632676054611E-2</v>
      </c>
      <c r="I45" s="59">
        <f t="shared" si="10"/>
        <v>8.3172137841783178E-2</v>
      </c>
      <c r="J45" s="60">
        <f>J43/J44</f>
        <v>7.1285231925463113E-2</v>
      </c>
    </row>
    <row r="46" spans="1:10" x14ac:dyDescent="0.25">
      <c r="A46" s="16"/>
      <c r="B46" s="17"/>
      <c r="C46" s="17"/>
      <c r="D46" s="17"/>
      <c r="E46" s="17"/>
      <c r="F46" s="18"/>
      <c r="G46" s="18"/>
      <c r="H46" s="18"/>
      <c r="I46" s="18"/>
      <c r="J46" s="80"/>
    </row>
    <row r="47" spans="1:10" x14ac:dyDescent="0.25">
      <c r="A47" s="16" t="s">
        <v>95</v>
      </c>
      <c r="B47" s="17"/>
      <c r="C47" s="17"/>
      <c r="D47" s="17"/>
      <c r="E47" s="17"/>
      <c r="F47" s="18"/>
      <c r="G47" s="18"/>
      <c r="H47" s="18"/>
      <c r="I47" s="18"/>
      <c r="J47" s="81"/>
    </row>
    <row r="48" spans="1:10" x14ac:dyDescent="0.25">
      <c r="A48" s="16" t="s">
        <v>65</v>
      </c>
      <c r="B48" s="17"/>
      <c r="C48" s="17"/>
      <c r="D48" s="17"/>
      <c r="E48" s="17"/>
      <c r="F48" s="18">
        <f>F43-F38</f>
        <v>-3252633.6300027221</v>
      </c>
      <c r="G48" s="18">
        <f t="shared" ref="G48:J48" si="11">G43-G38</f>
        <v>-1422602.7568253558</v>
      </c>
      <c r="H48" s="18">
        <f t="shared" si="11"/>
        <v>-2791122.8557015024</v>
      </c>
      <c r="I48" s="18">
        <f t="shared" si="11"/>
        <v>934726.06254562736</v>
      </c>
      <c r="J48" s="57">
        <f t="shared" si="11"/>
        <v>-6531633.1799839437</v>
      </c>
    </row>
    <row r="49" spans="1:11" x14ac:dyDescent="0.25">
      <c r="A49" s="16" t="s">
        <v>0</v>
      </c>
      <c r="B49" s="17"/>
      <c r="C49" s="17"/>
      <c r="D49" s="17"/>
      <c r="E49" s="17"/>
      <c r="F49" s="18">
        <f t="shared" ref="F49:J50" si="12">F44-F39</f>
        <v>3663975.9920000136</v>
      </c>
      <c r="G49" s="18">
        <f t="shared" si="12"/>
        <v>88992.334447085857</v>
      </c>
      <c r="H49" s="18">
        <f t="shared" si="12"/>
        <v>5337847.082013011</v>
      </c>
      <c r="I49" s="18">
        <f t="shared" si="12"/>
        <v>-10635472.796528101</v>
      </c>
      <c r="J49" s="57">
        <f t="shared" si="12"/>
        <v>-1544657.3880679607</v>
      </c>
    </row>
    <row r="50" spans="1:11" ht="15.75" thickBot="1" x14ac:dyDescent="0.3">
      <c r="A50" s="19" t="s">
        <v>52</v>
      </c>
      <c r="B50" s="20"/>
      <c r="C50" s="20"/>
      <c r="D50" s="20"/>
      <c r="E50" s="20"/>
      <c r="F50" s="59">
        <f t="shared" si="12"/>
        <v>-1.7562249166800284E-2</v>
      </c>
      <c r="G50" s="59">
        <f t="shared" si="12"/>
        <v>-8.491579899786092E-3</v>
      </c>
      <c r="H50" s="59">
        <f t="shared" si="12"/>
        <v>-9.835367323945389E-3</v>
      </c>
      <c r="I50" s="59">
        <f t="shared" si="12"/>
        <v>4.2721378417831801E-3</v>
      </c>
      <c r="J50" s="60">
        <f t="shared" si="12"/>
        <v>-5.7944192871359768E-3</v>
      </c>
    </row>
    <row r="51" spans="1:11" x14ac:dyDescent="0.25">
      <c r="F51" s="18"/>
      <c r="G51" s="18"/>
      <c r="H51" s="18"/>
      <c r="I51" s="18"/>
    </row>
    <row r="52" spans="1:11" x14ac:dyDescent="0.25">
      <c r="A52" t="s">
        <v>80</v>
      </c>
      <c r="C52">
        <v>1</v>
      </c>
      <c r="E52" t="s">
        <v>81</v>
      </c>
      <c r="F52" s="63"/>
      <c r="G52" s="63"/>
      <c r="H52" s="63"/>
      <c r="I52" s="63"/>
      <c r="J52" s="63"/>
    </row>
    <row r="53" spans="1:11" x14ac:dyDescent="0.25">
      <c r="C53">
        <v>2</v>
      </c>
      <c r="E53" t="s">
        <v>82</v>
      </c>
      <c r="F53" s="63"/>
      <c r="J53" s="63"/>
    </row>
    <row r="54" spans="1:11" x14ac:dyDescent="0.25">
      <c r="C54">
        <v>3</v>
      </c>
      <c r="E54" t="s">
        <v>135</v>
      </c>
      <c r="F54" s="63"/>
    </row>
    <row r="56" spans="1:11" x14ac:dyDescent="0.25">
      <c r="A56" s="139" t="s">
        <v>97</v>
      </c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1" x14ac:dyDescent="0.2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1:11" x14ac:dyDescent="0.25">
      <c r="F58" s="11" t="s">
        <v>37</v>
      </c>
      <c r="G58" s="11" t="s">
        <v>74</v>
      </c>
      <c r="I58" s="11" t="s">
        <v>77</v>
      </c>
    </row>
    <row r="60" spans="1:11" x14ac:dyDescent="0.25">
      <c r="A60" t="s">
        <v>128</v>
      </c>
      <c r="F60" s="18">
        <f>J97</f>
        <v>81987280.719061494</v>
      </c>
      <c r="G60" s="18">
        <v>20113167</v>
      </c>
      <c r="I60" t="s">
        <v>120</v>
      </c>
    </row>
    <row r="61" spans="1:11" x14ac:dyDescent="0.25">
      <c r="F61" s="18"/>
      <c r="G61" s="18"/>
    </row>
    <row r="62" spans="1:11" x14ac:dyDescent="0.25">
      <c r="A62" t="s">
        <v>88</v>
      </c>
      <c r="F62" s="18">
        <v>-3897</v>
      </c>
      <c r="G62" s="18">
        <v>-3897</v>
      </c>
      <c r="I62" t="s">
        <v>93</v>
      </c>
    </row>
    <row r="63" spans="1:11" x14ac:dyDescent="0.25">
      <c r="A63" t="s">
        <v>89</v>
      </c>
      <c r="F63" s="18">
        <v>-43834</v>
      </c>
      <c r="G63" s="18">
        <v>-43834</v>
      </c>
      <c r="I63" t="s">
        <v>93</v>
      </c>
    </row>
    <row r="64" spans="1:11" x14ac:dyDescent="0.25">
      <c r="A64" t="s">
        <v>66</v>
      </c>
      <c r="F64" s="18">
        <v>84000</v>
      </c>
      <c r="G64" s="18">
        <v>84000</v>
      </c>
      <c r="I64" t="s">
        <v>93</v>
      </c>
    </row>
    <row r="65" spans="1:9" x14ac:dyDescent="0.25">
      <c r="A65" t="s">
        <v>67</v>
      </c>
      <c r="F65" s="18">
        <v>495385</v>
      </c>
      <c r="G65" s="18">
        <v>495385</v>
      </c>
      <c r="I65" t="s">
        <v>93</v>
      </c>
    </row>
    <row r="66" spans="1:9" x14ac:dyDescent="0.25">
      <c r="A66" t="s">
        <v>92</v>
      </c>
      <c r="F66" s="18">
        <v>1033</v>
      </c>
      <c r="G66" s="18">
        <v>1033</v>
      </c>
      <c r="I66" t="s">
        <v>93</v>
      </c>
    </row>
    <row r="67" spans="1:9" x14ac:dyDescent="0.25">
      <c r="A67" t="s">
        <v>91</v>
      </c>
      <c r="F67" s="18">
        <v>11616</v>
      </c>
      <c r="G67" s="18">
        <v>11616</v>
      </c>
      <c r="I67" t="s">
        <v>93</v>
      </c>
    </row>
    <row r="68" spans="1:9" x14ac:dyDescent="0.25">
      <c r="A68" t="s">
        <v>90</v>
      </c>
      <c r="F68" s="18">
        <v>676509</v>
      </c>
      <c r="G68" s="18">
        <v>676509</v>
      </c>
      <c r="I68" t="s">
        <v>93</v>
      </c>
    </row>
    <row r="69" spans="1:9" x14ac:dyDescent="0.25">
      <c r="A69" t="s">
        <v>68</v>
      </c>
      <c r="F69" s="18">
        <v>-22260</v>
      </c>
      <c r="G69" s="18">
        <v>-22260</v>
      </c>
      <c r="I69" t="s">
        <v>93</v>
      </c>
    </row>
    <row r="70" spans="1:9" x14ac:dyDescent="0.25">
      <c r="A70" t="s">
        <v>69</v>
      </c>
      <c r="F70" s="6">
        <v>-131277</v>
      </c>
      <c r="G70" s="6">
        <v>-131277</v>
      </c>
      <c r="I70" t="s">
        <v>93</v>
      </c>
    </row>
    <row r="71" spans="1:9" x14ac:dyDescent="0.25">
      <c r="F71" s="18"/>
      <c r="G71" s="18"/>
    </row>
    <row r="72" spans="1:9" x14ac:dyDescent="0.25">
      <c r="A72" s="3" t="s">
        <v>70</v>
      </c>
      <c r="B72" s="3"/>
      <c r="C72" s="3"/>
      <c r="D72" s="3"/>
      <c r="E72" s="3"/>
      <c r="F72" s="51">
        <f>SUM(F60:F70)</f>
        <v>83054555.719061494</v>
      </c>
      <c r="G72" s="51">
        <f>SUM(G60:G70)</f>
        <v>21180442</v>
      </c>
      <c r="I72" t="s">
        <v>138</v>
      </c>
    </row>
    <row r="73" spans="1:9" x14ac:dyDescent="0.25">
      <c r="F73" s="18"/>
      <c r="G73" s="18"/>
    </row>
    <row r="74" spans="1:9" x14ac:dyDescent="0.25">
      <c r="A74" t="s">
        <v>71</v>
      </c>
      <c r="F74" s="18">
        <v>-985377</v>
      </c>
      <c r="G74" s="18">
        <v>-985377</v>
      </c>
      <c r="I74" t="s">
        <v>93</v>
      </c>
    </row>
    <row r="75" spans="1:9" x14ac:dyDescent="0.25">
      <c r="A75" t="s">
        <v>72</v>
      </c>
      <c r="F75" s="18">
        <v>-33508</v>
      </c>
      <c r="G75" s="18">
        <v>-33508</v>
      </c>
      <c r="I75" t="s">
        <v>93</v>
      </c>
    </row>
    <row r="76" spans="1:9" x14ac:dyDescent="0.25">
      <c r="A76" t="s">
        <v>73</v>
      </c>
      <c r="F76" s="6">
        <f>(F74+F75)*-26.5%</f>
        <v>270004.52500000002</v>
      </c>
      <c r="G76" s="6">
        <v>270005</v>
      </c>
      <c r="I76" t="s">
        <v>93</v>
      </c>
    </row>
    <row r="77" spans="1:9" x14ac:dyDescent="0.25">
      <c r="F77" s="18"/>
      <c r="G77" s="18"/>
    </row>
    <row r="78" spans="1:9" x14ac:dyDescent="0.25">
      <c r="A78" t="s">
        <v>75</v>
      </c>
      <c r="F78" s="18">
        <f>SUM(F72:F75)</f>
        <v>82035670.719061494</v>
      </c>
      <c r="G78" s="18">
        <f>SUM(G72:G75)</f>
        <v>20161557</v>
      </c>
    </row>
    <row r="79" spans="1:9" x14ac:dyDescent="0.25">
      <c r="F79" s="18"/>
      <c r="G79" s="18"/>
    </row>
    <row r="80" spans="1:9" x14ac:dyDescent="0.25">
      <c r="A80" s="3" t="s">
        <v>0</v>
      </c>
      <c r="F80" s="51">
        <v>1107528050</v>
      </c>
      <c r="G80" s="51">
        <v>207057276</v>
      </c>
      <c r="I80" t="s">
        <v>94</v>
      </c>
    </row>
    <row r="82" spans="1:10" x14ac:dyDescent="0.25">
      <c r="A82" s="139" t="s">
        <v>137</v>
      </c>
      <c r="B82" s="122"/>
      <c r="C82" s="122"/>
      <c r="D82" s="122"/>
      <c r="E82" s="122"/>
      <c r="F82" s="122"/>
      <c r="G82" s="122"/>
      <c r="H82" s="122"/>
      <c r="I82" s="122"/>
      <c r="J82" s="122"/>
    </row>
    <row r="83" spans="1:10" ht="15.75" thickBot="1" x14ac:dyDescent="0.3"/>
    <row r="84" spans="1:10" x14ac:dyDescent="0.25">
      <c r="A84" t="s">
        <v>121</v>
      </c>
      <c r="F84" s="146" t="s">
        <v>47</v>
      </c>
      <c r="G84" s="147"/>
      <c r="H84" s="147"/>
      <c r="I84" s="147"/>
      <c r="J84" s="148"/>
    </row>
    <row r="85" spans="1:10" x14ac:dyDescent="0.25">
      <c r="F85" s="72" t="s">
        <v>35</v>
      </c>
      <c r="G85" s="49" t="s">
        <v>33</v>
      </c>
      <c r="H85" s="49" t="s">
        <v>34</v>
      </c>
      <c r="I85" s="50" t="s">
        <v>36</v>
      </c>
      <c r="J85" s="90" t="s">
        <v>50</v>
      </c>
    </row>
    <row r="86" spans="1:10" x14ac:dyDescent="0.25">
      <c r="A86" t="s">
        <v>119</v>
      </c>
    </row>
    <row r="87" spans="1:10" x14ac:dyDescent="0.25">
      <c r="A87" t="s">
        <v>118</v>
      </c>
      <c r="F87" s="18">
        <v>19807963</v>
      </c>
      <c r="G87" s="18">
        <v>9437793</v>
      </c>
      <c r="H87" s="18">
        <v>17585874</v>
      </c>
      <c r="I87" s="18">
        <v>35153362</v>
      </c>
      <c r="J87" s="18">
        <v>81984990</v>
      </c>
    </row>
    <row r="88" spans="1:10" x14ac:dyDescent="0.25">
      <c r="A88" t="s">
        <v>123</v>
      </c>
      <c r="F88" s="18">
        <v>207042402</v>
      </c>
      <c r="G88" s="18">
        <v>168529763</v>
      </c>
      <c r="H88" s="18">
        <v>316699842</v>
      </c>
      <c r="I88" s="18">
        <v>415256043</v>
      </c>
      <c r="J88" s="18">
        <v>1107528050</v>
      </c>
    </row>
    <row r="89" spans="1:10" x14ac:dyDescent="0.25">
      <c r="A89" t="s">
        <v>51</v>
      </c>
      <c r="F89" s="123">
        <f>F87/F88</f>
        <v>9.5671045199717114E-2</v>
      </c>
      <c r="G89" s="123">
        <f t="shared" ref="G89:J89" si="13">G87/G88</f>
        <v>5.6000749256379122E-2</v>
      </c>
      <c r="H89" s="123">
        <f t="shared" si="13"/>
        <v>5.5528521545646997E-2</v>
      </c>
      <c r="I89" s="123">
        <f t="shared" si="13"/>
        <v>8.4654666903908243E-2</v>
      </c>
      <c r="J89" s="123">
        <f t="shared" si="13"/>
        <v>7.4025204147199708E-2</v>
      </c>
    </row>
    <row r="90" spans="1:10" x14ac:dyDescent="0.25">
      <c r="F90" s="18"/>
      <c r="G90" s="18"/>
      <c r="H90" s="18"/>
      <c r="I90" s="18"/>
      <c r="J90" s="18"/>
    </row>
    <row r="91" spans="1:10" x14ac:dyDescent="0.25">
      <c r="A91" t="s">
        <v>122</v>
      </c>
    </row>
    <row r="92" spans="1:10" x14ac:dyDescent="0.25">
      <c r="A92" t="s">
        <v>124</v>
      </c>
      <c r="F92" s="18">
        <f>F145</f>
        <v>305204.19077253895</v>
      </c>
      <c r="G92" s="18">
        <f>G145</f>
        <v>85203.822815603926</v>
      </c>
      <c r="H92" s="18">
        <f>H145</f>
        <v>85243.746527740121</v>
      </c>
      <c r="I92" s="18">
        <f>I145</f>
        <v>-473361.04105437809</v>
      </c>
      <c r="J92" s="18">
        <f>J145</f>
        <v>2290.7190614922906</v>
      </c>
    </row>
    <row r="93" spans="1:10" x14ac:dyDescent="0.25">
      <c r="A93" t="s">
        <v>0</v>
      </c>
      <c r="F93" s="18">
        <f>F155</f>
        <v>14873.830465151574</v>
      </c>
      <c r="G93" s="18">
        <f t="shared" ref="G93:J93" si="14">G155</f>
        <v>-9324.6915529051203</v>
      </c>
      <c r="H93" s="18">
        <f t="shared" si="14"/>
        <v>-18077.791986975986</v>
      </c>
      <c r="I93" s="18">
        <f t="shared" si="14"/>
        <v>6064.2034718827445</v>
      </c>
      <c r="J93" s="18">
        <f t="shared" si="14"/>
        <v>-6464.4496028467875</v>
      </c>
    </row>
    <row r="94" spans="1:10" ht="15.75" thickBot="1" x14ac:dyDescent="0.3">
      <c r="F94" s="18"/>
      <c r="G94" s="18"/>
      <c r="H94" s="18"/>
      <c r="I94" s="18"/>
      <c r="J94" s="18"/>
    </row>
    <row r="95" spans="1:10" x14ac:dyDescent="0.25">
      <c r="A95" s="14"/>
      <c r="B95" s="15"/>
      <c r="C95" s="15"/>
      <c r="D95" s="15"/>
      <c r="E95" s="15"/>
      <c r="F95" s="149" t="s">
        <v>125</v>
      </c>
      <c r="G95" s="150"/>
      <c r="H95" s="150"/>
      <c r="I95" s="150"/>
      <c r="J95" s="151"/>
    </row>
    <row r="96" spans="1:10" x14ac:dyDescent="0.25">
      <c r="A96" s="16"/>
      <c r="B96" s="17"/>
      <c r="C96" s="17"/>
      <c r="D96" s="17"/>
      <c r="E96" s="17"/>
      <c r="F96" s="124"/>
      <c r="G96" s="124"/>
      <c r="H96" s="124"/>
      <c r="I96" s="124"/>
      <c r="J96" s="126"/>
    </row>
    <row r="97" spans="1:10" x14ac:dyDescent="0.25">
      <c r="A97" s="16" t="s">
        <v>124</v>
      </c>
      <c r="B97" s="17"/>
      <c r="C97" s="17"/>
      <c r="D97" s="17"/>
      <c r="E97" s="17"/>
      <c r="F97" s="125">
        <f t="shared" ref="F97:J98" si="15">F87+F92</f>
        <v>20113167.190772537</v>
      </c>
      <c r="G97" s="125">
        <f t="shared" si="15"/>
        <v>9522996.8228156045</v>
      </c>
      <c r="H97" s="125">
        <f t="shared" si="15"/>
        <v>17671117.746527739</v>
      </c>
      <c r="I97" s="125">
        <f t="shared" si="15"/>
        <v>34680000.958945625</v>
      </c>
      <c r="J97" s="127">
        <f t="shared" si="15"/>
        <v>81987280.719061494</v>
      </c>
    </row>
    <row r="98" spans="1:10" x14ac:dyDescent="0.25">
      <c r="A98" s="16" t="s">
        <v>0</v>
      </c>
      <c r="B98" s="17"/>
      <c r="C98" s="17"/>
      <c r="D98" s="17"/>
      <c r="E98" s="17"/>
      <c r="F98" s="125">
        <f t="shared" si="15"/>
        <v>207057275.83046514</v>
      </c>
      <c r="G98" s="125">
        <f t="shared" si="15"/>
        <v>168520438.30844709</v>
      </c>
      <c r="H98" s="125">
        <f t="shared" si="15"/>
        <v>316681764.208013</v>
      </c>
      <c r="I98" s="125">
        <f t="shared" si="15"/>
        <v>415262107.2034719</v>
      </c>
      <c r="J98" s="127">
        <f t="shared" si="15"/>
        <v>1107521585.5503972</v>
      </c>
    </row>
    <row r="99" spans="1:10" ht="15.75" thickBot="1" x14ac:dyDescent="0.3">
      <c r="A99" s="19" t="s">
        <v>52</v>
      </c>
      <c r="B99" s="20"/>
      <c r="C99" s="20"/>
      <c r="D99" s="20"/>
      <c r="E99" s="20"/>
      <c r="F99" s="128">
        <f>F97/F98</f>
        <v>9.713818125976334E-2</v>
      </c>
      <c r="G99" s="128">
        <f t="shared" ref="G99:J99" si="16">G97/G98</f>
        <v>5.6509447271822486E-2</v>
      </c>
      <c r="H99" s="128">
        <f t="shared" si="16"/>
        <v>5.5800869338723379E-2</v>
      </c>
      <c r="I99" s="128">
        <f t="shared" si="16"/>
        <v>8.3513521598427398E-2</v>
      </c>
      <c r="J99" s="129">
        <f t="shared" si="16"/>
        <v>7.40277045510737E-2</v>
      </c>
    </row>
    <row r="100" spans="1:10" x14ac:dyDescent="0.25">
      <c r="F100" s="18"/>
      <c r="G100" s="18"/>
      <c r="H100" s="18"/>
      <c r="I100" s="18"/>
      <c r="J100" s="18"/>
    </row>
    <row r="101" spans="1:10" x14ac:dyDescent="0.25">
      <c r="A101" s="3" t="s">
        <v>127</v>
      </c>
      <c r="F101" s="18"/>
      <c r="G101" s="18"/>
      <c r="H101" s="18"/>
      <c r="I101" s="18"/>
      <c r="J101" s="18"/>
    </row>
    <row r="102" spans="1:10" x14ac:dyDescent="0.25">
      <c r="F102" s="18"/>
      <c r="G102" s="18"/>
      <c r="H102" s="18"/>
      <c r="I102" s="18"/>
      <c r="J102" s="18"/>
    </row>
    <row r="103" spans="1:10" x14ac:dyDescent="0.25">
      <c r="A103" t="s">
        <v>136</v>
      </c>
    </row>
    <row r="104" spans="1:10" x14ac:dyDescent="0.25">
      <c r="F104" s="99" t="s">
        <v>35</v>
      </c>
      <c r="G104" s="99" t="s">
        <v>33</v>
      </c>
      <c r="H104" s="99" t="s">
        <v>34</v>
      </c>
      <c r="I104" s="99" t="s">
        <v>36</v>
      </c>
      <c r="J104" s="99" t="s">
        <v>50</v>
      </c>
    </row>
    <row r="105" spans="1:10" x14ac:dyDescent="0.25">
      <c r="A105" t="s">
        <v>98</v>
      </c>
      <c r="F105" s="5">
        <v>60901688</v>
      </c>
      <c r="G105" s="5">
        <v>28658213</v>
      </c>
      <c r="H105" s="5">
        <v>56300996</v>
      </c>
      <c r="I105" s="5">
        <v>86722101</v>
      </c>
      <c r="J105" s="5">
        <f>SUM(F105:I105)</f>
        <v>232582998</v>
      </c>
    </row>
    <row r="106" spans="1:10" x14ac:dyDescent="0.25">
      <c r="A106" t="s">
        <v>114</v>
      </c>
      <c r="F106" s="18">
        <v>-5398529</v>
      </c>
      <c r="G106" s="18">
        <v>1830532</v>
      </c>
      <c r="H106" s="18">
        <v>-1866041</v>
      </c>
      <c r="I106" s="18">
        <v>-194000</v>
      </c>
      <c r="J106" s="18">
        <f>SUM(F106:I106)</f>
        <v>-5628038</v>
      </c>
    </row>
    <row r="107" spans="1:10" x14ac:dyDescent="0.25">
      <c r="F107" s="18"/>
      <c r="G107" s="18"/>
      <c r="H107" s="18"/>
      <c r="I107" s="18"/>
      <c r="J107" s="18"/>
    </row>
    <row r="108" spans="1:10" x14ac:dyDescent="0.25">
      <c r="A108" t="s">
        <v>129</v>
      </c>
      <c r="F108" s="18">
        <f>F106/F113*12</f>
        <v>-5889304.3636363633</v>
      </c>
      <c r="G108" s="18">
        <f t="shared" ref="G108:I108" si="17">G106/G113*12</f>
        <v>2196638.4000000004</v>
      </c>
      <c r="H108" s="18">
        <f t="shared" si="17"/>
        <v>-2035681.0909090908</v>
      </c>
      <c r="I108" s="18">
        <f t="shared" si="17"/>
        <v>-211636.36363636365</v>
      </c>
      <c r="J108" s="18">
        <f>SUM(F108:I108)</f>
        <v>-5939983.418181817</v>
      </c>
    </row>
    <row r="109" spans="1:10" x14ac:dyDescent="0.25">
      <c r="F109" s="18"/>
      <c r="G109" s="18"/>
      <c r="H109" s="18"/>
      <c r="I109" s="18"/>
      <c r="J109" s="18"/>
    </row>
    <row r="110" spans="1:10" x14ac:dyDescent="0.25">
      <c r="A110" s="10" t="s">
        <v>100</v>
      </c>
      <c r="B110" s="10"/>
      <c r="C110" s="10"/>
      <c r="D110" s="10"/>
      <c r="F110" s="33">
        <f>F105+F108</f>
        <v>55012383.63636364</v>
      </c>
      <c r="G110" s="33">
        <f t="shared" ref="G110:J110" si="18">G105+G108</f>
        <v>30854851.399999999</v>
      </c>
      <c r="H110" s="33">
        <f t="shared" si="18"/>
        <v>54265314.909090906</v>
      </c>
      <c r="I110" s="33">
        <f t="shared" si="18"/>
        <v>86510464.63636364</v>
      </c>
      <c r="J110" s="33">
        <f t="shared" si="18"/>
        <v>226643014.58181819</v>
      </c>
    </row>
    <row r="111" spans="1:10" x14ac:dyDescent="0.25">
      <c r="A111" s="10" t="s">
        <v>99</v>
      </c>
      <c r="B111" s="10"/>
      <c r="C111" s="10"/>
      <c r="D111" s="10"/>
      <c r="F111" s="86">
        <f>F110/$J$110</f>
        <v>0.24272702045491085</v>
      </c>
      <c r="G111" s="86">
        <f>G110/$J$110</f>
        <v>0.13613855012002318</v>
      </c>
      <c r="H111" s="86">
        <f>H110/$J$110</f>
        <v>0.23943078505735774</v>
      </c>
      <c r="I111" s="86">
        <f>I110/$J$110</f>
        <v>0.38170364436770821</v>
      </c>
      <c r="J111" s="86">
        <f>J110/$J$110</f>
        <v>1</v>
      </c>
    </row>
    <row r="112" spans="1:10" x14ac:dyDescent="0.25">
      <c r="A112" s="10" t="s">
        <v>101</v>
      </c>
      <c r="B112" s="10"/>
      <c r="C112" s="10"/>
      <c r="D112" s="10"/>
      <c r="F112" s="10"/>
      <c r="G112" s="10"/>
      <c r="H112" s="10"/>
      <c r="I112" s="10"/>
      <c r="J112" s="10"/>
    </row>
    <row r="113" spans="1:10" x14ac:dyDescent="0.25">
      <c r="A113" s="10" t="s">
        <v>102</v>
      </c>
      <c r="B113" s="10"/>
      <c r="C113" s="10"/>
      <c r="D113" s="10"/>
      <c r="F113" s="10">
        <v>11</v>
      </c>
      <c r="G113" s="10">
        <v>10</v>
      </c>
      <c r="H113" s="10">
        <v>11</v>
      </c>
      <c r="I113" s="10">
        <v>11</v>
      </c>
      <c r="J113" s="10"/>
    </row>
    <row r="114" spans="1:10" x14ac:dyDescent="0.25">
      <c r="A114" s="10" t="s">
        <v>103</v>
      </c>
      <c r="B114" s="10"/>
      <c r="C114" s="10"/>
      <c r="D114" s="10"/>
      <c r="F114" s="33">
        <f>F110*F113/12</f>
        <v>50428018.333333336</v>
      </c>
      <c r="G114" s="33">
        <f>G110*G113/12</f>
        <v>25712376.166666668</v>
      </c>
      <c r="H114" s="33">
        <f>H110*H113/12</f>
        <v>49743205.333333336</v>
      </c>
      <c r="I114" s="33">
        <f>I110*I113/12</f>
        <v>79301259.25</v>
      </c>
      <c r="J114" s="33">
        <f>SUM(F114:I114)</f>
        <v>205184859.08333334</v>
      </c>
    </row>
    <row r="115" spans="1:10" x14ac:dyDescent="0.25">
      <c r="A115" s="10" t="s">
        <v>99</v>
      </c>
      <c r="B115" s="10"/>
      <c r="C115" s="10"/>
      <c r="D115" s="10"/>
      <c r="F115" s="85">
        <f>F114/$J$114</f>
        <v>0.24576871099856645</v>
      </c>
      <c r="G115" s="85">
        <f>G114/$J$114</f>
        <v>0.1253132237999291</v>
      </c>
      <c r="H115" s="85">
        <f>H114/$J$114</f>
        <v>0.24243116941260628</v>
      </c>
      <c r="I115" s="85">
        <f>I114/$J$114</f>
        <v>0.38648689578889811</v>
      </c>
      <c r="J115" s="85">
        <f>SUM(F115:I115)</f>
        <v>1</v>
      </c>
    </row>
    <row r="116" spans="1:10" x14ac:dyDescent="0.25">
      <c r="A116" s="10"/>
      <c r="B116" s="10"/>
      <c r="C116" s="10"/>
      <c r="D116" s="10"/>
      <c r="F116" s="85"/>
      <c r="G116" s="85"/>
      <c r="H116" s="85"/>
      <c r="I116" s="85"/>
      <c r="J116" s="85"/>
    </row>
    <row r="117" spans="1:10" x14ac:dyDescent="0.25">
      <c r="A117" s="10" t="s">
        <v>107</v>
      </c>
      <c r="B117" s="10"/>
      <c r="C117" s="10"/>
      <c r="D117" s="10"/>
      <c r="F117" s="85">
        <v>0.24440000000000001</v>
      </c>
      <c r="G117" s="85">
        <v>0.12609999999999999</v>
      </c>
      <c r="H117" s="85">
        <v>0.24390000000000001</v>
      </c>
      <c r="I117" s="85">
        <v>0.3856</v>
      </c>
      <c r="J117" s="85">
        <f>SUM(F117:I117)</f>
        <v>1</v>
      </c>
    </row>
    <row r="118" spans="1:10" x14ac:dyDescent="0.25">
      <c r="A118" s="10" t="s">
        <v>106</v>
      </c>
      <c r="B118" s="10"/>
      <c r="C118" s="10"/>
      <c r="D118" s="10"/>
      <c r="F118" s="33">
        <v>55705300</v>
      </c>
      <c r="G118" s="33">
        <v>28748518</v>
      </c>
      <c r="H118" s="33">
        <v>55590373</v>
      </c>
      <c r="I118" s="33">
        <v>87874487</v>
      </c>
      <c r="J118" s="33">
        <f>SUM(F118:I118)</f>
        <v>227918678</v>
      </c>
    </row>
    <row r="119" spans="1:10" x14ac:dyDescent="0.25">
      <c r="A119" s="10" t="s">
        <v>104</v>
      </c>
      <c r="B119" s="10"/>
      <c r="C119" s="10"/>
      <c r="D119" s="10"/>
      <c r="F119" s="85">
        <f>F115-F117</f>
        <v>1.368710998566447E-3</v>
      </c>
      <c r="G119" s="85">
        <f t="shared" ref="G119:I119" si="19">G115-G117</f>
        <v>-7.8677620007089333E-4</v>
      </c>
      <c r="H119" s="85">
        <f t="shared" si="19"/>
        <v>-1.4688305873937213E-3</v>
      </c>
      <c r="I119" s="85">
        <f t="shared" si="19"/>
        <v>8.8689578889811216E-4</v>
      </c>
      <c r="J119" s="85"/>
    </row>
    <row r="120" spans="1:10" x14ac:dyDescent="0.25">
      <c r="A120" s="3" t="s">
        <v>105</v>
      </c>
      <c r="B120" s="3"/>
      <c r="C120" s="3"/>
      <c r="D120" s="3"/>
      <c r="F120" s="83">
        <f>F119*$J$118</f>
        <v>311954.80135732447</v>
      </c>
      <c r="G120" s="83">
        <f>G119*$J$118</f>
        <v>-179320.99140202152</v>
      </c>
      <c r="H120" s="83">
        <f>H119*$J$118</f>
        <v>-334773.92568474042</v>
      </c>
      <c r="I120" s="83">
        <f>I119*$J$118</f>
        <v>202140.11572942481</v>
      </c>
      <c r="J120" s="83">
        <v>0</v>
      </c>
    </row>
    <row r="121" spans="1:10" x14ac:dyDescent="0.25">
      <c r="A121" s="10"/>
      <c r="B121" s="10"/>
      <c r="C121" s="10"/>
      <c r="D121" s="10"/>
      <c r="F121" s="33"/>
      <c r="G121" s="33"/>
      <c r="H121" s="33"/>
      <c r="I121" s="33"/>
      <c r="J121" s="33"/>
    </row>
    <row r="122" spans="1:10" x14ac:dyDescent="0.25">
      <c r="A122" s="10" t="s">
        <v>117</v>
      </c>
      <c r="F122" s="27"/>
      <c r="G122" s="27"/>
      <c r="H122" s="27"/>
      <c r="I122" s="27"/>
      <c r="J122" s="83"/>
    </row>
    <row r="123" spans="1:10" x14ac:dyDescent="0.25">
      <c r="A123" s="3"/>
      <c r="F123" s="27"/>
      <c r="G123" s="27"/>
      <c r="H123" s="27"/>
      <c r="I123" s="27"/>
      <c r="J123" s="83"/>
    </row>
    <row r="124" spans="1:10" x14ac:dyDescent="0.25">
      <c r="A124" t="s">
        <v>110</v>
      </c>
      <c r="D124" s="4"/>
      <c r="E124" s="22"/>
      <c r="F124" s="5">
        <f>F151</f>
        <v>37434.576162878933</v>
      </c>
      <c r="G124" s="5">
        <f t="shared" ref="G124:I124" si="20">G151</f>
        <v>-23311.7288822628</v>
      </c>
      <c r="H124" s="5">
        <f t="shared" si="20"/>
        <v>-45194.479967439962</v>
      </c>
      <c r="I124" s="5">
        <f t="shared" si="20"/>
        <v>15160.50867970686</v>
      </c>
      <c r="J124" s="5">
        <f>SUM(F124:I124)</f>
        <v>-15911.124007116969</v>
      </c>
    </row>
    <row r="125" spans="1:10" x14ac:dyDescent="0.25">
      <c r="D125" s="4"/>
      <c r="E125" s="22"/>
      <c r="F125" s="27"/>
      <c r="G125" s="5"/>
      <c r="H125" s="5"/>
      <c r="I125" s="27"/>
      <c r="J125" s="27"/>
    </row>
    <row r="126" spans="1:10" x14ac:dyDescent="0.25">
      <c r="A126" t="s">
        <v>42</v>
      </c>
      <c r="D126" s="4"/>
      <c r="E126" s="22"/>
      <c r="F126" s="5">
        <f>F124*4%</f>
        <v>1497.3830465151573</v>
      </c>
      <c r="G126" s="5">
        <f>G124*4%</f>
        <v>-932.46915529051205</v>
      </c>
      <c r="H126" s="5">
        <f t="shared" ref="H126:I126" si="21">H124*4%</f>
        <v>-1807.7791986975985</v>
      </c>
      <c r="I126" s="5">
        <f t="shared" si="21"/>
        <v>606.42034718827438</v>
      </c>
      <c r="J126" s="5">
        <f>SUM(F126:I126)</f>
        <v>-636.44496028467881</v>
      </c>
    </row>
    <row r="127" spans="1:10" x14ac:dyDescent="0.25">
      <c r="A127" t="s">
        <v>40</v>
      </c>
      <c r="D127" s="4"/>
      <c r="E127" s="22"/>
      <c r="F127" s="26">
        <v>1.7600000000000001E-2</v>
      </c>
      <c r="G127" s="26">
        <v>2.1600000000000001E-2</v>
      </c>
      <c r="H127" s="26">
        <v>2.0799999999999999E-2</v>
      </c>
      <c r="I127" s="26">
        <v>1.7600000000000001E-2</v>
      </c>
      <c r="J127" s="28"/>
    </row>
    <row r="128" spans="1:10" x14ac:dyDescent="0.25">
      <c r="A128" t="s">
        <v>41</v>
      </c>
      <c r="D128" s="4"/>
      <c r="E128" s="22"/>
      <c r="F128" s="5">
        <f>F126*F127</f>
        <v>26.35394161866677</v>
      </c>
      <c r="G128" s="5">
        <f>G126*G127</f>
        <v>-20.14133375427506</v>
      </c>
      <c r="H128" s="5">
        <f t="shared" ref="H128:I128" si="22">H126*H127</f>
        <v>-37.601807332910049</v>
      </c>
      <c r="I128" s="5">
        <f t="shared" si="22"/>
        <v>10.67299811051363</v>
      </c>
      <c r="J128" s="27">
        <f>SUM(F128:I128)</f>
        <v>-20.71620135800471</v>
      </c>
    </row>
    <row r="129" spans="1:11" x14ac:dyDescent="0.25">
      <c r="D129" s="4"/>
      <c r="E129" s="22"/>
      <c r="F129" s="27"/>
      <c r="G129" s="5"/>
      <c r="H129" s="5"/>
      <c r="I129" s="27"/>
      <c r="J129" s="27"/>
    </row>
    <row r="130" spans="1:11" x14ac:dyDescent="0.25">
      <c r="A130" t="s">
        <v>43</v>
      </c>
      <c r="D130" s="4"/>
      <c r="E130" s="22"/>
      <c r="F130" s="5">
        <f>F124*0.56</f>
        <v>20963.362651212206</v>
      </c>
      <c r="G130" s="5">
        <f>G124*0.56</f>
        <v>-13054.56817406717</v>
      </c>
      <c r="H130" s="5">
        <f t="shared" ref="H130:I130" si="23">H124*0.56</f>
        <v>-25308.908781766382</v>
      </c>
      <c r="I130" s="5">
        <f t="shared" si="23"/>
        <v>8489.8848606358424</v>
      </c>
      <c r="J130" s="27">
        <f>SUM(F130:I130)</f>
        <v>-8910.229443985505</v>
      </c>
    </row>
    <row r="131" spans="1:11" x14ac:dyDescent="0.25">
      <c r="A131" t="s">
        <v>44</v>
      </c>
      <c r="D131" s="4"/>
      <c r="E131" s="22"/>
      <c r="F131" s="26">
        <v>3.4700000000000002E-2</v>
      </c>
      <c r="G131" s="26">
        <v>6.0699999999999997E-2</v>
      </c>
      <c r="H131" s="26">
        <v>5.0900000000000001E-2</v>
      </c>
      <c r="I131" s="26">
        <v>3.8800000000000001E-2</v>
      </c>
      <c r="J131" s="28"/>
    </row>
    <row r="132" spans="1:11" x14ac:dyDescent="0.25">
      <c r="A132" t="s">
        <v>45</v>
      </c>
      <c r="D132" s="4"/>
      <c r="E132" s="22"/>
      <c r="F132" s="5">
        <f>F130*F131</f>
        <v>727.42868399706356</v>
      </c>
      <c r="G132" s="5">
        <f>G130*G131</f>
        <v>-792.41228816587716</v>
      </c>
      <c r="H132" s="5">
        <f t="shared" ref="H132:I132" si="24">H130*H131</f>
        <v>-1288.223456991909</v>
      </c>
      <c r="I132" s="5">
        <f t="shared" si="24"/>
        <v>329.40753259267069</v>
      </c>
      <c r="J132" s="27">
        <f>SUM(F132:I132)</f>
        <v>-1023.7995285680519</v>
      </c>
    </row>
    <row r="133" spans="1:11" x14ac:dyDescent="0.25">
      <c r="D133" s="4"/>
      <c r="E133" s="22"/>
      <c r="F133" s="27"/>
      <c r="G133" s="5"/>
      <c r="H133" s="5"/>
      <c r="I133" s="27"/>
      <c r="J133" s="27"/>
    </row>
    <row r="134" spans="1:11" x14ac:dyDescent="0.25">
      <c r="A134" s="3" t="s">
        <v>109</v>
      </c>
      <c r="E134" s="5"/>
      <c r="F134" s="88">
        <f>F128+F132</f>
        <v>753.78262561573035</v>
      </c>
      <c r="G134" s="88">
        <f>G128+G132</f>
        <v>-812.55362192015218</v>
      </c>
      <c r="H134" s="88">
        <f t="shared" ref="H134:I134" si="25">H128+H132</f>
        <v>-1325.825264324819</v>
      </c>
      <c r="I134" s="88">
        <f t="shared" si="25"/>
        <v>340.08053070318431</v>
      </c>
      <c r="J134" s="89">
        <f>SUM(F134:I134)</f>
        <v>-1044.5157299260568</v>
      </c>
      <c r="K134" s="11"/>
    </row>
    <row r="135" spans="1:11" x14ac:dyDescent="0.25">
      <c r="A135" s="3"/>
      <c r="E135" s="5"/>
      <c r="F135" s="88"/>
      <c r="G135" s="88"/>
      <c r="H135" s="88"/>
      <c r="I135" s="88"/>
      <c r="J135" s="87"/>
      <c r="K135" s="11"/>
    </row>
    <row r="136" spans="1:11" x14ac:dyDescent="0.25">
      <c r="A136" s="3" t="s">
        <v>116</v>
      </c>
      <c r="F136" s="83">
        <f>(F120+F134)*-26.5%</f>
        <v>-82867.774755479157</v>
      </c>
      <c r="G136" s="83">
        <f t="shared" ref="G136:I136" si="26">(G120+G134)*-26.5%</f>
        <v>47735.389431344542</v>
      </c>
      <c r="H136" s="83">
        <f t="shared" si="26"/>
        <v>89066.434001502304</v>
      </c>
      <c r="I136" s="83">
        <f t="shared" si="26"/>
        <v>-53657.252008933923</v>
      </c>
      <c r="J136" s="83">
        <f>SUM(F136:I136)</f>
        <v>276.79666843376617</v>
      </c>
    </row>
    <row r="137" spans="1:11" x14ac:dyDescent="0.25">
      <c r="A137" s="3"/>
      <c r="F137" s="83"/>
      <c r="G137" s="83"/>
      <c r="H137" s="83"/>
      <c r="I137" s="83"/>
      <c r="J137" s="83"/>
    </row>
    <row r="138" spans="1:11" x14ac:dyDescent="0.25">
      <c r="A138" s="3" t="s">
        <v>143</v>
      </c>
      <c r="F138" s="83">
        <v>-533522</v>
      </c>
      <c r="G138" s="83">
        <f>$F$138*(0.0689/(0.2362+0.0689+0.4738))*-1</f>
        <v>47194.3327769932</v>
      </c>
      <c r="H138" s="83">
        <f>$F$138*(0.2362/(0.2362+0.0689+0.4738))*-1</f>
        <v>161789.57041982282</v>
      </c>
      <c r="I138" s="83">
        <f>$F$138*(0.4738/(0.2362+0.0689+0.4738))*-1</f>
        <v>324538.09680318402</v>
      </c>
      <c r="J138" s="83">
        <v>0</v>
      </c>
    </row>
    <row r="139" spans="1:11" x14ac:dyDescent="0.25">
      <c r="A139" s="3"/>
      <c r="F139" s="83"/>
      <c r="G139" s="83"/>
      <c r="H139" s="83"/>
      <c r="I139" s="83"/>
      <c r="J139" s="83"/>
    </row>
    <row r="140" spans="1:11" x14ac:dyDescent="0.25">
      <c r="A140" s="10" t="s">
        <v>144</v>
      </c>
      <c r="F140" s="33"/>
      <c r="G140" s="83"/>
      <c r="H140" s="83"/>
      <c r="I140" s="83"/>
      <c r="J140" s="83"/>
    </row>
    <row r="141" spans="1:11" x14ac:dyDescent="0.25">
      <c r="A141" s="10" t="s">
        <v>145</v>
      </c>
      <c r="F141" s="33"/>
      <c r="G141" s="83"/>
      <c r="H141" s="83"/>
      <c r="I141" s="83"/>
      <c r="J141" s="83"/>
    </row>
    <row r="142" spans="1:11" x14ac:dyDescent="0.25">
      <c r="A142" s="3"/>
      <c r="F142" s="83"/>
      <c r="G142" s="83"/>
      <c r="H142" s="83"/>
      <c r="I142" s="83"/>
      <c r="J142" s="83"/>
    </row>
    <row r="143" spans="1:11" x14ac:dyDescent="0.25">
      <c r="A143" s="10" t="s">
        <v>126</v>
      </c>
      <c r="F143" s="83">
        <v>-1523</v>
      </c>
      <c r="G143" s="83">
        <v>0</v>
      </c>
      <c r="H143" s="83">
        <v>0</v>
      </c>
      <c r="I143" s="83">
        <v>0</v>
      </c>
      <c r="J143" s="83">
        <f>SUM(F143:I143)</f>
        <v>-1523</v>
      </c>
    </row>
    <row r="144" spans="1:11" ht="15.75" thickBot="1" x14ac:dyDescent="0.3">
      <c r="A144" s="3"/>
      <c r="F144" s="27"/>
      <c r="G144" s="27"/>
      <c r="H144" s="27"/>
      <c r="I144" s="27"/>
      <c r="J144" s="83"/>
    </row>
    <row r="145" spans="1:10" ht="15.75" thickBot="1" x14ac:dyDescent="0.3">
      <c r="A145" s="23" t="s">
        <v>115</v>
      </c>
      <c r="B145" s="24"/>
      <c r="C145" s="24"/>
      <c r="D145" s="24"/>
      <c r="E145" s="24"/>
      <c r="F145" s="97">
        <f>-F120-F136-F134-F138-F143</f>
        <v>305204.19077253895</v>
      </c>
      <c r="G145" s="97">
        <f>-G120-G136-G134-G138-G143</f>
        <v>85203.822815603926</v>
      </c>
      <c r="H145" s="97">
        <f>-H120-H136-H134-H138-H143</f>
        <v>85243.746527740121</v>
      </c>
      <c r="I145" s="97">
        <f>-I120-I136-I134-I138-I143</f>
        <v>-473361.04105437809</v>
      </c>
      <c r="J145" s="142">
        <f>-J120-J136-J134-J138-J143</f>
        <v>2290.7190614922906</v>
      </c>
    </row>
    <row r="146" spans="1:10" x14ac:dyDescent="0.25">
      <c r="A146" s="3"/>
      <c r="F146" s="27"/>
      <c r="G146" s="27"/>
      <c r="H146" s="27"/>
      <c r="I146" s="27"/>
      <c r="J146" s="83"/>
    </row>
    <row r="147" spans="1:10" x14ac:dyDescent="0.25">
      <c r="A147" s="3" t="s">
        <v>108</v>
      </c>
      <c r="F147" s="27"/>
      <c r="G147" s="27"/>
      <c r="H147" s="27"/>
      <c r="I147" s="27"/>
      <c r="J147" s="83"/>
    </row>
    <row r="148" spans="1:10" x14ac:dyDescent="0.25">
      <c r="A148" s="3"/>
      <c r="F148" s="27"/>
      <c r="G148" s="27"/>
      <c r="H148" s="27"/>
      <c r="I148" s="27"/>
      <c r="J148" s="83"/>
    </row>
    <row r="149" spans="1:10" x14ac:dyDescent="0.25">
      <c r="A149" s="10" t="s">
        <v>111</v>
      </c>
      <c r="F149" s="27">
        <f>F120</f>
        <v>311954.80135732447</v>
      </c>
      <c r="G149" s="27">
        <f>G120</f>
        <v>-179320.99140202152</v>
      </c>
      <c r="H149" s="27">
        <f>H120</f>
        <v>-334773.92568474042</v>
      </c>
      <c r="I149" s="27">
        <f>I120</f>
        <v>202140.11572942481</v>
      </c>
      <c r="J149" s="33">
        <v>0</v>
      </c>
    </row>
    <row r="150" spans="1:10" x14ac:dyDescent="0.25">
      <c r="A150" s="10" t="s">
        <v>61</v>
      </c>
      <c r="E150" s="27"/>
      <c r="F150" s="2">
        <v>0.12</v>
      </c>
      <c r="G150" s="2">
        <v>0.13</v>
      </c>
      <c r="H150" s="2">
        <v>0.13500000000000001</v>
      </c>
      <c r="I150" s="2">
        <v>7.4999999999999997E-2</v>
      </c>
      <c r="J150" s="10"/>
    </row>
    <row r="151" spans="1:10" x14ac:dyDescent="0.25">
      <c r="A151" s="10" t="s">
        <v>112</v>
      </c>
      <c r="E151" s="27"/>
      <c r="F151" s="83">
        <f>F149*F150</f>
        <v>37434.576162878933</v>
      </c>
      <c r="G151" s="83">
        <f t="shared" ref="G151:I151" si="27">G149*G150</f>
        <v>-23311.7288822628</v>
      </c>
      <c r="H151" s="83">
        <f t="shared" si="27"/>
        <v>-45194.479967439962</v>
      </c>
      <c r="I151" s="83">
        <f t="shared" si="27"/>
        <v>15160.50867970686</v>
      </c>
      <c r="J151" s="83">
        <f>SUM(F151:I151)</f>
        <v>-15911.124007116969</v>
      </c>
    </row>
    <row r="152" spans="1:10" x14ac:dyDescent="0.25">
      <c r="A152" s="10"/>
      <c r="E152" s="27"/>
      <c r="F152" s="83"/>
      <c r="G152" s="83"/>
      <c r="H152" s="83"/>
      <c r="I152" s="83"/>
      <c r="J152" s="83"/>
    </row>
    <row r="153" spans="1:10" x14ac:dyDescent="0.25">
      <c r="A153" s="10" t="s">
        <v>126</v>
      </c>
      <c r="E153" s="27"/>
      <c r="F153" s="83">
        <v>-100</v>
      </c>
      <c r="G153" s="83">
        <v>0</v>
      </c>
      <c r="H153" s="83">
        <v>0</v>
      </c>
      <c r="I153" s="83">
        <v>0</v>
      </c>
      <c r="J153" s="83">
        <f>SUM(F153:I153)</f>
        <v>-100</v>
      </c>
    </row>
    <row r="154" spans="1:10" ht="15.75" thickBot="1" x14ac:dyDescent="0.3">
      <c r="A154" s="10"/>
      <c r="E154" s="27"/>
      <c r="F154" s="27"/>
      <c r="G154" s="27"/>
      <c r="H154" s="27"/>
      <c r="I154" s="27"/>
    </row>
    <row r="155" spans="1:10" ht="15.75" thickBot="1" x14ac:dyDescent="0.3">
      <c r="A155" s="23" t="s">
        <v>113</v>
      </c>
      <c r="B155" s="98"/>
      <c r="C155" s="98"/>
      <c r="D155" s="98"/>
      <c r="E155" s="97"/>
      <c r="F155" s="97">
        <f>F151*40%+F153</f>
        <v>14873.830465151574</v>
      </c>
      <c r="G155" s="97">
        <f t="shared" ref="G155:I155" si="28">G151*40%</f>
        <v>-9324.6915529051203</v>
      </c>
      <c r="H155" s="97">
        <f t="shared" si="28"/>
        <v>-18077.791986975986</v>
      </c>
      <c r="I155" s="97">
        <f t="shared" si="28"/>
        <v>6064.2034718827445</v>
      </c>
      <c r="J155" s="142">
        <f>J151*40%+J153</f>
        <v>-6464.4496028467875</v>
      </c>
    </row>
    <row r="156" spans="1:10" x14ac:dyDescent="0.25">
      <c r="E156" s="84"/>
      <c r="F156" s="84"/>
      <c r="G156" s="84"/>
      <c r="H156" s="84"/>
      <c r="I156" s="84"/>
    </row>
    <row r="157" spans="1:10" x14ac:dyDescent="0.25">
      <c r="A157" s="139" t="s">
        <v>148</v>
      </c>
      <c r="B157" s="122"/>
      <c r="C157" s="122"/>
      <c r="D157" s="122"/>
      <c r="E157" s="122"/>
      <c r="F157" s="122"/>
      <c r="G157" s="122"/>
      <c r="H157" s="122"/>
      <c r="I157" s="122"/>
      <c r="J157" s="122"/>
    </row>
    <row r="159" spans="1:10" x14ac:dyDescent="0.25">
      <c r="A159" s="13" t="s">
        <v>87</v>
      </c>
    </row>
    <row r="161" spans="1:11" x14ac:dyDescent="0.25">
      <c r="F161" s="31" t="s">
        <v>35</v>
      </c>
      <c r="G161" s="31" t="s">
        <v>33</v>
      </c>
      <c r="H161" s="31" t="s">
        <v>34</v>
      </c>
      <c r="I161" s="31" t="s">
        <v>36</v>
      </c>
      <c r="J161" s="31" t="s">
        <v>37</v>
      </c>
    </row>
    <row r="162" spans="1:11" x14ac:dyDescent="0.25">
      <c r="A162" t="s">
        <v>146</v>
      </c>
      <c r="F162" s="5">
        <v>-5398529</v>
      </c>
      <c r="G162" s="5">
        <v>1830532</v>
      </c>
      <c r="H162" s="5">
        <v>-1866041</v>
      </c>
      <c r="I162" s="5">
        <v>-194000</v>
      </c>
      <c r="J162" s="27">
        <f>SUM(F162:I162)</f>
        <v>-5628038</v>
      </c>
    </row>
    <row r="163" spans="1:11" x14ac:dyDescent="0.25">
      <c r="A163" t="s">
        <v>147</v>
      </c>
      <c r="F163" s="5">
        <v>67482</v>
      </c>
      <c r="G163" s="5">
        <v>-22882</v>
      </c>
      <c r="H163" s="5">
        <v>23968</v>
      </c>
      <c r="I163" s="5">
        <v>2000</v>
      </c>
      <c r="J163" s="27">
        <f>SUM(F163:I163)</f>
        <v>70568</v>
      </c>
    </row>
    <row r="164" spans="1:11" x14ac:dyDescent="0.25">
      <c r="F164" s="5"/>
      <c r="G164" s="5"/>
      <c r="H164" s="5"/>
      <c r="I164" s="5"/>
      <c r="J164" s="27"/>
    </row>
    <row r="165" spans="1:11" x14ac:dyDescent="0.25">
      <c r="A165" t="s">
        <v>57</v>
      </c>
      <c r="F165" s="27">
        <f>SUM(F162:F164)</f>
        <v>-5331047</v>
      </c>
      <c r="G165" s="27">
        <f>SUM(G162:G164)</f>
        <v>1807650</v>
      </c>
      <c r="H165" s="27">
        <f t="shared" ref="H165:J165" si="29">SUM(H162:H164)</f>
        <v>-1842073</v>
      </c>
      <c r="I165" s="27">
        <f t="shared" si="29"/>
        <v>-192000</v>
      </c>
      <c r="J165" s="30">
        <f t="shared" si="29"/>
        <v>-5557470</v>
      </c>
      <c r="K165" s="11" t="s">
        <v>20</v>
      </c>
    </row>
    <row r="166" spans="1:11" x14ac:dyDescent="0.25">
      <c r="E166" s="5"/>
      <c r="G166" s="5"/>
      <c r="H166" s="5"/>
    </row>
    <row r="167" spans="1:11" x14ac:dyDescent="0.25">
      <c r="A167" t="s">
        <v>24</v>
      </c>
      <c r="E167" s="22"/>
      <c r="F167" s="29"/>
      <c r="G167" s="29"/>
      <c r="H167" s="29"/>
      <c r="I167" s="29"/>
      <c r="J167" s="29"/>
    </row>
    <row r="168" spans="1:11" x14ac:dyDescent="0.25">
      <c r="D168" s="4"/>
      <c r="E168" s="22"/>
      <c r="G168" s="5"/>
      <c r="H168" s="5"/>
    </row>
    <row r="169" spans="1:11" x14ac:dyDescent="0.25">
      <c r="A169" t="s">
        <v>32</v>
      </c>
      <c r="D169" s="4"/>
      <c r="E169" s="22"/>
      <c r="F169" s="5">
        <f>F226</f>
        <v>-2017700.02</v>
      </c>
      <c r="G169" s="5">
        <f>G226</f>
        <v>665855.84</v>
      </c>
      <c r="H169" s="5">
        <f t="shared" ref="H169:I169" si="30">H226</f>
        <v>-669120.96499999997</v>
      </c>
      <c r="I169" s="5">
        <f t="shared" si="30"/>
        <v>-81450</v>
      </c>
      <c r="J169" s="5">
        <f>J226</f>
        <v>-2750238.625</v>
      </c>
    </row>
    <row r="170" spans="1:11" x14ac:dyDescent="0.25">
      <c r="D170" s="4"/>
      <c r="E170" s="22"/>
      <c r="F170" s="27"/>
      <c r="G170" s="5"/>
      <c r="H170" s="5"/>
      <c r="I170" s="27"/>
      <c r="J170" s="27"/>
    </row>
    <row r="171" spans="1:11" x14ac:dyDescent="0.25">
      <c r="A171" t="s">
        <v>42</v>
      </c>
      <c r="D171" s="4"/>
      <c r="E171" s="22"/>
      <c r="F171" s="5">
        <f>F169*4%</f>
        <v>-80708.000800000009</v>
      </c>
      <c r="G171" s="5">
        <f>G169*4%</f>
        <v>26634.2336</v>
      </c>
      <c r="H171" s="5">
        <f t="shared" ref="H171:I171" si="31">H169*4%</f>
        <v>-26764.838599999999</v>
      </c>
      <c r="I171" s="5">
        <f t="shared" si="31"/>
        <v>-3258</v>
      </c>
      <c r="J171" s="5">
        <f>SUM(G171:I171)</f>
        <v>-3388.6049999999996</v>
      </c>
    </row>
    <row r="172" spans="1:11" x14ac:dyDescent="0.25">
      <c r="A172" t="s">
        <v>40</v>
      </c>
      <c r="D172" s="4"/>
      <c r="E172" s="22"/>
      <c r="F172" s="26">
        <v>1.7600000000000001E-2</v>
      </c>
      <c r="G172" s="26">
        <v>2.1600000000000001E-2</v>
      </c>
      <c r="H172" s="26">
        <v>2.0799999999999999E-2</v>
      </c>
      <c r="I172" s="26">
        <v>1.7600000000000001E-2</v>
      </c>
      <c r="J172" s="28"/>
    </row>
    <row r="173" spans="1:11" x14ac:dyDescent="0.25">
      <c r="A173" t="s">
        <v>41</v>
      </c>
      <c r="D173" s="4"/>
      <c r="E173" s="22"/>
      <c r="F173" s="5">
        <f>F171*F172</f>
        <v>-1420.4608140800003</v>
      </c>
      <c r="G173" s="5">
        <f>G171*G172</f>
        <v>575.29944576000003</v>
      </c>
      <c r="H173" s="5">
        <f t="shared" ref="H173:I173" si="32">H171*H172</f>
        <v>-556.70864287999996</v>
      </c>
      <c r="I173" s="5">
        <f t="shared" si="32"/>
        <v>-57.340800000000002</v>
      </c>
      <c r="J173" s="27">
        <f>SUM(G173:I173)</f>
        <v>-38.749997119999932</v>
      </c>
    </row>
    <row r="174" spans="1:11" x14ac:dyDescent="0.25">
      <c r="D174" s="4"/>
      <c r="E174" s="22"/>
      <c r="F174" s="27"/>
      <c r="G174" s="5"/>
      <c r="H174" s="5"/>
      <c r="I174" s="27"/>
      <c r="J174" s="27"/>
    </row>
    <row r="175" spans="1:11" x14ac:dyDescent="0.25">
      <c r="A175" t="s">
        <v>43</v>
      </c>
      <c r="D175" s="4"/>
      <c r="E175" s="22"/>
      <c r="F175" s="5">
        <f>F169*0.56</f>
        <v>-1129912.0112000001</v>
      </c>
      <c r="G175" s="5">
        <f>G169*0.56</f>
        <v>372879.27040000004</v>
      </c>
      <c r="H175" s="5">
        <f t="shared" ref="H175:I175" si="33">H169*0.56</f>
        <v>-374707.74040000001</v>
      </c>
      <c r="I175" s="5">
        <f t="shared" si="33"/>
        <v>-45612.000000000007</v>
      </c>
      <c r="J175" s="27">
        <f>SUM(G175:I175)</f>
        <v>-47440.469999999979</v>
      </c>
    </row>
    <row r="176" spans="1:11" x14ac:dyDescent="0.25">
      <c r="A176" t="s">
        <v>44</v>
      </c>
      <c r="D176" s="4"/>
      <c r="E176" s="22"/>
      <c r="F176" s="26">
        <v>3.4700000000000002E-2</v>
      </c>
      <c r="G176" s="26">
        <v>6.0699999999999997E-2</v>
      </c>
      <c r="H176" s="26">
        <v>5.0900000000000001E-2</v>
      </c>
      <c r="I176" s="26">
        <v>3.8800000000000001E-2</v>
      </c>
      <c r="J176" s="28"/>
    </row>
    <row r="177" spans="1:11" x14ac:dyDescent="0.25">
      <c r="A177" t="s">
        <v>45</v>
      </c>
      <c r="D177" s="4"/>
      <c r="E177" s="22"/>
      <c r="F177" s="5">
        <f>F175*F176</f>
        <v>-39207.946788640002</v>
      </c>
      <c r="G177" s="5">
        <f>G175*G176</f>
        <v>22633.771713280003</v>
      </c>
      <c r="H177" s="5">
        <f t="shared" ref="H177:I177" si="34">H175*H176</f>
        <v>-19072.623986360002</v>
      </c>
      <c r="I177" s="5">
        <f t="shared" si="34"/>
        <v>-1769.7456000000004</v>
      </c>
      <c r="J177" s="27">
        <f>SUM(G177:I177)</f>
        <v>1791.40212692</v>
      </c>
    </row>
    <row r="178" spans="1:11" x14ac:dyDescent="0.25">
      <c r="D178" s="4"/>
      <c r="E178" s="22"/>
      <c r="F178" s="27"/>
      <c r="G178" s="5"/>
      <c r="H178" s="5"/>
      <c r="I178" s="27"/>
      <c r="J178" s="27"/>
    </row>
    <row r="179" spans="1:11" x14ac:dyDescent="0.25">
      <c r="A179" s="10" t="s">
        <v>56</v>
      </c>
      <c r="E179" s="5"/>
      <c r="F179" s="5">
        <f>F173+F177</f>
        <v>-40628.407602719999</v>
      </c>
      <c r="G179" s="5">
        <f>G173+G177</f>
        <v>23209.071159040002</v>
      </c>
      <c r="H179" s="5">
        <f t="shared" ref="H179:I179" si="35">H173+H177</f>
        <v>-19629.332629240002</v>
      </c>
      <c r="I179" s="5">
        <f t="shared" si="35"/>
        <v>-1827.0864000000004</v>
      </c>
      <c r="J179" s="38">
        <f>SUM(G179:I179)</f>
        <v>1752.6521298000005</v>
      </c>
      <c r="K179" s="11" t="s">
        <v>21</v>
      </c>
    </row>
    <row r="180" spans="1:11" x14ac:dyDescent="0.25">
      <c r="E180" s="5"/>
      <c r="G180" s="5"/>
      <c r="H180" s="5"/>
    </row>
    <row r="181" spans="1:11" x14ac:dyDescent="0.25">
      <c r="A181" t="s">
        <v>19</v>
      </c>
      <c r="E181" s="5"/>
      <c r="G181" s="5"/>
      <c r="H181" s="5"/>
    </row>
    <row r="182" spans="1:11" x14ac:dyDescent="0.25">
      <c r="E182" s="5"/>
      <c r="G182" s="5"/>
      <c r="H182" s="5"/>
    </row>
    <row r="183" spans="1:11" x14ac:dyDescent="0.25">
      <c r="A183" t="s">
        <v>26</v>
      </c>
      <c r="F183" s="27">
        <f>F162*-1</f>
        <v>5398529</v>
      </c>
      <c r="G183" s="27">
        <f>G162*-1</f>
        <v>-1830532</v>
      </c>
      <c r="H183" s="27">
        <f>H162*-1</f>
        <v>1866041</v>
      </c>
      <c r="I183" s="27">
        <f>I162*-1</f>
        <v>194000</v>
      </c>
      <c r="J183" s="27">
        <f>SUM(G183:I183)</f>
        <v>229509</v>
      </c>
    </row>
    <row r="184" spans="1:11" x14ac:dyDescent="0.25">
      <c r="A184" s="12" t="s">
        <v>1</v>
      </c>
      <c r="E184" s="5"/>
      <c r="F184" s="27">
        <f>F183*0.5</f>
        <v>2699264.5</v>
      </c>
      <c r="G184" s="27">
        <f>G183*0.5</f>
        <v>-915266</v>
      </c>
      <c r="H184" s="27">
        <f>H183*0.5</f>
        <v>933020.5</v>
      </c>
      <c r="I184" s="27">
        <f t="shared" ref="I184:J184" si="36">I183*0.5</f>
        <v>97000</v>
      </c>
      <c r="J184" s="27">
        <f t="shared" si="36"/>
        <v>114754.5</v>
      </c>
    </row>
    <row r="185" spans="1:11" x14ac:dyDescent="0.25">
      <c r="A185" s="12" t="s">
        <v>2</v>
      </c>
      <c r="E185" s="5"/>
      <c r="F185" s="27">
        <f>F183-F184</f>
        <v>2699264.5</v>
      </c>
      <c r="G185" s="27">
        <f>G183-G184</f>
        <v>-915266</v>
      </c>
      <c r="H185" s="27">
        <f>H183-H184</f>
        <v>933020.5</v>
      </c>
      <c r="I185" s="27">
        <f t="shared" ref="I185:J185" si="37">I183-I184</f>
        <v>97000</v>
      </c>
      <c r="J185" s="27">
        <f t="shared" si="37"/>
        <v>114754.5</v>
      </c>
    </row>
    <row r="186" spans="1:11" x14ac:dyDescent="0.25">
      <c r="A186" s="12"/>
      <c r="E186" s="5"/>
      <c r="H186" s="1"/>
    </row>
    <row r="187" spans="1:11" x14ac:dyDescent="0.25">
      <c r="A187" s="32" t="s">
        <v>39</v>
      </c>
      <c r="B187" s="10"/>
      <c r="C187" s="10"/>
      <c r="D187" s="10"/>
      <c r="E187" s="9"/>
      <c r="F187" s="33">
        <f>F185*8%</f>
        <v>215941.16</v>
      </c>
      <c r="G187" s="33">
        <f>G185*8%</f>
        <v>-73221.279999999999</v>
      </c>
      <c r="H187" s="33">
        <f>H185*8%</f>
        <v>74641.64</v>
      </c>
      <c r="I187" s="33">
        <f t="shared" ref="I187:J187" si="38">I185*8%</f>
        <v>7760</v>
      </c>
      <c r="J187" s="33">
        <f t="shared" si="38"/>
        <v>9180.36</v>
      </c>
    </row>
    <row r="188" spans="1:11" x14ac:dyDescent="0.25">
      <c r="A188" s="12"/>
      <c r="E188" s="5"/>
      <c r="F188" s="27"/>
      <c r="G188" s="27"/>
      <c r="H188" s="27"/>
      <c r="I188" s="27"/>
      <c r="J188" s="27"/>
    </row>
    <row r="189" spans="1:11" x14ac:dyDescent="0.25">
      <c r="A189" s="10" t="s">
        <v>27</v>
      </c>
      <c r="E189" s="5"/>
      <c r="H189" s="5"/>
    </row>
    <row r="190" spans="1:11" x14ac:dyDescent="0.25">
      <c r="E190" s="5"/>
      <c r="H190" s="5"/>
    </row>
    <row r="191" spans="1:11" x14ac:dyDescent="0.25">
      <c r="A191" s="10" t="s">
        <v>142</v>
      </c>
      <c r="E191" s="5"/>
      <c r="F191" s="5">
        <f>F165</f>
        <v>-5331047</v>
      </c>
      <c r="G191" s="5">
        <f>G165</f>
        <v>1807650</v>
      </c>
      <c r="H191" s="5">
        <f>H165</f>
        <v>-1842073</v>
      </c>
      <c r="I191" s="5">
        <f>I165</f>
        <v>-192000</v>
      </c>
      <c r="J191" s="5">
        <f>J165</f>
        <v>-5557470</v>
      </c>
    </row>
    <row r="192" spans="1:11" x14ac:dyDescent="0.25">
      <c r="A192" s="10"/>
      <c r="E192" s="5"/>
      <c r="F192" s="5"/>
      <c r="G192" s="5"/>
      <c r="H192" s="5"/>
      <c r="I192" s="5"/>
      <c r="J192" s="5"/>
    </row>
    <row r="193" spans="1:11" x14ac:dyDescent="0.25">
      <c r="A193" s="10" t="s">
        <v>29</v>
      </c>
      <c r="E193" s="5"/>
      <c r="H193" s="5"/>
    </row>
    <row r="194" spans="1:11" x14ac:dyDescent="0.25">
      <c r="A194" s="34" t="s">
        <v>30</v>
      </c>
      <c r="B194" s="17"/>
      <c r="C194" s="17"/>
      <c r="D194" s="17"/>
      <c r="E194" s="18"/>
      <c r="F194" s="18">
        <f>F187</f>
        <v>215941.16</v>
      </c>
      <c r="G194" s="18">
        <f>G187</f>
        <v>-73221.279999999999</v>
      </c>
      <c r="H194" s="18">
        <f>H187</f>
        <v>74641.64</v>
      </c>
      <c r="I194" s="18">
        <f>I187</f>
        <v>7760</v>
      </c>
      <c r="J194" s="18">
        <f>J187</f>
        <v>9180.36</v>
      </c>
    </row>
    <row r="195" spans="1:11" x14ac:dyDescent="0.25">
      <c r="A195" s="34" t="s">
        <v>31</v>
      </c>
      <c r="B195" s="17"/>
      <c r="C195" s="17"/>
      <c r="D195" s="17"/>
      <c r="E195" s="18"/>
      <c r="F195" s="6">
        <f>F163*-1</f>
        <v>-67482</v>
      </c>
      <c r="G195" s="6">
        <f>G163*-1</f>
        <v>22882</v>
      </c>
      <c r="H195" s="6">
        <f>H163*-1</f>
        <v>-23968</v>
      </c>
      <c r="I195" s="6">
        <f>I163*-1</f>
        <v>-2000</v>
      </c>
      <c r="J195" s="6">
        <f>J163*-1</f>
        <v>-70568</v>
      </c>
    </row>
    <row r="196" spans="1:11" x14ac:dyDescent="0.25">
      <c r="A196" s="34" t="s">
        <v>28</v>
      </c>
      <c r="B196" s="17"/>
      <c r="C196" s="17"/>
      <c r="D196" s="17"/>
      <c r="E196" s="18"/>
      <c r="F196" s="18">
        <f>SUM(F194:F195)</f>
        <v>148459.16</v>
      </c>
      <c r="G196" s="18">
        <f>SUM(G194:G195)</f>
        <v>-50339.28</v>
      </c>
      <c r="H196" s="18">
        <f>SUM(H194:H195)</f>
        <v>50673.64</v>
      </c>
      <c r="I196" s="18">
        <f t="shared" ref="I196:J196" si="39">SUM(I194:I195)</f>
        <v>5760</v>
      </c>
      <c r="J196" s="18">
        <f t="shared" si="39"/>
        <v>-61387.64</v>
      </c>
    </row>
    <row r="197" spans="1:11" x14ac:dyDescent="0.25">
      <c r="A197" s="7"/>
      <c r="E197" s="5"/>
      <c r="H197" s="5"/>
    </row>
    <row r="198" spans="1:11" x14ac:dyDescent="0.25">
      <c r="A198" s="10" t="s">
        <v>3</v>
      </c>
      <c r="E198" s="5"/>
      <c r="F198" s="5">
        <f>F191+F196</f>
        <v>-5182587.84</v>
      </c>
      <c r="G198" s="5">
        <f>G191+G196</f>
        <v>1757310.72</v>
      </c>
      <c r="H198" s="5">
        <f>H191+H196</f>
        <v>-1791399.36</v>
      </c>
      <c r="I198" s="5">
        <f t="shared" ref="I198:J198" si="40">I191+I196</f>
        <v>-186240</v>
      </c>
      <c r="J198" s="5">
        <f t="shared" si="40"/>
        <v>-5618857.6399999997</v>
      </c>
    </row>
    <row r="199" spans="1:11" x14ac:dyDescent="0.25">
      <c r="A199" s="10"/>
      <c r="E199" s="5"/>
      <c r="H199" s="5"/>
    </row>
    <row r="200" spans="1:11" x14ac:dyDescent="0.25">
      <c r="A200" s="10" t="s">
        <v>4</v>
      </c>
      <c r="E200" s="5"/>
      <c r="F200" s="2">
        <v>0.26500000000000001</v>
      </c>
      <c r="G200" s="2">
        <v>0.26500000000000001</v>
      </c>
      <c r="H200" s="2">
        <v>0.26500000000000001</v>
      </c>
      <c r="I200" s="2">
        <v>0.26500000000000001</v>
      </c>
      <c r="J200" s="2">
        <v>0.26500000000000001</v>
      </c>
    </row>
    <row r="201" spans="1:11" x14ac:dyDescent="0.25">
      <c r="A201" s="10"/>
      <c r="E201" s="5"/>
      <c r="H201" s="5"/>
    </row>
    <row r="202" spans="1:11" x14ac:dyDescent="0.25">
      <c r="A202" s="10" t="s">
        <v>25</v>
      </c>
      <c r="E202" s="5"/>
      <c r="F202" s="5">
        <f>F198*F200</f>
        <v>-1373385.7775999999</v>
      </c>
      <c r="G202" s="5">
        <f>G198*G200</f>
        <v>465687.34080000001</v>
      </c>
      <c r="H202" s="5">
        <f t="shared" ref="H202:I202" si="41">H198*H200</f>
        <v>-474720.83040000004</v>
      </c>
      <c r="I202" s="5">
        <f t="shared" si="41"/>
        <v>-49353.600000000006</v>
      </c>
      <c r="J202" s="5">
        <f t="shared" ref="J202" si="42">J198*J200</f>
        <v>-1488997.2745999999</v>
      </c>
    </row>
    <row r="203" spans="1:11" x14ac:dyDescent="0.25">
      <c r="A203" s="10"/>
      <c r="E203" s="5"/>
      <c r="G203" s="5"/>
      <c r="H203" s="5"/>
    </row>
    <row r="204" spans="1:11" x14ac:dyDescent="0.25">
      <c r="A204" s="10" t="s">
        <v>46</v>
      </c>
      <c r="E204" s="5"/>
      <c r="F204" s="27">
        <f>F202*-1</f>
        <v>1373385.7775999999</v>
      </c>
      <c r="G204" s="27">
        <f>G202*-1</f>
        <v>-465687.34080000001</v>
      </c>
      <c r="H204" s="27">
        <f t="shared" ref="H204:I204" si="43">H202*-1</f>
        <v>474720.83040000004</v>
      </c>
      <c r="I204" s="27">
        <f t="shared" si="43"/>
        <v>49353.600000000006</v>
      </c>
      <c r="J204" s="38">
        <f>J202*-1</f>
        <v>1488997.2745999999</v>
      </c>
      <c r="K204" s="11" t="s">
        <v>22</v>
      </c>
    </row>
    <row r="205" spans="1:11" ht="15.75" thickBot="1" x14ac:dyDescent="0.3">
      <c r="E205" s="5"/>
      <c r="G205" s="5"/>
      <c r="J205" s="5"/>
    </row>
    <row r="206" spans="1:11" ht="15.75" thickBot="1" x14ac:dyDescent="0.3">
      <c r="A206" s="23" t="s">
        <v>53</v>
      </c>
      <c r="B206" s="24"/>
      <c r="C206" s="24"/>
      <c r="D206" s="24"/>
      <c r="E206" s="25"/>
      <c r="F206" s="140">
        <f>F165+F179+F204</f>
        <v>-3998289.6300027203</v>
      </c>
      <c r="G206" s="140">
        <f>G165+G179+G204</f>
        <v>1365171.7303590402</v>
      </c>
      <c r="H206" s="140">
        <f>H165+H179+H204</f>
        <v>-1386981.50222924</v>
      </c>
      <c r="I206" s="140">
        <f>I165+I179+I204</f>
        <v>-144473.48639999999</v>
      </c>
      <c r="J206" s="36">
        <f>J165+J179+J204</f>
        <v>-4066720.0732701998</v>
      </c>
      <c r="K206" s="11" t="s">
        <v>23</v>
      </c>
    </row>
    <row r="207" spans="1:11" x14ac:dyDescent="0.25">
      <c r="E207" s="5"/>
      <c r="G207" s="5"/>
      <c r="H207" s="5"/>
    </row>
    <row r="208" spans="1:11" x14ac:dyDescent="0.25">
      <c r="A208" s="13" t="s">
        <v>5</v>
      </c>
      <c r="E208" s="5"/>
      <c r="F208" s="31" t="s">
        <v>35</v>
      </c>
      <c r="G208" s="31" t="s">
        <v>33</v>
      </c>
      <c r="H208" s="31" t="s">
        <v>34</v>
      </c>
      <c r="I208" s="31" t="s">
        <v>36</v>
      </c>
      <c r="J208" s="31" t="s">
        <v>37</v>
      </c>
    </row>
    <row r="209" spans="1:11" x14ac:dyDescent="0.25">
      <c r="E209" s="5"/>
      <c r="G209" s="5"/>
      <c r="H209" s="5"/>
    </row>
    <row r="210" spans="1:11" x14ac:dyDescent="0.25">
      <c r="A210" t="s">
        <v>6</v>
      </c>
      <c r="E210" s="5"/>
      <c r="G210" s="5"/>
      <c r="H210" s="5"/>
    </row>
    <row r="211" spans="1:11" x14ac:dyDescent="0.25">
      <c r="E211" s="5"/>
      <c r="G211" s="5"/>
      <c r="H211" s="5"/>
    </row>
    <row r="212" spans="1:11" x14ac:dyDescent="0.25">
      <c r="A212" t="s">
        <v>7</v>
      </c>
      <c r="F212" s="5">
        <f>F162</f>
        <v>-5398529</v>
      </c>
      <c r="G212" s="5">
        <f t="shared" ref="G212:J213" si="44">G162</f>
        <v>1830532</v>
      </c>
      <c r="H212" s="5">
        <f t="shared" si="44"/>
        <v>-1866041</v>
      </c>
      <c r="I212" s="5">
        <f t="shared" si="44"/>
        <v>-194000</v>
      </c>
      <c r="J212" s="5">
        <f t="shared" si="44"/>
        <v>-5628038</v>
      </c>
    </row>
    <row r="213" spans="1:11" x14ac:dyDescent="0.25">
      <c r="A213" t="s">
        <v>8</v>
      </c>
      <c r="F213" s="6">
        <f>F163</f>
        <v>67482</v>
      </c>
      <c r="G213" s="6">
        <f t="shared" si="44"/>
        <v>-22882</v>
      </c>
      <c r="H213" s="6">
        <f t="shared" si="44"/>
        <v>23968</v>
      </c>
      <c r="I213" s="6">
        <f t="shared" si="44"/>
        <v>2000</v>
      </c>
      <c r="J213" s="6">
        <f t="shared" si="44"/>
        <v>70568</v>
      </c>
    </row>
    <row r="214" spans="1:11" x14ac:dyDescent="0.25">
      <c r="G214" s="18"/>
      <c r="H214" s="5"/>
    </row>
    <row r="215" spans="1:11" x14ac:dyDescent="0.25">
      <c r="A215" t="s">
        <v>85</v>
      </c>
      <c r="F215" s="5">
        <f>SUM(F212:F213)</f>
        <v>-5331047</v>
      </c>
      <c r="G215" s="5">
        <f>SUM(G212:G213)</f>
        <v>1807650</v>
      </c>
      <c r="H215" s="5">
        <f t="shared" ref="H215:J215" si="45">SUM(H212:H213)</f>
        <v>-1842073</v>
      </c>
      <c r="I215" s="5">
        <f t="shared" si="45"/>
        <v>-192000</v>
      </c>
      <c r="J215" s="5">
        <f t="shared" si="45"/>
        <v>-5557470</v>
      </c>
    </row>
    <row r="216" spans="1:11" x14ac:dyDescent="0.25">
      <c r="G216" s="5"/>
      <c r="H216" s="5"/>
    </row>
    <row r="217" spans="1:11" x14ac:dyDescent="0.25">
      <c r="A217" t="s">
        <v>9</v>
      </c>
      <c r="E217" s="5"/>
      <c r="F217" s="27">
        <f>F215/2</f>
        <v>-2665523.5</v>
      </c>
      <c r="G217" s="27">
        <f>G215/2</f>
        <v>903825</v>
      </c>
      <c r="H217" s="27">
        <f t="shared" ref="H217:I217" si="46">H215/2</f>
        <v>-921036.5</v>
      </c>
      <c r="I217" s="27">
        <f t="shared" si="46"/>
        <v>-96000</v>
      </c>
      <c r="J217" s="35">
        <f>J215/2</f>
        <v>-2778735</v>
      </c>
      <c r="K217" s="11" t="s">
        <v>15</v>
      </c>
    </row>
    <row r="218" spans="1:11" x14ac:dyDescent="0.25">
      <c r="E218" s="5"/>
      <c r="F218" s="11"/>
      <c r="G218" s="5"/>
      <c r="H218" s="5"/>
    </row>
    <row r="219" spans="1:11" x14ac:dyDescent="0.25">
      <c r="A219" t="s">
        <v>10</v>
      </c>
      <c r="E219" s="5"/>
      <c r="F219" s="11"/>
      <c r="G219" s="5"/>
      <c r="H219" s="5"/>
    </row>
    <row r="220" spans="1:11" x14ac:dyDescent="0.25">
      <c r="E220" s="5"/>
      <c r="F220" s="11"/>
      <c r="G220" s="5"/>
      <c r="H220" s="5"/>
    </row>
    <row r="221" spans="1:11" x14ac:dyDescent="0.25">
      <c r="A221" t="s">
        <v>13</v>
      </c>
      <c r="E221" s="5"/>
      <c r="F221" s="11"/>
      <c r="G221" s="5"/>
      <c r="H221" s="5"/>
    </row>
    <row r="222" spans="1:11" x14ac:dyDescent="0.25">
      <c r="A222" s="7" t="s">
        <v>11</v>
      </c>
      <c r="E222" s="5"/>
      <c r="F222" s="5">
        <f>F212*-1</f>
        <v>5398529</v>
      </c>
      <c r="G222" s="5">
        <f>G212*-1</f>
        <v>-1830532</v>
      </c>
      <c r="H222" s="5">
        <f t="shared" ref="H222:J222" si="47">H212*-1</f>
        <v>1866041</v>
      </c>
      <c r="I222" s="5">
        <f t="shared" si="47"/>
        <v>194000</v>
      </c>
      <c r="J222" s="5">
        <f t="shared" si="47"/>
        <v>5628038</v>
      </c>
    </row>
    <row r="223" spans="1:11" x14ac:dyDescent="0.25">
      <c r="A223" s="7" t="s">
        <v>12</v>
      </c>
      <c r="E223" s="5"/>
      <c r="F223" s="1">
        <v>0.12</v>
      </c>
      <c r="G223" s="1">
        <v>0.13</v>
      </c>
      <c r="H223" s="2">
        <v>0.13500000000000001</v>
      </c>
      <c r="I223" s="2">
        <v>7.4999999999999997E-2</v>
      </c>
    </row>
    <row r="224" spans="1:11" x14ac:dyDescent="0.25">
      <c r="A224" s="7" t="s">
        <v>14</v>
      </c>
      <c r="E224" s="5"/>
      <c r="F224" s="5">
        <f>F222*F223</f>
        <v>647823.48</v>
      </c>
      <c r="G224" s="5">
        <f>G222*G223</f>
        <v>-237969.16</v>
      </c>
      <c r="H224" s="5">
        <f t="shared" ref="H224:I224" si="48">H222*H223</f>
        <v>251915.535</v>
      </c>
      <c r="I224" s="5">
        <f t="shared" si="48"/>
        <v>14550</v>
      </c>
      <c r="J224" s="35">
        <f>SUM(G224:I224)</f>
        <v>28496.375</v>
      </c>
      <c r="K224" s="11" t="s">
        <v>16</v>
      </c>
    </row>
    <row r="225" spans="1:11" x14ac:dyDescent="0.25">
      <c r="E225" s="5"/>
      <c r="G225" s="5"/>
      <c r="H225" s="5"/>
    </row>
    <row r="226" spans="1:11" x14ac:dyDescent="0.25">
      <c r="A226" s="3" t="s">
        <v>83</v>
      </c>
      <c r="E226" s="5"/>
      <c r="F226" s="88">
        <f>F217+F224</f>
        <v>-2017700.02</v>
      </c>
      <c r="G226" s="88">
        <f>G217+G224</f>
        <v>665855.84</v>
      </c>
      <c r="H226" s="88">
        <f t="shared" ref="H226:I226" si="49">H217+H224</f>
        <v>-669120.96499999997</v>
      </c>
      <c r="I226" s="88">
        <f t="shared" si="49"/>
        <v>-81450</v>
      </c>
      <c r="J226" s="141">
        <f>J217+J224</f>
        <v>-2750238.625</v>
      </c>
      <c r="K226" s="11" t="s">
        <v>17</v>
      </c>
    </row>
    <row r="227" spans="1:11" ht="15.75" thickBot="1" x14ac:dyDescent="0.3">
      <c r="E227" s="5"/>
      <c r="G227" s="5"/>
      <c r="H227" s="5"/>
    </row>
    <row r="228" spans="1:11" ht="15.75" thickBot="1" x14ac:dyDescent="0.3">
      <c r="A228" s="23" t="s">
        <v>84</v>
      </c>
      <c r="B228" s="24"/>
      <c r="C228" s="24"/>
      <c r="D228" s="24"/>
      <c r="E228" s="25"/>
      <c r="F228" s="140">
        <f>F226*0.4</f>
        <v>-807080.00800000003</v>
      </c>
      <c r="G228" s="140">
        <f>G226*0.4</f>
        <v>266342.33600000001</v>
      </c>
      <c r="H228" s="140">
        <f t="shared" ref="H228:I228" si="50">H226*0.4</f>
        <v>-267648.386</v>
      </c>
      <c r="I228" s="140">
        <f t="shared" si="50"/>
        <v>-32580</v>
      </c>
      <c r="J228" s="37">
        <f>J226*0.4</f>
        <v>-1100095.45</v>
      </c>
      <c r="K228" s="21" t="s">
        <v>18</v>
      </c>
    </row>
    <row r="229" spans="1:11" x14ac:dyDescent="0.25">
      <c r="E229" s="5"/>
      <c r="G229" s="5"/>
      <c r="H229" s="5"/>
    </row>
    <row r="230" spans="1:11" ht="17.25" x14ac:dyDescent="0.25">
      <c r="A230" s="39" t="s">
        <v>38</v>
      </c>
      <c r="B230" s="40"/>
      <c r="C230" s="40"/>
      <c r="D230" s="40"/>
      <c r="E230" s="40"/>
      <c r="F230" s="52" t="s">
        <v>139</v>
      </c>
      <c r="G230" s="52" t="s">
        <v>140</v>
      </c>
      <c r="H230" s="52" t="s">
        <v>141</v>
      </c>
      <c r="I230" s="53" t="s">
        <v>64</v>
      </c>
    </row>
    <row r="231" spans="1:11" x14ac:dyDescent="0.25">
      <c r="A231" s="41"/>
      <c r="B231" s="17"/>
      <c r="C231" s="17"/>
      <c r="D231" s="17"/>
      <c r="E231" s="17"/>
      <c r="F231" s="42"/>
      <c r="G231" s="42"/>
      <c r="H231" s="42"/>
      <c r="I231" s="43"/>
    </row>
    <row r="232" spans="1:11" x14ac:dyDescent="0.25">
      <c r="A232" s="41" t="s">
        <v>60</v>
      </c>
      <c r="B232" s="17"/>
      <c r="C232" s="17"/>
      <c r="D232" s="17"/>
      <c r="E232" s="17"/>
      <c r="F232" s="44">
        <v>1.7600000000000001E-2</v>
      </c>
      <c r="G232" s="44">
        <v>2.1600000000000001E-2</v>
      </c>
      <c r="H232" s="44">
        <v>2.0799999999999999E-2</v>
      </c>
      <c r="I232" s="45">
        <v>1.7600000000000001E-2</v>
      </c>
    </row>
    <row r="233" spans="1:11" x14ac:dyDescent="0.25">
      <c r="A233" s="41" t="s">
        <v>59</v>
      </c>
      <c r="B233" s="17"/>
      <c r="C233" s="17"/>
      <c r="D233" s="17"/>
      <c r="E233" s="17"/>
      <c r="F233" s="44">
        <v>3.4700000000000002E-2</v>
      </c>
      <c r="G233" s="44">
        <v>6.0699999999999997E-2</v>
      </c>
      <c r="H233" s="44">
        <v>5.0900000000000001E-2</v>
      </c>
      <c r="I233" s="45">
        <v>3.8800000000000001E-2</v>
      </c>
    </row>
    <row r="234" spans="1:11" x14ac:dyDescent="0.25">
      <c r="A234" s="46" t="s">
        <v>61</v>
      </c>
      <c r="B234" s="8"/>
      <c r="C234" s="8"/>
      <c r="D234" s="8"/>
      <c r="E234" s="8"/>
      <c r="F234" s="47">
        <v>0.12</v>
      </c>
      <c r="G234" s="47">
        <v>0.13</v>
      </c>
      <c r="H234" s="47">
        <v>0.13500000000000001</v>
      </c>
      <c r="I234" s="48">
        <v>7.4999999999999997E-2</v>
      </c>
    </row>
    <row r="236" spans="1:11" x14ac:dyDescent="0.25">
      <c r="A236" t="s">
        <v>54</v>
      </c>
      <c r="C236">
        <v>3</v>
      </c>
      <c r="D236" t="s">
        <v>62</v>
      </c>
    </row>
    <row r="237" spans="1:11" x14ac:dyDescent="0.25">
      <c r="C237">
        <v>1</v>
      </c>
      <c r="D237" t="s">
        <v>55</v>
      </c>
    </row>
    <row r="238" spans="1:11" x14ac:dyDescent="0.25">
      <c r="C238">
        <v>2</v>
      </c>
      <c r="D238" t="s">
        <v>58</v>
      </c>
    </row>
    <row r="239" spans="1:11" x14ac:dyDescent="0.25">
      <c r="C239">
        <v>4</v>
      </c>
      <c r="D239" t="s">
        <v>63</v>
      </c>
    </row>
  </sheetData>
  <mergeCells count="5">
    <mergeCell ref="F21:J21"/>
    <mergeCell ref="F84:J84"/>
    <mergeCell ref="F95:J95"/>
    <mergeCell ref="F4:J4"/>
    <mergeCell ref="F13:J13"/>
  </mergeCells>
  <printOptions headings="1"/>
  <pageMargins left="0.7" right="0.7" top="0.75" bottom="0.75" header="0.3" footer="0.3"/>
  <pageSetup scale="78" fitToHeight="0" orientation="landscape" horizontalDpi="1200" verticalDpi="1200" r:id="rId1"/>
  <headerFooter>
    <oddFooter>&amp;RPage &amp;P</oddFooter>
  </headerFooter>
  <rowBreaks count="7" manualBreakCount="7">
    <brk id="26" max="16383" man="1"/>
    <brk id="54" max="16383" man="1"/>
    <brk id="80" max="16383" man="1"/>
    <brk id="120" max="16383" man="1"/>
    <brk id="155" max="16383" man="1"/>
    <brk id="180" max="16383" man="1"/>
    <brk id="206" max="16383" man="1"/>
  </rowBreaks>
  <ignoredErrors>
    <ignoredError sqref="H196:H19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Adjusted Regl. Earnings and ROE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Share</dc:creator>
  <cp:lastModifiedBy>Alex Share</cp:lastModifiedBy>
  <cp:lastPrinted>2018-12-03T20:20:40Z</cp:lastPrinted>
  <dcterms:created xsi:type="dcterms:W3CDTF">2018-10-11T16:28:01Z</dcterms:created>
  <dcterms:modified xsi:type="dcterms:W3CDTF">2018-12-03T20:24:25Z</dcterms:modified>
</cp:coreProperties>
</file>