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7B" lockStructure="1"/>
  <bookViews>
    <workbookView xWindow="480" yWindow="315" windowWidth="18195" windowHeight="6735" tabRatio="774"/>
  </bookViews>
  <sheets>
    <sheet name="Off-line Incremental Rev Rqur" sheetId="1" r:id="rId1"/>
    <sheet name="Rate Riders" sheetId="2" r:id="rId2"/>
    <sheet name="Summary of Bill Impacts" sheetId="7" r:id="rId3"/>
    <sheet name="Bill Impacts - IRM only" sheetId="4" r:id="rId4"/>
    <sheet name="Bill Impacts - ICM only" sheetId="5" r:id="rId5"/>
    <sheet name="Bill Impacts - GARR only" sheetId="10" r:id="rId6"/>
    <sheet name="Bill Impacts - IRM &amp; ICM" sheetId="6" r:id="rId7"/>
    <sheet name="Bill Impacts - IRM no GA" sheetId="8" r:id="rId8"/>
  </sheets>
  <externalReferences>
    <externalReference r:id="rId9"/>
  </externalReferences>
  <definedNames>
    <definedName name="MidPeak">'[1]17. Regulatory Charges'!$D$24</definedName>
    <definedName name="OffPeak">'[1]17. Regulatory Charges'!$D$23</definedName>
    <definedName name="OnPeak">'[1]17. Regulatory Charges'!$D$25</definedName>
    <definedName name="SME">'[1]17. Regulatory Charges'!$D$33</definedName>
  </definedNames>
  <calcPr calcId="145621"/>
</workbook>
</file>

<file path=xl/calcChain.xml><?xml version="1.0" encoding="utf-8"?>
<calcChain xmlns="http://schemas.openxmlformats.org/spreadsheetml/2006/main">
  <c r="J26" i="2" l="1"/>
  <c r="K26" i="2"/>
  <c r="I26" i="2"/>
  <c r="I17" i="2" s="1"/>
  <c r="F8" i="2" s="1"/>
  <c r="G37" i="7" l="1"/>
  <c r="G36" i="7"/>
  <c r="G35" i="7"/>
  <c r="G34" i="7"/>
  <c r="G33" i="7"/>
  <c r="G32" i="7"/>
  <c r="G31" i="7"/>
  <c r="K1038" i="10"/>
  <c r="K1037" i="10"/>
  <c r="K1036" i="10"/>
  <c r="K1035" i="10"/>
  <c r="K1034" i="10"/>
  <c r="K1033" i="10"/>
  <c r="K1032" i="10"/>
  <c r="K1030" i="10"/>
  <c r="K1029" i="10"/>
  <c r="K1027" i="10"/>
  <c r="K1026" i="10"/>
  <c r="L1026" i="10" s="1"/>
  <c r="M1026" i="10" s="1"/>
  <c r="K1025" i="10"/>
  <c r="K1024" i="10"/>
  <c r="K1022" i="10"/>
  <c r="K1021" i="10"/>
  <c r="K1020" i="10"/>
  <c r="K1018" i="10"/>
  <c r="K1017" i="10"/>
  <c r="K1016" i="10"/>
  <c r="L1016" i="10" s="1"/>
  <c r="M1016" i="10" s="1"/>
  <c r="K1015" i="10"/>
  <c r="K1014" i="10"/>
  <c r="K1013" i="10"/>
  <c r="K984" i="10"/>
  <c r="K983" i="10"/>
  <c r="K982" i="10"/>
  <c r="K981" i="10"/>
  <c r="K980" i="10"/>
  <c r="K979" i="10"/>
  <c r="K978" i="10"/>
  <c r="K977" i="10"/>
  <c r="K976" i="10"/>
  <c r="K974" i="10"/>
  <c r="K973" i="10"/>
  <c r="K971" i="10"/>
  <c r="K970" i="10"/>
  <c r="K969" i="10"/>
  <c r="K968" i="10"/>
  <c r="K966" i="10"/>
  <c r="K965" i="10"/>
  <c r="K964" i="10"/>
  <c r="K962" i="10"/>
  <c r="K961" i="10"/>
  <c r="L961" i="10" s="1"/>
  <c r="M961" i="10" s="1"/>
  <c r="K960" i="10"/>
  <c r="K959" i="10"/>
  <c r="K958" i="10"/>
  <c r="K957" i="10"/>
  <c r="K928" i="10"/>
  <c r="K927" i="10"/>
  <c r="K926" i="10"/>
  <c r="K925" i="10"/>
  <c r="K924" i="10"/>
  <c r="K923" i="10"/>
  <c r="K922" i="10"/>
  <c r="K921" i="10"/>
  <c r="K920" i="10"/>
  <c r="K918" i="10"/>
  <c r="K917" i="10"/>
  <c r="K915" i="10"/>
  <c r="K914" i="10"/>
  <c r="K913" i="10"/>
  <c r="K912" i="10"/>
  <c r="K910" i="10"/>
  <c r="K909" i="10"/>
  <c r="K908" i="10"/>
  <c r="K906" i="10"/>
  <c r="K905" i="10"/>
  <c r="K904" i="10"/>
  <c r="K903" i="10"/>
  <c r="K902" i="10"/>
  <c r="K901" i="10"/>
  <c r="K872" i="10"/>
  <c r="K871" i="10"/>
  <c r="K870" i="10"/>
  <c r="K869" i="10"/>
  <c r="K868" i="10"/>
  <c r="K867" i="10"/>
  <c r="K866" i="10"/>
  <c r="K865" i="10"/>
  <c r="K864" i="10"/>
  <c r="K862" i="10"/>
  <c r="K861" i="10"/>
  <c r="K859" i="10"/>
  <c r="K858" i="10"/>
  <c r="K857" i="10"/>
  <c r="K856" i="10"/>
  <c r="K854" i="10"/>
  <c r="K853" i="10"/>
  <c r="K852" i="10"/>
  <c r="K850" i="10"/>
  <c r="K849" i="10"/>
  <c r="L849" i="10" s="1"/>
  <c r="M849" i="10" s="1"/>
  <c r="K848" i="10"/>
  <c r="K847" i="10"/>
  <c r="K846" i="10"/>
  <c r="K845" i="10"/>
  <c r="K816" i="10"/>
  <c r="K815" i="10"/>
  <c r="K814" i="10"/>
  <c r="K813" i="10"/>
  <c r="K812" i="10"/>
  <c r="K811" i="10"/>
  <c r="K810" i="10"/>
  <c r="K809" i="10"/>
  <c r="K808" i="10"/>
  <c r="K806" i="10"/>
  <c r="K805" i="10"/>
  <c r="K803" i="10"/>
  <c r="K802" i="10"/>
  <c r="K801" i="10"/>
  <c r="K800" i="10"/>
  <c r="K798" i="10"/>
  <c r="K797" i="10"/>
  <c r="K796" i="10"/>
  <c r="K794" i="10"/>
  <c r="K793" i="10"/>
  <c r="K792" i="10"/>
  <c r="K791" i="10"/>
  <c r="K790" i="10"/>
  <c r="K789" i="10"/>
  <c r="K758" i="10"/>
  <c r="K757" i="10"/>
  <c r="K756" i="10"/>
  <c r="K755" i="10"/>
  <c r="K754" i="10"/>
  <c r="K753" i="10"/>
  <c r="K752" i="10"/>
  <c r="K750" i="10"/>
  <c r="K749" i="10"/>
  <c r="K747" i="10"/>
  <c r="K746" i="10"/>
  <c r="L746" i="10" s="1"/>
  <c r="M746" i="10" s="1"/>
  <c r="K745" i="10"/>
  <c r="K744" i="10"/>
  <c r="K743" i="10"/>
  <c r="K742" i="10"/>
  <c r="K741" i="10"/>
  <c r="K740" i="10"/>
  <c r="K738" i="10"/>
  <c r="K737" i="10"/>
  <c r="K736" i="10"/>
  <c r="K735" i="10"/>
  <c r="K734" i="10"/>
  <c r="K733" i="10"/>
  <c r="K702" i="10"/>
  <c r="K701" i="10"/>
  <c r="K700" i="10"/>
  <c r="K699" i="10"/>
  <c r="K698" i="10"/>
  <c r="K697" i="10"/>
  <c r="K696" i="10"/>
  <c r="K694" i="10"/>
  <c r="K693" i="10"/>
  <c r="K691" i="10"/>
  <c r="K690" i="10"/>
  <c r="K689" i="10"/>
  <c r="K688" i="10"/>
  <c r="K687" i="10"/>
  <c r="K686" i="10"/>
  <c r="K685" i="10"/>
  <c r="K684" i="10"/>
  <c r="K682" i="10"/>
  <c r="K681" i="10"/>
  <c r="K680" i="10"/>
  <c r="L680" i="10" s="1"/>
  <c r="M680" i="10" s="1"/>
  <c r="K679" i="10"/>
  <c r="K678" i="10"/>
  <c r="K677" i="10"/>
  <c r="K646" i="10"/>
  <c r="K645" i="10"/>
  <c r="K644" i="10"/>
  <c r="K643" i="10"/>
  <c r="K642" i="10"/>
  <c r="K641" i="10"/>
  <c r="K640" i="10"/>
  <c r="K638" i="10"/>
  <c r="K637" i="10"/>
  <c r="K635" i="10"/>
  <c r="K634" i="10"/>
  <c r="K633" i="10"/>
  <c r="K632" i="10"/>
  <c r="K631" i="10"/>
  <c r="K630" i="10"/>
  <c r="K629" i="10"/>
  <c r="K628" i="10"/>
  <c r="K626" i="10"/>
  <c r="K625" i="10"/>
  <c r="K624" i="10"/>
  <c r="K623" i="10"/>
  <c r="K622" i="10"/>
  <c r="K621" i="10"/>
  <c r="K590" i="10"/>
  <c r="K589" i="10"/>
  <c r="K588" i="10"/>
  <c r="K587" i="10"/>
  <c r="K586" i="10"/>
  <c r="K585" i="10"/>
  <c r="K584" i="10"/>
  <c r="K582" i="10"/>
  <c r="K581" i="10"/>
  <c r="K579" i="10"/>
  <c r="K578" i="10"/>
  <c r="L578" i="10" s="1"/>
  <c r="M578" i="10" s="1"/>
  <c r="K577" i="10"/>
  <c r="K576" i="10"/>
  <c r="K575" i="10"/>
  <c r="K574" i="10"/>
  <c r="K573" i="10"/>
  <c r="K572" i="10"/>
  <c r="K570" i="10"/>
  <c r="K569" i="10"/>
  <c r="L569" i="10" s="1"/>
  <c r="M569" i="10" s="1"/>
  <c r="K568" i="10"/>
  <c r="L568" i="10" s="1"/>
  <c r="M568" i="10" s="1"/>
  <c r="K567" i="10"/>
  <c r="K566" i="10"/>
  <c r="K565" i="10"/>
  <c r="K534" i="10"/>
  <c r="K533" i="10"/>
  <c r="K532" i="10"/>
  <c r="K531" i="10"/>
  <c r="K530" i="10"/>
  <c r="K529" i="10"/>
  <c r="K528" i="10"/>
  <c r="K526" i="10"/>
  <c r="K525" i="10"/>
  <c r="K523" i="10"/>
  <c r="K522" i="10"/>
  <c r="L522" i="10" s="1"/>
  <c r="M522" i="10" s="1"/>
  <c r="K521" i="10"/>
  <c r="K520" i="10"/>
  <c r="K519" i="10"/>
  <c r="K518" i="10"/>
  <c r="K517" i="10"/>
  <c r="K516" i="10"/>
  <c r="K514" i="10"/>
  <c r="K513" i="10"/>
  <c r="K512" i="10"/>
  <c r="L512" i="10" s="1"/>
  <c r="M512" i="10" s="1"/>
  <c r="K511" i="10"/>
  <c r="K510" i="10"/>
  <c r="K509" i="10"/>
  <c r="K470" i="10"/>
  <c r="K469" i="10"/>
  <c r="K462" i="10"/>
  <c r="K461" i="10"/>
  <c r="K454" i="10"/>
  <c r="K453" i="10"/>
  <c r="K414" i="10"/>
  <c r="K413" i="10"/>
  <c r="K408" i="10"/>
  <c r="K406" i="10"/>
  <c r="K405" i="10"/>
  <c r="K398" i="10"/>
  <c r="K397" i="10"/>
  <c r="K358" i="10"/>
  <c r="K357" i="10"/>
  <c r="K350" i="10"/>
  <c r="K349" i="10"/>
  <c r="K348" i="10"/>
  <c r="K342" i="10"/>
  <c r="K341" i="10"/>
  <c r="K302" i="10"/>
  <c r="K301" i="10"/>
  <c r="K294" i="10"/>
  <c r="K296" i="10"/>
  <c r="K293" i="10"/>
  <c r="K286" i="10"/>
  <c r="K285" i="10"/>
  <c r="K246" i="10"/>
  <c r="K245" i="10"/>
  <c r="K239" i="10"/>
  <c r="K238" i="10"/>
  <c r="K237" i="10"/>
  <c r="K230" i="10"/>
  <c r="K229" i="10"/>
  <c r="K190" i="10"/>
  <c r="K189" i="10"/>
  <c r="K183" i="10"/>
  <c r="K182" i="10"/>
  <c r="K181" i="10"/>
  <c r="K174" i="10"/>
  <c r="K173" i="10"/>
  <c r="K134" i="10"/>
  <c r="K133" i="10"/>
  <c r="K126" i="10"/>
  <c r="K125" i="10"/>
  <c r="K118" i="10"/>
  <c r="K117" i="10"/>
  <c r="K78" i="10"/>
  <c r="K77" i="10"/>
  <c r="K70" i="10"/>
  <c r="K69" i="10"/>
  <c r="K62" i="10"/>
  <c r="K61" i="10"/>
  <c r="C1045" i="10"/>
  <c r="L1044" i="10"/>
  <c r="I1040" i="10"/>
  <c r="I1039" i="10"/>
  <c r="I1038" i="10"/>
  <c r="F1038" i="10"/>
  <c r="I1037" i="10"/>
  <c r="F1037" i="10"/>
  <c r="I1036" i="10"/>
  <c r="G1036" i="10"/>
  <c r="H1036" i="10" s="1"/>
  <c r="F1036" i="10"/>
  <c r="I1034" i="10"/>
  <c r="H1034" i="10"/>
  <c r="G1033" i="10"/>
  <c r="H1033" i="10" s="1"/>
  <c r="F1033" i="10"/>
  <c r="G1032" i="10"/>
  <c r="H1032" i="10" s="1"/>
  <c r="C1031" i="10"/>
  <c r="G1030" i="10"/>
  <c r="H1030" i="10" s="1"/>
  <c r="G1029" i="10"/>
  <c r="H1029" i="10" s="1"/>
  <c r="C1028" i="10"/>
  <c r="G1027" i="10"/>
  <c r="H1027" i="10" s="1"/>
  <c r="H1026" i="10"/>
  <c r="H1025" i="10"/>
  <c r="L1025" i="10" s="1"/>
  <c r="M1025" i="10" s="1"/>
  <c r="F1025" i="10"/>
  <c r="G1024" i="10"/>
  <c r="H1024" i="10" s="1"/>
  <c r="J1023" i="10"/>
  <c r="K1023" i="10" s="1"/>
  <c r="J1022" i="10"/>
  <c r="G1021" i="10"/>
  <c r="H1021" i="10" s="1"/>
  <c r="C1019" i="10"/>
  <c r="J1018" i="10"/>
  <c r="J1017" i="10"/>
  <c r="L1017" i="10" s="1"/>
  <c r="M1017" i="10" s="1"/>
  <c r="H1017" i="10"/>
  <c r="J1016" i="10"/>
  <c r="J1015" i="10"/>
  <c r="G1015" i="10"/>
  <c r="G1014" i="10"/>
  <c r="H1014" i="10" s="1"/>
  <c r="J1013" i="10"/>
  <c r="H1013" i="10"/>
  <c r="E1007" i="10"/>
  <c r="G1037" i="10" s="1"/>
  <c r="H1037" i="10" s="1"/>
  <c r="E1006" i="10"/>
  <c r="J1030" i="10" s="1"/>
  <c r="E1005" i="10"/>
  <c r="G1040" i="10" s="1"/>
  <c r="H1040" i="10" s="1"/>
  <c r="E1004" i="10"/>
  <c r="K1003" i="10"/>
  <c r="E1003" i="10"/>
  <c r="I1025" i="10" s="1"/>
  <c r="C999" i="10"/>
  <c r="L988" i="10"/>
  <c r="I984" i="10"/>
  <c r="I983" i="10"/>
  <c r="I982" i="10"/>
  <c r="F982" i="10"/>
  <c r="I981" i="10"/>
  <c r="F981" i="10"/>
  <c r="I980" i="10"/>
  <c r="F980" i="10"/>
  <c r="M978" i="10"/>
  <c r="I978" i="10"/>
  <c r="L978" i="10" s="1"/>
  <c r="H978" i="10"/>
  <c r="F977" i="10"/>
  <c r="C975" i="10"/>
  <c r="M974" i="10"/>
  <c r="J974" i="10"/>
  <c r="L974" i="10" s="1"/>
  <c r="H974" i="10"/>
  <c r="G974" i="10"/>
  <c r="M973" i="10"/>
  <c r="L973" i="10"/>
  <c r="H973" i="10"/>
  <c r="G973" i="10"/>
  <c r="C972" i="10"/>
  <c r="J971" i="10"/>
  <c r="H971" i="10"/>
  <c r="G971" i="10"/>
  <c r="L970" i="10"/>
  <c r="M970" i="10" s="1"/>
  <c r="H970" i="10"/>
  <c r="I969" i="10"/>
  <c r="L969" i="10" s="1"/>
  <c r="M969" i="10" s="1"/>
  <c r="H969" i="10"/>
  <c r="F969" i="10"/>
  <c r="G968" i="10"/>
  <c r="H968" i="10" s="1"/>
  <c r="J967" i="10"/>
  <c r="K967" i="10" s="1"/>
  <c r="L967" i="10" s="1"/>
  <c r="M967" i="10" s="1"/>
  <c r="G967" i="10"/>
  <c r="H967" i="10" s="1"/>
  <c r="J966" i="10"/>
  <c r="J965" i="10"/>
  <c r="H965" i="10"/>
  <c r="L965" i="10" s="1"/>
  <c r="M965" i="10" s="1"/>
  <c r="G965" i="10"/>
  <c r="I964" i="10"/>
  <c r="J964" i="10" s="1"/>
  <c r="C963" i="10"/>
  <c r="J962" i="10"/>
  <c r="L962" i="10" s="1"/>
  <c r="M962" i="10" s="1"/>
  <c r="G962" i="10"/>
  <c r="H962" i="10" s="1"/>
  <c r="J961" i="10"/>
  <c r="H961" i="10"/>
  <c r="L960" i="10"/>
  <c r="M960" i="10" s="1"/>
  <c r="J960" i="10"/>
  <c r="J959" i="10"/>
  <c r="G959" i="10"/>
  <c r="H958" i="10"/>
  <c r="G958" i="10"/>
  <c r="A958" i="10"/>
  <c r="A959" i="10" s="1"/>
  <c r="A960" i="10" s="1"/>
  <c r="A961" i="10" s="1"/>
  <c r="A962" i="10" s="1"/>
  <c r="A963" i="10" s="1"/>
  <c r="A964" i="10" s="1"/>
  <c r="A965" i="10" s="1"/>
  <c r="A966" i="10" s="1"/>
  <c r="A967" i="10" s="1"/>
  <c r="A968" i="10" s="1"/>
  <c r="A969" i="10" s="1"/>
  <c r="A970" i="10" s="1"/>
  <c r="A971" i="10" s="1"/>
  <c r="A972" i="10" s="1"/>
  <c r="A973" i="10" s="1"/>
  <c r="A974" i="10" s="1"/>
  <c r="A975" i="10" s="1"/>
  <c r="A976" i="10" s="1"/>
  <c r="A977" i="10" s="1"/>
  <c r="A978" i="10" s="1"/>
  <c r="A979" i="10" s="1"/>
  <c r="A980" i="10" s="1"/>
  <c r="A981" i="10" s="1"/>
  <c r="A982" i="10" s="1"/>
  <c r="A983" i="10" s="1"/>
  <c r="A984" i="10" s="1"/>
  <c r="A985" i="10" s="1"/>
  <c r="A986" i="10" s="1"/>
  <c r="A987" i="10" s="1"/>
  <c r="A988" i="10" s="1"/>
  <c r="A989" i="10" s="1"/>
  <c r="A990" i="10" s="1"/>
  <c r="A991" i="10" s="1"/>
  <c r="A992" i="10" s="1"/>
  <c r="A993" i="10" s="1"/>
  <c r="A994" i="10" s="1"/>
  <c r="A995" i="10" s="1"/>
  <c r="A996" i="10" s="1"/>
  <c r="A997" i="10" s="1"/>
  <c r="A998" i="10" s="1"/>
  <c r="A999" i="10" s="1"/>
  <c r="A1000" i="10" s="1"/>
  <c r="J957" i="10"/>
  <c r="H957" i="10"/>
  <c r="A957" i="10"/>
  <c r="E951" i="10"/>
  <c r="E950" i="10"/>
  <c r="J973" i="10" s="1"/>
  <c r="E949" i="10"/>
  <c r="E948" i="10"/>
  <c r="K947" i="10"/>
  <c r="E947" i="10"/>
  <c r="C943" i="10"/>
  <c r="L932" i="10"/>
  <c r="I928" i="10"/>
  <c r="G928" i="10"/>
  <c r="H928" i="10" s="1"/>
  <c r="I927" i="10"/>
  <c r="I926" i="10"/>
  <c r="G926" i="10"/>
  <c r="H926" i="10" s="1"/>
  <c r="F926" i="10"/>
  <c r="I925" i="10"/>
  <c r="G925" i="10"/>
  <c r="H925" i="10" s="1"/>
  <c r="F925" i="10"/>
  <c r="I924" i="10"/>
  <c r="G924" i="10"/>
  <c r="H924" i="10" s="1"/>
  <c r="F924" i="10"/>
  <c r="L922" i="10"/>
  <c r="M922" i="10" s="1"/>
  <c r="I922" i="10"/>
  <c r="H922" i="10"/>
  <c r="F921" i="10"/>
  <c r="C919" i="10"/>
  <c r="J917" i="10"/>
  <c r="C916" i="10"/>
  <c r="L914" i="10"/>
  <c r="M914" i="10" s="1"/>
  <c r="H914" i="10"/>
  <c r="J911" i="10"/>
  <c r="K911" i="10" s="1"/>
  <c r="G908" i="10"/>
  <c r="H908" i="10" s="1"/>
  <c r="F908" i="10"/>
  <c r="C907" i="10"/>
  <c r="J905" i="10"/>
  <c r="H905" i="10"/>
  <c r="L905" i="10" s="1"/>
  <c r="M905" i="10" s="1"/>
  <c r="M904" i="10"/>
  <c r="L904" i="10"/>
  <c r="J901" i="10"/>
  <c r="H901" i="10"/>
  <c r="E895" i="10"/>
  <c r="E894" i="10"/>
  <c r="J904" i="10" s="1"/>
  <c r="E893" i="10"/>
  <c r="E892" i="10"/>
  <c r="K891" i="10"/>
  <c r="E891" i="10"/>
  <c r="C887" i="10"/>
  <c r="L876" i="10"/>
  <c r="I872" i="10"/>
  <c r="I871" i="10"/>
  <c r="I870" i="10"/>
  <c r="F870" i="10"/>
  <c r="I869" i="10"/>
  <c r="F869" i="10"/>
  <c r="I868" i="10"/>
  <c r="F868" i="10"/>
  <c r="I866" i="10"/>
  <c r="H866" i="10"/>
  <c r="L866" i="10" s="1"/>
  <c r="M866" i="10" s="1"/>
  <c r="F865" i="10"/>
  <c r="C863" i="10"/>
  <c r="C860" i="10"/>
  <c r="H858" i="10"/>
  <c r="G854" i="10"/>
  <c r="H854" i="10" s="1"/>
  <c r="C851" i="10"/>
  <c r="J850" i="10"/>
  <c r="J849" i="10"/>
  <c r="H849" i="10"/>
  <c r="L848" i="10"/>
  <c r="M848" i="10" s="1"/>
  <c r="A848" i="10"/>
  <c r="A849" i="10" s="1"/>
  <c r="A850" i="10" s="1"/>
  <c r="A851" i="10" s="1"/>
  <c r="A852" i="10" s="1"/>
  <c r="A853" i="10" s="1"/>
  <c r="A854" i="10" s="1"/>
  <c r="A855" i="10" s="1"/>
  <c r="A856" i="10" s="1"/>
  <c r="A857" i="10" s="1"/>
  <c r="A858" i="10" s="1"/>
  <c r="A859" i="10" s="1"/>
  <c r="A860" i="10" s="1"/>
  <c r="A861" i="10" s="1"/>
  <c r="A862" i="10" s="1"/>
  <c r="A863" i="10" s="1"/>
  <c r="A864" i="10" s="1"/>
  <c r="A865" i="10" s="1"/>
  <c r="A866" i="10" s="1"/>
  <c r="A867" i="10" s="1"/>
  <c r="A868" i="10" s="1"/>
  <c r="A869" i="10" s="1"/>
  <c r="A870" i="10" s="1"/>
  <c r="A871" i="10" s="1"/>
  <c r="A872" i="10" s="1"/>
  <c r="A873" i="10" s="1"/>
  <c r="A874" i="10" s="1"/>
  <c r="A875" i="10" s="1"/>
  <c r="A876" i="10" s="1"/>
  <c r="A877" i="10" s="1"/>
  <c r="A878" i="10" s="1"/>
  <c r="A879" i="10" s="1"/>
  <c r="A880" i="10" s="1"/>
  <c r="A881" i="10" s="1"/>
  <c r="A882" i="10" s="1"/>
  <c r="A883" i="10" s="1"/>
  <c r="A884" i="10" s="1"/>
  <c r="A885" i="10" s="1"/>
  <c r="A886" i="10" s="1"/>
  <c r="A887" i="10" s="1"/>
  <c r="A888" i="10" s="1"/>
  <c r="J845" i="10"/>
  <c r="H845" i="10"/>
  <c r="A845" i="10"/>
  <c r="A846" i="10" s="1"/>
  <c r="A847" i="10" s="1"/>
  <c r="E839" i="10"/>
  <c r="E838" i="10"/>
  <c r="J861" i="10" s="1"/>
  <c r="E837" i="10"/>
  <c r="E836" i="10"/>
  <c r="K835" i="10"/>
  <c r="E835" i="10"/>
  <c r="C831" i="10"/>
  <c r="L820" i="10"/>
  <c r="I816" i="10"/>
  <c r="I815" i="10"/>
  <c r="G815" i="10"/>
  <c r="H815" i="10" s="1"/>
  <c r="I814" i="10"/>
  <c r="F814" i="10"/>
  <c r="I813" i="10"/>
  <c r="F813" i="10"/>
  <c r="I812" i="10"/>
  <c r="F812" i="10"/>
  <c r="L810" i="10"/>
  <c r="M810" i="10" s="1"/>
  <c r="I810" i="10"/>
  <c r="H810" i="10"/>
  <c r="F809" i="10"/>
  <c r="C807" i="10"/>
  <c r="G806" i="10"/>
  <c r="H806" i="10" s="1"/>
  <c r="J805" i="10"/>
  <c r="H805" i="10"/>
  <c r="C804" i="10"/>
  <c r="J803" i="10"/>
  <c r="L802" i="10"/>
  <c r="M802" i="10" s="1"/>
  <c r="H802" i="10"/>
  <c r="I801" i="10"/>
  <c r="H801" i="10"/>
  <c r="G800" i="10"/>
  <c r="H800" i="10" s="1"/>
  <c r="G799" i="10"/>
  <c r="H799" i="10" s="1"/>
  <c r="J798" i="10"/>
  <c r="J797" i="10"/>
  <c r="I796" i="10"/>
  <c r="J796" i="10" s="1"/>
  <c r="C795" i="10"/>
  <c r="G794" i="10"/>
  <c r="H794" i="10" s="1"/>
  <c r="J793" i="10"/>
  <c r="H793" i="10"/>
  <c r="L792" i="10"/>
  <c r="M792" i="10" s="1"/>
  <c r="A792" i="10"/>
  <c r="A793" i="10" s="1"/>
  <c r="A794" i="10" s="1"/>
  <c r="A795" i="10" s="1"/>
  <c r="A796" i="10" s="1"/>
  <c r="A797" i="10" s="1"/>
  <c r="A798" i="10" s="1"/>
  <c r="A799" i="10" s="1"/>
  <c r="A800" i="10" s="1"/>
  <c r="A801" i="10" s="1"/>
  <c r="A802" i="10" s="1"/>
  <c r="A803" i="10" s="1"/>
  <c r="A804" i="10" s="1"/>
  <c r="A805" i="10" s="1"/>
  <c r="A806" i="10" s="1"/>
  <c r="A807" i="10" s="1"/>
  <c r="A808" i="10" s="1"/>
  <c r="A809" i="10" s="1"/>
  <c r="A810" i="10" s="1"/>
  <c r="A811" i="10" s="1"/>
  <c r="A812" i="10" s="1"/>
  <c r="A813" i="10" s="1"/>
  <c r="A814" i="10" s="1"/>
  <c r="A815" i="10" s="1"/>
  <c r="A816" i="10" s="1"/>
  <c r="A817" i="10" s="1"/>
  <c r="A818" i="10" s="1"/>
  <c r="A819" i="10" s="1"/>
  <c r="A820" i="10" s="1"/>
  <c r="A821" i="10" s="1"/>
  <c r="A822" i="10" s="1"/>
  <c r="A823" i="10" s="1"/>
  <c r="A824" i="10" s="1"/>
  <c r="A825" i="10" s="1"/>
  <c r="A826" i="10" s="1"/>
  <c r="A827" i="10" s="1"/>
  <c r="A828" i="10" s="1"/>
  <c r="A829" i="10" s="1"/>
  <c r="A830" i="10" s="1"/>
  <c r="A831" i="10" s="1"/>
  <c r="A832" i="10" s="1"/>
  <c r="J791" i="10"/>
  <c r="H790" i="10"/>
  <c r="H795" i="10" s="1"/>
  <c r="G790" i="10"/>
  <c r="J789" i="10"/>
  <c r="H789" i="10"/>
  <c r="A789" i="10"/>
  <c r="A790" i="10" s="1"/>
  <c r="A791" i="10" s="1"/>
  <c r="E783" i="10"/>
  <c r="E782" i="10"/>
  <c r="G805" i="10" s="1"/>
  <c r="E781" i="10"/>
  <c r="E780" i="10"/>
  <c r="K779" i="10"/>
  <c r="E779" i="10"/>
  <c r="F801" i="10" s="1"/>
  <c r="C765" i="10"/>
  <c r="I760" i="10"/>
  <c r="I759" i="10"/>
  <c r="I758" i="10"/>
  <c r="F758" i="10"/>
  <c r="I757" i="10"/>
  <c r="G757" i="10"/>
  <c r="H757" i="10" s="1"/>
  <c r="F757" i="10"/>
  <c r="J756" i="10"/>
  <c r="I756" i="10"/>
  <c r="G756" i="10"/>
  <c r="F756" i="10"/>
  <c r="I754" i="10"/>
  <c r="L754" i="10" s="1"/>
  <c r="M754" i="10" s="1"/>
  <c r="H754" i="10"/>
  <c r="F753" i="10"/>
  <c r="G752" i="10"/>
  <c r="H752" i="10" s="1"/>
  <c r="C751" i="10"/>
  <c r="G749" i="10"/>
  <c r="H749" i="10" s="1"/>
  <c r="C748" i="10"/>
  <c r="H746" i="10"/>
  <c r="G744" i="10"/>
  <c r="H744" i="10" s="1"/>
  <c r="J743" i="10"/>
  <c r="G741" i="10"/>
  <c r="H741" i="10" s="1"/>
  <c r="H740" i="10"/>
  <c r="G740" i="10"/>
  <c r="F740" i="10"/>
  <c r="C739" i="10"/>
  <c r="J737" i="10"/>
  <c r="H737" i="10"/>
  <c r="L736" i="10"/>
  <c r="M736" i="10" s="1"/>
  <c r="J736" i="10"/>
  <c r="G734" i="10"/>
  <c r="H734" i="10" s="1"/>
  <c r="J733" i="10"/>
  <c r="H733" i="10"/>
  <c r="E727" i="10"/>
  <c r="G753" i="10" s="1"/>
  <c r="H753" i="10" s="1"/>
  <c r="E726" i="10"/>
  <c r="E725" i="10"/>
  <c r="G760" i="10" s="1"/>
  <c r="H760" i="10" s="1"/>
  <c r="E724" i="10"/>
  <c r="K723" i="10"/>
  <c r="E723" i="10"/>
  <c r="C709" i="10"/>
  <c r="K704" i="10"/>
  <c r="J704" i="10"/>
  <c r="I704" i="10"/>
  <c r="G704" i="10"/>
  <c r="H704" i="10" s="1"/>
  <c r="J703" i="10"/>
  <c r="K703" i="10" s="1"/>
  <c r="I703" i="10"/>
  <c r="I702" i="10"/>
  <c r="F702" i="10"/>
  <c r="I701" i="10"/>
  <c r="G701" i="10"/>
  <c r="H701" i="10" s="1"/>
  <c r="F701" i="10"/>
  <c r="I700" i="10"/>
  <c r="F700" i="10"/>
  <c r="I698" i="10"/>
  <c r="H698" i="10"/>
  <c r="L698" i="10" s="1"/>
  <c r="M698" i="10" s="1"/>
  <c r="F697" i="10"/>
  <c r="C695" i="10"/>
  <c r="C692" i="10"/>
  <c r="H690" i="10"/>
  <c r="J688" i="10"/>
  <c r="J687" i="10"/>
  <c r="G686" i="10"/>
  <c r="H686" i="10" s="1"/>
  <c r="G684" i="10"/>
  <c r="H684" i="10" s="1"/>
  <c r="F684" i="10"/>
  <c r="C683" i="10"/>
  <c r="J681" i="10"/>
  <c r="H681" i="10"/>
  <c r="L681" i="10" s="1"/>
  <c r="M681" i="10" s="1"/>
  <c r="J680" i="10"/>
  <c r="J677" i="10"/>
  <c r="H677" i="10"/>
  <c r="E671" i="10"/>
  <c r="E670" i="10"/>
  <c r="E669" i="10"/>
  <c r="G703" i="10" s="1"/>
  <c r="H703" i="10" s="1"/>
  <c r="E668" i="10"/>
  <c r="K667" i="10"/>
  <c r="E667" i="10"/>
  <c r="C653" i="10"/>
  <c r="K648" i="10"/>
  <c r="I648" i="10"/>
  <c r="G648" i="10"/>
  <c r="H648" i="10" s="1"/>
  <c r="A648" i="10"/>
  <c r="A649" i="10" s="1"/>
  <c r="A650" i="10" s="1"/>
  <c r="A651" i="10" s="1"/>
  <c r="A652" i="10" s="1"/>
  <c r="A653" i="10" s="1"/>
  <c r="A654" i="10" s="1"/>
  <c r="A655" i="10" s="1"/>
  <c r="A656" i="10" s="1"/>
  <c r="A657" i="10" s="1"/>
  <c r="A658" i="10" s="1"/>
  <c r="A659" i="10" s="1"/>
  <c r="A660" i="10" s="1"/>
  <c r="A661" i="10" s="1"/>
  <c r="A662" i="10" s="1"/>
  <c r="A663" i="10" s="1"/>
  <c r="A664" i="10" s="1"/>
  <c r="I647" i="10"/>
  <c r="G647" i="10"/>
  <c r="H647" i="10" s="1"/>
  <c r="J646" i="10"/>
  <c r="I646" i="10"/>
  <c r="F646" i="10"/>
  <c r="I645" i="10"/>
  <c r="G645" i="10"/>
  <c r="H645" i="10" s="1"/>
  <c r="F645" i="10"/>
  <c r="I644" i="10"/>
  <c r="F644" i="10"/>
  <c r="L642" i="10"/>
  <c r="M642" i="10" s="1"/>
  <c r="I642" i="10"/>
  <c r="H642" i="10"/>
  <c r="F641" i="10"/>
  <c r="C639" i="10"/>
  <c r="A639" i="10"/>
  <c r="A640" i="10" s="1"/>
  <c r="A641" i="10" s="1"/>
  <c r="A642" i="10" s="1"/>
  <c r="A643" i="10" s="1"/>
  <c r="A644" i="10" s="1"/>
  <c r="A645" i="10" s="1"/>
  <c r="A646" i="10" s="1"/>
  <c r="A647" i="10" s="1"/>
  <c r="C636" i="10"/>
  <c r="J635" i="10"/>
  <c r="L634" i="10"/>
  <c r="M634" i="10" s="1"/>
  <c r="H634" i="10"/>
  <c r="I633" i="10"/>
  <c r="H633" i="10"/>
  <c r="F633" i="10"/>
  <c r="J630" i="10"/>
  <c r="J629" i="10"/>
  <c r="C627" i="10"/>
  <c r="J626" i="10"/>
  <c r="L626" i="10" s="1"/>
  <c r="M626" i="10" s="1"/>
  <c r="G626" i="10"/>
  <c r="H626" i="10" s="1"/>
  <c r="J625" i="10"/>
  <c r="H625" i="10"/>
  <c r="L624" i="10"/>
  <c r="M624" i="10" s="1"/>
  <c r="J624" i="10"/>
  <c r="G623" i="10"/>
  <c r="G622" i="10"/>
  <c r="H622" i="10" s="1"/>
  <c r="H627" i="10" s="1"/>
  <c r="J621" i="10"/>
  <c r="H621" i="10"/>
  <c r="A621" i="10"/>
  <c r="A622" i="10" s="1"/>
  <c r="A623" i="10" s="1"/>
  <c r="A624" i="10" s="1"/>
  <c r="A625" i="10" s="1"/>
  <c r="A626" i="10" s="1"/>
  <c r="A627" i="10" s="1"/>
  <c r="A628" i="10" s="1"/>
  <c r="A629" i="10" s="1"/>
  <c r="A630" i="10" s="1"/>
  <c r="A631" i="10" s="1"/>
  <c r="A632" i="10" s="1"/>
  <c r="A633" i="10" s="1"/>
  <c r="A634" i="10" s="1"/>
  <c r="A635" i="10" s="1"/>
  <c r="A636" i="10" s="1"/>
  <c r="A637" i="10" s="1"/>
  <c r="A638" i="10" s="1"/>
  <c r="E615" i="10"/>
  <c r="G640" i="10" s="1"/>
  <c r="H640" i="10" s="1"/>
  <c r="E614" i="10"/>
  <c r="E613" i="10"/>
  <c r="J648" i="10" s="1"/>
  <c r="E612" i="10"/>
  <c r="I628" i="10" s="1"/>
  <c r="K611" i="10"/>
  <c r="E611" i="10"/>
  <c r="C597" i="10"/>
  <c r="I592" i="10"/>
  <c r="I591" i="10"/>
  <c r="I590" i="10"/>
  <c r="F590" i="10"/>
  <c r="I589" i="10"/>
  <c r="F589" i="10"/>
  <c r="I588" i="10"/>
  <c r="F588" i="10"/>
  <c r="I586" i="10"/>
  <c r="H586" i="10"/>
  <c r="L586" i="10" s="1"/>
  <c r="M586" i="10" s="1"/>
  <c r="F585" i="10"/>
  <c r="C583" i="10"/>
  <c r="C580" i="10"/>
  <c r="H578" i="10"/>
  <c r="H575" i="10"/>
  <c r="G575" i="10"/>
  <c r="C571" i="10"/>
  <c r="J569" i="10"/>
  <c r="H569" i="10"/>
  <c r="J566" i="10"/>
  <c r="J565" i="10"/>
  <c r="H565" i="10"/>
  <c r="E559" i="10"/>
  <c r="E558" i="10"/>
  <c r="E557" i="10"/>
  <c r="E556" i="10"/>
  <c r="K555" i="10"/>
  <c r="E555" i="10"/>
  <c r="C541" i="10"/>
  <c r="J536" i="10"/>
  <c r="I536" i="10"/>
  <c r="J535" i="10"/>
  <c r="I535" i="10"/>
  <c r="J534" i="10"/>
  <c r="I534" i="10"/>
  <c r="F534" i="10"/>
  <c r="J533" i="10"/>
  <c r="I533" i="10"/>
  <c r="G533" i="10"/>
  <c r="H533" i="10" s="1"/>
  <c r="F533" i="10"/>
  <c r="I532" i="10"/>
  <c r="G532" i="10"/>
  <c r="H532" i="10" s="1"/>
  <c r="F532" i="10"/>
  <c r="I530" i="10"/>
  <c r="H530" i="10"/>
  <c r="F529" i="10"/>
  <c r="C527" i="10"/>
  <c r="C524" i="10"/>
  <c r="H523" i="10"/>
  <c r="G523" i="10"/>
  <c r="H522" i="10"/>
  <c r="I521" i="10"/>
  <c r="H521" i="10"/>
  <c r="F521" i="10"/>
  <c r="G520" i="10"/>
  <c r="H520" i="10" s="1"/>
  <c r="J519" i="10"/>
  <c r="A519" i="10"/>
  <c r="A520" i="10" s="1"/>
  <c r="A521" i="10" s="1"/>
  <c r="A522" i="10" s="1"/>
  <c r="A523" i="10" s="1"/>
  <c r="A524" i="10" s="1"/>
  <c r="A525" i="10" s="1"/>
  <c r="A526" i="10" s="1"/>
  <c r="A527" i="10" s="1"/>
  <c r="A528" i="10" s="1"/>
  <c r="A529" i="10" s="1"/>
  <c r="A530" i="10" s="1"/>
  <c r="A531" i="10" s="1"/>
  <c r="A532" i="10" s="1"/>
  <c r="A533" i="10" s="1"/>
  <c r="A534" i="10" s="1"/>
  <c r="A535" i="10" s="1"/>
  <c r="A536" i="10" s="1"/>
  <c r="A537" i="10" s="1"/>
  <c r="A538" i="10" s="1"/>
  <c r="A539" i="10" s="1"/>
  <c r="A540" i="10" s="1"/>
  <c r="A541" i="10" s="1"/>
  <c r="A542" i="10" s="1"/>
  <c r="A543" i="10" s="1"/>
  <c r="A544" i="10" s="1"/>
  <c r="A545" i="10" s="1"/>
  <c r="A546" i="10" s="1"/>
  <c r="A547" i="10" s="1"/>
  <c r="A548" i="10" s="1"/>
  <c r="A549" i="10" s="1"/>
  <c r="A550" i="10" s="1"/>
  <c r="A551" i="10" s="1"/>
  <c r="A552" i="10" s="1"/>
  <c r="J518" i="10"/>
  <c r="G517" i="10"/>
  <c r="H517" i="10" s="1"/>
  <c r="C515" i="10"/>
  <c r="A515" i="10"/>
  <c r="A516" i="10" s="1"/>
  <c r="A517" i="10" s="1"/>
  <c r="A518" i="10" s="1"/>
  <c r="J514" i="10"/>
  <c r="A514" i="10"/>
  <c r="J513" i="10"/>
  <c r="L513" i="10" s="1"/>
  <c r="M513" i="10" s="1"/>
  <c r="H513" i="10"/>
  <c r="J512" i="10"/>
  <c r="J511" i="10"/>
  <c r="G511" i="10"/>
  <c r="G510" i="10"/>
  <c r="H510" i="10" s="1"/>
  <c r="A510" i="10"/>
  <c r="A511" i="10" s="1"/>
  <c r="A512" i="10" s="1"/>
  <c r="A513" i="10" s="1"/>
  <c r="J509" i="10"/>
  <c r="H509" i="10"/>
  <c r="A509" i="10"/>
  <c r="E503" i="10"/>
  <c r="E502" i="10"/>
  <c r="J525" i="10" s="1"/>
  <c r="E501" i="10"/>
  <c r="G536" i="10" s="1"/>
  <c r="H536" i="10" s="1"/>
  <c r="E500" i="10"/>
  <c r="K499" i="10"/>
  <c r="E499" i="10"/>
  <c r="C485" i="10"/>
  <c r="I480" i="10"/>
  <c r="I479" i="10"/>
  <c r="I478" i="10"/>
  <c r="F478" i="10"/>
  <c r="I477" i="10"/>
  <c r="F477" i="10"/>
  <c r="I476" i="10"/>
  <c r="F476" i="10"/>
  <c r="K474" i="10"/>
  <c r="L474" i="10" s="1"/>
  <c r="M474" i="10" s="1"/>
  <c r="I474" i="10"/>
  <c r="H474" i="10"/>
  <c r="F473" i="10"/>
  <c r="C471" i="10"/>
  <c r="C468" i="10"/>
  <c r="M466" i="10"/>
  <c r="K466" i="10"/>
  <c r="L466" i="10" s="1"/>
  <c r="H466" i="10"/>
  <c r="C459" i="10"/>
  <c r="L457" i="10"/>
  <c r="M457" i="10" s="1"/>
  <c r="K457" i="10"/>
  <c r="J457" i="10"/>
  <c r="H457" i="10"/>
  <c r="M456" i="10"/>
  <c r="L456" i="10"/>
  <c r="J453" i="10"/>
  <c r="H453" i="10"/>
  <c r="E447" i="10"/>
  <c r="E446" i="10"/>
  <c r="G462" i="10" s="1"/>
  <c r="H462" i="10" s="1"/>
  <c r="E445" i="10"/>
  <c r="E444" i="10"/>
  <c r="K443" i="10"/>
  <c r="E443" i="10"/>
  <c r="C439" i="10"/>
  <c r="L428" i="10"/>
  <c r="I424" i="10"/>
  <c r="I423" i="10"/>
  <c r="I422" i="10"/>
  <c r="G422" i="10"/>
  <c r="H422" i="10" s="1"/>
  <c r="F422" i="10"/>
  <c r="I421" i="10"/>
  <c r="F421" i="10"/>
  <c r="I420" i="10"/>
  <c r="F420" i="10"/>
  <c r="L418" i="10"/>
  <c r="M418" i="10" s="1"/>
  <c r="K418" i="10"/>
  <c r="I418" i="10"/>
  <c r="H418" i="10"/>
  <c r="F417" i="10"/>
  <c r="C415" i="10"/>
  <c r="C412" i="10"/>
  <c r="K410" i="10"/>
  <c r="L410" i="10" s="1"/>
  <c r="M410" i="10" s="1"/>
  <c r="H410" i="10"/>
  <c r="C403" i="10"/>
  <c r="L401" i="10"/>
  <c r="M401" i="10" s="1"/>
  <c r="K401" i="10"/>
  <c r="J401" i="10"/>
  <c r="H401" i="10"/>
  <c r="M400" i="10"/>
  <c r="L400" i="10"/>
  <c r="L397" i="10"/>
  <c r="M397" i="10" s="1"/>
  <c r="J397" i="10"/>
  <c r="H397" i="10"/>
  <c r="E391" i="10"/>
  <c r="E390" i="10"/>
  <c r="E389" i="10"/>
  <c r="E388" i="10"/>
  <c r="K387" i="10"/>
  <c r="E387" i="10"/>
  <c r="C373" i="10"/>
  <c r="L372" i="10"/>
  <c r="J368" i="10"/>
  <c r="K368" i="10" s="1"/>
  <c r="I368" i="10"/>
  <c r="I367" i="10"/>
  <c r="I366" i="10"/>
  <c r="H366" i="10"/>
  <c r="G366" i="10"/>
  <c r="F366" i="10"/>
  <c r="I365" i="10"/>
  <c r="G365" i="10"/>
  <c r="H365" i="10" s="1"/>
  <c r="F365" i="10"/>
  <c r="J364" i="10"/>
  <c r="K364" i="10" s="1"/>
  <c r="I364" i="10"/>
  <c r="F364" i="10"/>
  <c r="K362" i="10"/>
  <c r="L362" i="10" s="1"/>
  <c r="M362" i="10" s="1"/>
  <c r="I362" i="10"/>
  <c r="H362" i="10"/>
  <c r="F361" i="10"/>
  <c r="C359" i="10"/>
  <c r="J357" i="10"/>
  <c r="C356" i="10"/>
  <c r="K354" i="10"/>
  <c r="H354" i="10"/>
  <c r="L354" i="10" s="1"/>
  <c r="M354" i="10" s="1"/>
  <c r="I353" i="10"/>
  <c r="K353" i="10" s="1"/>
  <c r="G352" i="10"/>
  <c r="H352" i="10" s="1"/>
  <c r="J351" i="10"/>
  <c r="K351" i="10" s="1"/>
  <c r="J350" i="10"/>
  <c r="G349" i="10"/>
  <c r="H349" i="10" s="1"/>
  <c r="C347" i="10"/>
  <c r="M345" i="10"/>
  <c r="J345" i="10"/>
  <c r="K345" i="10" s="1"/>
  <c r="L345" i="10" s="1"/>
  <c r="H345" i="10"/>
  <c r="L344" i="10"/>
  <c r="M344" i="10" s="1"/>
  <c r="J344" i="10"/>
  <c r="J343" i="10"/>
  <c r="J342" i="10"/>
  <c r="J341" i="10"/>
  <c r="H341" i="10"/>
  <c r="E335" i="10"/>
  <c r="G361" i="10" s="1"/>
  <c r="H361" i="10" s="1"/>
  <c r="E334" i="10"/>
  <c r="E333" i="10"/>
  <c r="G368" i="10" s="1"/>
  <c r="H368" i="10" s="1"/>
  <c r="E332" i="10"/>
  <c r="K331" i="10"/>
  <c r="E331" i="10"/>
  <c r="C317" i="10"/>
  <c r="L316" i="10"/>
  <c r="I312" i="10"/>
  <c r="I311" i="10"/>
  <c r="I310" i="10"/>
  <c r="F310" i="10"/>
  <c r="J309" i="10"/>
  <c r="K309" i="10" s="1"/>
  <c r="I309" i="10"/>
  <c r="F309" i="10"/>
  <c r="I308" i="10"/>
  <c r="G308" i="10"/>
  <c r="H308" i="10" s="1"/>
  <c r="F308" i="10"/>
  <c r="I306" i="10"/>
  <c r="K306" i="10" s="1"/>
  <c r="L306" i="10" s="1"/>
  <c r="M306" i="10" s="1"/>
  <c r="H306" i="10"/>
  <c r="F305" i="10"/>
  <c r="C303" i="10"/>
  <c r="G302" i="10"/>
  <c r="H302" i="10" s="1"/>
  <c r="C300" i="10"/>
  <c r="G299" i="10"/>
  <c r="H299" i="10" s="1"/>
  <c r="K298" i="10"/>
  <c r="H298" i="10"/>
  <c r="F297" i="10"/>
  <c r="H297" i="10" s="1"/>
  <c r="J295" i="10"/>
  <c r="K295" i="10" s="1"/>
  <c r="G293" i="10"/>
  <c r="H293" i="10" s="1"/>
  <c r="K291" i="10"/>
  <c r="C291" i="10"/>
  <c r="J290" i="10"/>
  <c r="K290" i="10" s="1"/>
  <c r="L289" i="10"/>
  <c r="M289" i="10" s="1"/>
  <c r="J289" i="10"/>
  <c r="K289" i="10" s="1"/>
  <c r="H289" i="10"/>
  <c r="L288" i="10"/>
  <c r="M288" i="10" s="1"/>
  <c r="J288" i="10"/>
  <c r="G288" i="10"/>
  <c r="J286" i="10"/>
  <c r="L285" i="10"/>
  <c r="M285" i="10" s="1"/>
  <c r="H285" i="10"/>
  <c r="A285" i="10"/>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E279" i="10"/>
  <c r="E278" i="10"/>
  <c r="E277" i="10"/>
  <c r="E276" i="10"/>
  <c r="K275" i="10"/>
  <c r="E275" i="10"/>
  <c r="I297" i="10" s="1"/>
  <c r="K297" i="10" s="1"/>
  <c r="C271" i="10"/>
  <c r="L260" i="10"/>
  <c r="I256" i="10"/>
  <c r="I255" i="10"/>
  <c r="I254" i="10"/>
  <c r="G254" i="10"/>
  <c r="F254" i="10"/>
  <c r="I253" i="10"/>
  <c r="F253" i="10"/>
  <c r="I252" i="10"/>
  <c r="F252" i="10"/>
  <c r="I250" i="10"/>
  <c r="K250" i="10" s="1"/>
  <c r="L250" i="10" s="1"/>
  <c r="M250" i="10" s="1"/>
  <c r="H250" i="10"/>
  <c r="G249" i="10"/>
  <c r="H249" i="10" s="1"/>
  <c r="F249" i="10"/>
  <c r="C247" i="10"/>
  <c r="J246" i="10"/>
  <c r="H246" i="10"/>
  <c r="G245" i="10"/>
  <c r="H245" i="10" s="1"/>
  <c r="C244" i="10"/>
  <c r="J243" i="10"/>
  <c r="K243" i="10" s="1"/>
  <c r="M242" i="10"/>
  <c r="L242" i="10"/>
  <c r="K242" i="10"/>
  <c r="H242" i="10"/>
  <c r="I241" i="10"/>
  <c r="K241" i="10" s="1"/>
  <c r="H241" i="10"/>
  <c r="G240" i="10"/>
  <c r="H240" i="10" s="1"/>
  <c r="J238" i="10"/>
  <c r="J237" i="10"/>
  <c r="I236" i="10"/>
  <c r="J236" i="10" s="1"/>
  <c r="K236" i="10" s="1"/>
  <c r="C235" i="10"/>
  <c r="G234" i="10"/>
  <c r="H234" i="10" s="1"/>
  <c r="J233" i="10"/>
  <c r="K233" i="10" s="1"/>
  <c r="L233" i="10" s="1"/>
  <c r="M233" i="10" s="1"/>
  <c r="H233" i="10"/>
  <c r="M232" i="10"/>
  <c r="L232" i="10"/>
  <c r="A232" i="10"/>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J231" i="10"/>
  <c r="G230" i="10"/>
  <c r="H230" i="10" s="1"/>
  <c r="H235" i="10" s="1"/>
  <c r="L229" i="10"/>
  <c r="M229" i="10" s="1"/>
  <c r="J229" i="10"/>
  <c r="H229" i="10"/>
  <c r="A229" i="10"/>
  <c r="A230" i="10" s="1"/>
  <c r="A231" i="10" s="1"/>
  <c r="E223" i="10"/>
  <c r="E222" i="10"/>
  <c r="G246" i="10" s="1"/>
  <c r="E221" i="10"/>
  <c r="G255" i="10" s="1"/>
  <c r="H255" i="10" s="1"/>
  <c r="E220" i="10"/>
  <c r="K219" i="10"/>
  <c r="E219" i="10"/>
  <c r="F241" i="10" s="1"/>
  <c r="C215" i="10"/>
  <c r="L204" i="10"/>
  <c r="I200" i="10"/>
  <c r="I199" i="10"/>
  <c r="I198" i="10"/>
  <c r="F198" i="10"/>
  <c r="I197" i="10"/>
  <c r="G197" i="10"/>
  <c r="H197" i="10" s="1"/>
  <c r="F197" i="10"/>
  <c r="I196" i="10"/>
  <c r="F196" i="10"/>
  <c r="K194" i="10"/>
  <c r="L194" i="10" s="1"/>
  <c r="M194" i="10" s="1"/>
  <c r="I194" i="10"/>
  <c r="H194" i="10"/>
  <c r="F193" i="10"/>
  <c r="C191" i="10"/>
  <c r="C188" i="10"/>
  <c r="M186" i="10"/>
  <c r="L186" i="10"/>
  <c r="K186" i="10"/>
  <c r="H186" i="10"/>
  <c r="G180" i="10"/>
  <c r="H180" i="10" s="1"/>
  <c r="F180" i="10"/>
  <c r="C179" i="10"/>
  <c r="L177" i="10"/>
  <c r="M177" i="10" s="1"/>
  <c r="K177" i="10"/>
  <c r="J177" i="10"/>
  <c r="H177" i="10"/>
  <c r="M176" i="10"/>
  <c r="L176" i="10"/>
  <c r="J173" i="10"/>
  <c r="H173" i="10"/>
  <c r="E167" i="10"/>
  <c r="G193" i="10" s="1"/>
  <c r="H193" i="10" s="1"/>
  <c r="E166" i="10"/>
  <c r="G176" i="10" s="1"/>
  <c r="E165" i="10"/>
  <c r="E164" i="10"/>
  <c r="K163" i="10"/>
  <c r="E163" i="10"/>
  <c r="C149" i="10"/>
  <c r="I144" i="10"/>
  <c r="G144" i="10"/>
  <c r="H144" i="10" s="1"/>
  <c r="J143" i="10"/>
  <c r="K143" i="10" s="1"/>
  <c r="I143" i="10"/>
  <c r="J142" i="10"/>
  <c r="K142" i="10" s="1"/>
  <c r="I142" i="10"/>
  <c r="F142" i="10"/>
  <c r="I141" i="10"/>
  <c r="G141" i="10"/>
  <c r="H141" i="10" s="1"/>
  <c r="F141" i="10"/>
  <c r="I140" i="10"/>
  <c r="F140" i="10"/>
  <c r="I138" i="10"/>
  <c r="K138" i="10" s="1"/>
  <c r="L138" i="10" s="1"/>
  <c r="M138" i="10" s="1"/>
  <c r="H138" i="10"/>
  <c r="G137" i="10"/>
  <c r="H137" i="10" s="1"/>
  <c r="F137" i="10"/>
  <c r="G136" i="10"/>
  <c r="H136" i="10" s="1"/>
  <c r="C135" i="10"/>
  <c r="G133" i="10"/>
  <c r="H133" i="10" s="1"/>
  <c r="C132" i="10"/>
  <c r="L130" i="10"/>
  <c r="M130" i="10" s="1"/>
  <c r="K130" i="10"/>
  <c r="H130" i="10"/>
  <c r="M129" i="10"/>
  <c r="I129" i="10"/>
  <c r="K129" i="10" s="1"/>
  <c r="L129" i="10" s="1"/>
  <c r="H129" i="10"/>
  <c r="F129" i="10"/>
  <c r="G128" i="10"/>
  <c r="H128" i="10" s="1"/>
  <c r="J125" i="10"/>
  <c r="I124" i="10"/>
  <c r="J124" i="10" s="1"/>
  <c r="K124" i="10" s="1"/>
  <c r="C123" i="10"/>
  <c r="G122" i="10"/>
  <c r="H122" i="10" s="1"/>
  <c r="J121" i="10"/>
  <c r="K121" i="10" s="1"/>
  <c r="L121" i="10" s="1"/>
  <c r="M121" i="10" s="1"/>
  <c r="H121" i="10"/>
  <c r="M120" i="10"/>
  <c r="L120" i="10"/>
  <c r="A120" i="10"/>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J119" i="10"/>
  <c r="G118" i="10"/>
  <c r="H118" i="10" s="1"/>
  <c r="H123" i="10" s="1"/>
  <c r="L117" i="10"/>
  <c r="M117" i="10" s="1"/>
  <c r="J117" i="10"/>
  <c r="H117" i="10"/>
  <c r="A117" i="10"/>
  <c r="A118" i="10" s="1"/>
  <c r="A119" i="10" s="1"/>
  <c r="E112" i="10"/>
  <c r="E111" i="10"/>
  <c r="E110" i="10"/>
  <c r="J133" i="10" s="1"/>
  <c r="L133" i="10" s="1"/>
  <c r="M133" i="10" s="1"/>
  <c r="E109" i="10"/>
  <c r="J144" i="10" s="1"/>
  <c r="K144" i="10" s="1"/>
  <c r="E108" i="10"/>
  <c r="K107" i="10"/>
  <c r="E107" i="10"/>
  <c r="C93" i="10"/>
  <c r="I88" i="10"/>
  <c r="I87" i="10"/>
  <c r="I86" i="10"/>
  <c r="F86" i="10"/>
  <c r="J85" i="10"/>
  <c r="K85" i="10" s="1"/>
  <c r="I85" i="10"/>
  <c r="F85" i="10"/>
  <c r="K84" i="10"/>
  <c r="J84" i="10"/>
  <c r="I84" i="10"/>
  <c r="G84" i="10"/>
  <c r="H84" i="10" s="1"/>
  <c r="F84" i="10"/>
  <c r="L82" i="10"/>
  <c r="M82" i="10" s="1"/>
  <c r="K82" i="10"/>
  <c r="I82" i="10"/>
  <c r="H82" i="10"/>
  <c r="F81" i="10"/>
  <c r="C79" i="10"/>
  <c r="G78" i="10"/>
  <c r="H78" i="10" s="1"/>
  <c r="C76" i="10"/>
  <c r="K74" i="10"/>
  <c r="L74" i="10" s="1"/>
  <c r="M74" i="10" s="1"/>
  <c r="H74" i="10"/>
  <c r="F73" i="10"/>
  <c r="H73" i="10" s="1"/>
  <c r="J72" i="10"/>
  <c r="K72" i="10" s="1"/>
  <c r="J71" i="10"/>
  <c r="K71" i="10" s="1"/>
  <c r="G70" i="10"/>
  <c r="H70" i="10" s="1"/>
  <c r="F68" i="10"/>
  <c r="G68" i="10" s="1"/>
  <c r="H68" i="10" s="1"/>
  <c r="C67" i="10"/>
  <c r="J66" i="10"/>
  <c r="K66" i="10" s="1"/>
  <c r="L65" i="10"/>
  <c r="M65" i="10" s="1"/>
  <c r="K65" i="10"/>
  <c r="J65" i="10"/>
  <c r="H65" i="10"/>
  <c r="M64" i="10"/>
  <c r="L64" i="10"/>
  <c r="J64" i="10"/>
  <c r="G64" i="10"/>
  <c r="G63" i="10"/>
  <c r="J62" i="10"/>
  <c r="J61" i="10"/>
  <c r="H61" i="10"/>
  <c r="E55" i="10"/>
  <c r="E54" i="10"/>
  <c r="E53" i="10"/>
  <c r="G88" i="10" s="1"/>
  <c r="H88" i="10" s="1"/>
  <c r="E52" i="10"/>
  <c r="K51" i="10"/>
  <c r="E51" i="10"/>
  <c r="M47" i="10"/>
  <c r="L47" i="10"/>
  <c r="I47" i="10"/>
  <c r="D47" i="10"/>
  <c r="B47" i="10"/>
  <c r="K46" i="10"/>
  <c r="H46" i="10"/>
  <c r="G46" i="10"/>
  <c r="L46" i="10" s="1"/>
  <c r="D46" i="10"/>
  <c r="B46" i="10"/>
  <c r="D45" i="10"/>
  <c r="B45" i="10"/>
  <c r="M44" i="10"/>
  <c r="D44" i="10"/>
  <c r="B44" i="10"/>
  <c r="M43" i="10"/>
  <c r="I43" i="10"/>
  <c r="H43" i="10"/>
  <c r="D43" i="10"/>
  <c r="B43" i="10"/>
  <c r="L42" i="10"/>
  <c r="G42" i="10"/>
  <c r="H42" i="10" s="1"/>
  <c r="D42" i="10"/>
  <c r="B42" i="10"/>
  <c r="D41" i="10"/>
  <c r="B41" i="10"/>
  <c r="I40" i="10"/>
  <c r="D40" i="10"/>
  <c r="B40" i="10"/>
  <c r="M39" i="10"/>
  <c r="L39" i="10"/>
  <c r="I39" i="10"/>
  <c r="D39" i="10"/>
  <c r="B39" i="10"/>
  <c r="K38" i="10"/>
  <c r="H38" i="10"/>
  <c r="G38" i="10"/>
  <c r="L38" i="10" s="1"/>
  <c r="D38" i="10"/>
  <c r="B38" i="10"/>
  <c r="D37" i="10"/>
  <c r="B37" i="10"/>
  <c r="M36" i="10"/>
  <c r="D36" i="10"/>
  <c r="B36" i="10"/>
  <c r="M35" i="10"/>
  <c r="I35" i="10"/>
  <c r="H35" i="10"/>
  <c r="D35" i="10"/>
  <c r="B35" i="10"/>
  <c r="L34" i="10"/>
  <c r="G34" i="10"/>
  <c r="D34" i="10"/>
  <c r="B34" i="10"/>
  <c r="D33" i="10"/>
  <c r="B33" i="10"/>
  <c r="J32" i="10"/>
  <c r="I32" i="10"/>
  <c r="D32" i="10"/>
  <c r="B32" i="10"/>
  <c r="L31" i="10"/>
  <c r="D31" i="10"/>
  <c r="B31" i="10"/>
  <c r="K30" i="10"/>
  <c r="H30" i="10"/>
  <c r="G30" i="10"/>
  <c r="L30" i="10" s="1"/>
  <c r="D30" i="10"/>
  <c r="B30" i="10"/>
  <c r="G29" i="10"/>
  <c r="D29" i="10"/>
  <c r="B29" i="10"/>
  <c r="N28" i="10"/>
  <c r="M28" i="10"/>
  <c r="D28" i="10"/>
  <c r="B28" i="10"/>
  <c r="J22" i="10"/>
  <c r="G22" i="10"/>
  <c r="G47" i="10" s="1"/>
  <c r="C22" i="10"/>
  <c r="J21" i="10"/>
  <c r="G21" i="10"/>
  <c r="C21" i="10"/>
  <c r="J20" i="10"/>
  <c r="E1008" i="10" s="1"/>
  <c r="G20" i="10"/>
  <c r="G45" i="10" s="1"/>
  <c r="C20" i="10"/>
  <c r="J19" i="10"/>
  <c r="E952" i="10" s="1"/>
  <c r="G19" i="10"/>
  <c r="G44" i="10" s="1"/>
  <c r="I44" i="10" s="1"/>
  <c r="C19" i="10"/>
  <c r="J18" i="10"/>
  <c r="E896" i="10" s="1"/>
  <c r="G18" i="10"/>
  <c r="G43" i="10" s="1"/>
  <c r="C18" i="10"/>
  <c r="J17" i="10"/>
  <c r="E840" i="10" s="1"/>
  <c r="G17" i="10"/>
  <c r="C17" i="10"/>
  <c r="J16" i="10"/>
  <c r="E784" i="10" s="1"/>
  <c r="G16" i="10"/>
  <c r="G41" i="10" s="1"/>
  <c r="C16" i="10"/>
  <c r="J15" i="10"/>
  <c r="E728" i="10" s="1"/>
  <c r="G15" i="10"/>
  <c r="G40" i="10" s="1"/>
  <c r="M40" i="10" s="1"/>
  <c r="C15" i="10"/>
  <c r="J14" i="10"/>
  <c r="E672" i="10" s="1"/>
  <c r="G14" i="10"/>
  <c r="G39" i="10" s="1"/>
  <c r="C14" i="10"/>
  <c r="J13" i="10"/>
  <c r="E616" i="10" s="1"/>
  <c r="G13" i="10"/>
  <c r="C13" i="10"/>
  <c r="J12" i="10"/>
  <c r="E560" i="10" s="1"/>
  <c r="G12" i="10"/>
  <c r="G37" i="10" s="1"/>
  <c r="C12" i="10"/>
  <c r="J11" i="10"/>
  <c r="E504" i="10" s="1"/>
  <c r="G11" i="10"/>
  <c r="G36" i="10" s="1"/>
  <c r="C11" i="10"/>
  <c r="J10" i="10"/>
  <c r="E448" i="10" s="1"/>
  <c r="G10" i="10"/>
  <c r="G35" i="10" s="1"/>
  <c r="C10" i="10"/>
  <c r="J9" i="10"/>
  <c r="E392" i="10" s="1"/>
  <c r="J416" i="10" s="1"/>
  <c r="K416" i="10" s="1"/>
  <c r="G9" i="10"/>
  <c r="J8" i="10"/>
  <c r="E336" i="10" s="1"/>
  <c r="J360" i="10" s="1"/>
  <c r="K360" i="10" s="1"/>
  <c r="G8" i="10"/>
  <c r="G33" i="10" s="1"/>
  <c r="J7" i="10"/>
  <c r="E280" i="10" s="1"/>
  <c r="G7" i="10"/>
  <c r="G32" i="10" s="1"/>
  <c r="M32" i="10" s="1"/>
  <c r="J6" i="10"/>
  <c r="E224" i="10" s="1"/>
  <c r="J255" i="10" s="1"/>
  <c r="K255" i="10" s="1"/>
  <c r="G6" i="10"/>
  <c r="G31" i="10" s="1"/>
  <c r="J5" i="10"/>
  <c r="E168" i="10" s="1"/>
  <c r="J199" i="10" s="1"/>
  <c r="K199" i="10" s="1"/>
  <c r="G5" i="10"/>
  <c r="J4" i="10"/>
  <c r="G4" i="10"/>
  <c r="J3" i="10"/>
  <c r="E56" i="10" s="1"/>
  <c r="J81" i="10" s="1"/>
  <c r="K81" i="10" s="1"/>
  <c r="G3" i="10"/>
  <c r="G28" i="10" s="1"/>
  <c r="I28" i="10" s="1"/>
  <c r="L971" i="10" l="1"/>
  <c r="M971" i="10" s="1"/>
  <c r="L793" i="10"/>
  <c r="M793" i="10" s="1"/>
  <c r="L805" i="10"/>
  <c r="M805" i="10" s="1"/>
  <c r="L625" i="10"/>
  <c r="M625" i="10" s="1"/>
  <c r="L633" i="10"/>
  <c r="M633" i="10" s="1"/>
  <c r="M33" i="10"/>
  <c r="I33" i="10"/>
  <c r="L33" i="10"/>
  <c r="H33" i="10"/>
  <c r="J33" i="10"/>
  <c r="N33" i="10"/>
  <c r="O33" i="10"/>
  <c r="K33" i="10"/>
  <c r="L144" i="10"/>
  <c r="M144" i="10" s="1"/>
  <c r="L199" i="10"/>
  <c r="M199" i="10" s="1"/>
  <c r="J304" i="10"/>
  <c r="K304" i="10" s="1"/>
  <c r="J305" i="10"/>
  <c r="K305" i="10" s="1"/>
  <c r="M37" i="10"/>
  <c r="I37" i="10"/>
  <c r="L37" i="10"/>
  <c r="H37" i="10"/>
  <c r="N37" i="10"/>
  <c r="J37" i="10"/>
  <c r="O37" i="10"/>
  <c r="K37" i="10"/>
  <c r="M41" i="10"/>
  <c r="I41" i="10"/>
  <c r="L41" i="10"/>
  <c r="H41" i="10"/>
  <c r="J41" i="10"/>
  <c r="O41" i="10"/>
  <c r="N41" i="10"/>
  <c r="K41" i="10"/>
  <c r="M45" i="10"/>
  <c r="I45" i="10"/>
  <c r="L45" i="10"/>
  <c r="H45" i="10"/>
  <c r="N45" i="10"/>
  <c r="J45" i="10"/>
  <c r="K45" i="10"/>
  <c r="O45" i="10"/>
  <c r="L255" i="10"/>
  <c r="M255" i="10" s="1"/>
  <c r="L525" i="10"/>
  <c r="M525" i="10" s="1"/>
  <c r="M29" i="10"/>
  <c r="I29" i="10"/>
  <c r="L29" i="10"/>
  <c r="H29" i="10"/>
  <c r="F185" i="10"/>
  <c r="H185" i="10" s="1"/>
  <c r="I185" i="10"/>
  <c r="K185" i="10" s="1"/>
  <c r="L185" i="10" s="1"/>
  <c r="M185" i="10" s="1"/>
  <c r="A173" i="10"/>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J477" i="10"/>
  <c r="K477" i="10" s="1"/>
  <c r="G476" i="10"/>
  <c r="H476" i="10" s="1"/>
  <c r="J463" i="10"/>
  <c r="K463" i="10" s="1"/>
  <c r="L463" i="10" s="1"/>
  <c r="M463" i="10" s="1"/>
  <c r="J480" i="10"/>
  <c r="K480" i="10" s="1"/>
  <c r="J479" i="10"/>
  <c r="K479" i="10" s="1"/>
  <c r="J478" i="10"/>
  <c r="K478" i="10" s="1"/>
  <c r="L478" i="10" s="1"/>
  <c r="M478" i="10" s="1"/>
  <c r="G477" i="10"/>
  <c r="H477" i="10" s="1"/>
  <c r="G473" i="10"/>
  <c r="H473" i="10" s="1"/>
  <c r="G472" i="10"/>
  <c r="H472" i="10" s="1"/>
  <c r="J476" i="10"/>
  <c r="K476" i="10" s="1"/>
  <c r="L476" i="10" s="1"/>
  <c r="M476" i="10" s="1"/>
  <c r="G480" i="10"/>
  <c r="H480" i="10" s="1"/>
  <c r="I460" i="10"/>
  <c r="J460" i="10" s="1"/>
  <c r="K460" i="10" s="1"/>
  <c r="J473" i="10"/>
  <c r="K473" i="10" s="1"/>
  <c r="L473" i="10" s="1"/>
  <c r="M473" i="10" s="1"/>
  <c r="J472" i="10"/>
  <c r="K472" i="10" s="1"/>
  <c r="L635" i="10"/>
  <c r="M635" i="10" s="1"/>
  <c r="O31" i="10"/>
  <c r="K31" i="10"/>
  <c r="N31" i="10"/>
  <c r="J31" i="10"/>
  <c r="L36" i="10"/>
  <c r="H36" i="10"/>
  <c r="O36" i="10"/>
  <c r="K36" i="10"/>
  <c r="J1040" i="10"/>
  <c r="K1040" i="10" s="1"/>
  <c r="J1039" i="10"/>
  <c r="K1039" i="10" s="1"/>
  <c r="J1038" i="10"/>
  <c r="L1038" i="10" s="1"/>
  <c r="M1038" i="10" s="1"/>
  <c r="J1037" i="10"/>
  <c r="L1037" i="10" s="1"/>
  <c r="M1037" i="10" s="1"/>
  <c r="N34" i="10"/>
  <c r="J34" i="10"/>
  <c r="M34" i="10"/>
  <c r="I34" i="10"/>
  <c r="O34" i="10"/>
  <c r="N36" i="10"/>
  <c r="O42" i="10"/>
  <c r="L61" i="10"/>
  <c r="M61" i="10" s="1"/>
  <c r="F465" i="10"/>
  <c r="H465" i="10" s="1"/>
  <c r="A453" i="10"/>
  <c r="A454" i="10" s="1"/>
  <c r="A455" i="10" s="1"/>
  <c r="A456" i="10" s="1"/>
  <c r="A457" i="10" s="1"/>
  <c r="A458" i="10" s="1"/>
  <c r="A459" i="10" s="1"/>
  <c r="A460" i="10" s="1"/>
  <c r="A461" i="10" s="1"/>
  <c r="A462" i="10" s="1"/>
  <c r="A463" i="10" s="1"/>
  <c r="A464" i="10" s="1"/>
  <c r="A465" i="10" s="1"/>
  <c r="A466" i="10" s="1"/>
  <c r="A467" i="10" s="1"/>
  <c r="A468" i="10" s="1"/>
  <c r="A469" i="10" s="1"/>
  <c r="A470" i="10" s="1"/>
  <c r="A471" i="10" s="1"/>
  <c r="A472" i="10" s="1"/>
  <c r="A473" i="10" s="1"/>
  <c r="A474" i="10" s="1"/>
  <c r="A475" i="10" s="1"/>
  <c r="A476" i="10" s="1"/>
  <c r="A477" i="10" s="1"/>
  <c r="A478" i="10" s="1"/>
  <c r="A479" i="10" s="1"/>
  <c r="A480" i="10" s="1"/>
  <c r="A481" i="10" s="1"/>
  <c r="A482" i="10" s="1"/>
  <c r="A483" i="10" s="1"/>
  <c r="A484" i="10" s="1"/>
  <c r="A485" i="10" s="1"/>
  <c r="A486" i="10" s="1"/>
  <c r="A487" i="10" s="1"/>
  <c r="A488" i="10" s="1"/>
  <c r="A489" i="10" s="1"/>
  <c r="A490" i="10" s="1"/>
  <c r="A491" i="10" s="1"/>
  <c r="A492" i="10" s="1"/>
  <c r="A493" i="10" s="1"/>
  <c r="A494" i="10" s="1"/>
  <c r="A495" i="10" s="1"/>
  <c r="A496" i="10" s="1"/>
  <c r="L688" i="10"/>
  <c r="M688" i="10" s="1"/>
  <c r="O35" i="10"/>
  <c r="K35" i="10"/>
  <c r="N35" i="10"/>
  <c r="J35" i="10"/>
  <c r="O39" i="10"/>
  <c r="K39" i="10"/>
  <c r="N39" i="10"/>
  <c r="J39" i="10"/>
  <c r="O43" i="10"/>
  <c r="K43" i="10"/>
  <c r="N43" i="10"/>
  <c r="J43" i="10"/>
  <c r="O47" i="10"/>
  <c r="K47" i="10"/>
  <c r="N47" i="10"/>
  <c r="J47" i="10"/>
  <c r="K29" i="10"/>
  <c r="H31" i="10"/>
  <c r="H34" i="10"/>
  <c r="L35" i="10"/>
  <c r="I36" i="10"/>
  <c r="H39" i="10"/>
  <c r="L43" i="10"/>
  <c r="H47" i="10"/>
  <c r="I73" i="10"/>
  <c r="K73" i="10" s="1"/>
  <c r="L73" i="10" s="1"/>
  <c r="M73" i="10" s="1"/>
  <c r="A61" i="10"/>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J78" i="10"/>
  <c r="L78" i="10" s="1"/>
  <c r="M78" i="10" s="1"/>
  <c r="J75" i="10"/>
  <c r="K75" i="10" s="1"/>
  <c r="J69" i="10"/>
  <c r="L69" i="10" s="1"/>
  <c r="M69" i="10" s="1"/>
  <c r="G66" i="10"/>
  <c r="H66" i="10" s="1"/>
  <c r="G77" i="10"/>
  <c r="H77" i="10" s="1"/>
  <c r="G72" i="10"/>
  <c r="H72" i="10" s="1"/>
  <c r="L72" i="10" s="1"/>
  <c r="M72" i="10" s="1"/>
  <c r="J70" i="10"/>
  <c r="L70" i="10" s="1"/>
  <c r="M70" i="10" s="1"/>
  <c r="J63" i="10"/>
  <c r="G62" i="10"/>
  <c r="H62" i="10" s="1"/>
  <c r="L62" i="10" s="1"/>
  <c r="M62" i="10" s="1"/>
  <c r="G69" i="10"/>
  <c r="H69" i="10" s="1"/>
  <c r="G75" i="10"/>
  <c r="H75" i="10" s="1"/>
  <c r="K123" i="10"/>
  <c r="G127" i="10"/>
  <c r="H127" i="10" s="1"/>
  <c r="J134" i="10"/>
  <c r="G142" i="10"/>
  <c r="H142" i="10" s="1"/>
  <c r="L142" i="10" s="1"/>
  <c r="M142" i="10" s="1"/>
  <c r="H179" i="10"/>
  <c r="J174" i="10"/>
  <c r="G192" i="10"/>
  <c r="H192" i="10" s="1"/>
  <c r="J198" i="10"/>
  <c r="K198" i="10" s="1"/>
  <c r="G200" i="10"/>
  <c r="H200" i="10" s="1"/>
  <c r="H254" i="10"/>
  <c r="J256" i="10"/>
  <c r="K256" i="10" s="1"/>
  <c r="L297" i="10"/>
  <c r="M297" i="10" s="1"/>
  <c r="G456" i="10"/>
  <c r="G479" i="10"/>
  <c r="H479" i="10" s="1"/>
  <c r="L509" i="10"/>
  <c r="M509" i="10" s="1"/>
  <c r="K515" i="10"/>
  <c r="J582" i="10"/>
  <c r="L582" i="10" s="1"/>
  <c r="M582" i="10" s="1"/>
  <c r="O29" i="10"/>
  <c r="G190" i="10"/>
  <c r="H190" i="10" s="1"/>
  <c r="G187" i="10"/>
  <c r="H187" i="10" s="1"/>
  <c r="J189" i="10"/>
  <c r="J184" i="10"/>
  <c r="K184" i="10" s="1"/>
  <c r="J187" i="10"/>
  <c r="K187" i="10" s="1"/>
  <c r="J181" i="10"/>
  <c r="L181" i="10" s="1"/>
  <c r="M181" i="10" s="1"/>
  <c r="G178" i="10"/>
  <c r="H178" i="10" s="1"/>
  <c r="J190" i="10"/>
  <c r="G184" i="10"/>
  <c r="H184" i="10" s="1"/>
  <c r="J182" i="10"/>
  <c r="L182" i="10" s="1"/>
  <c r="M182" i="10" s="1"/>
  <c r="J175" i="10"/>
  <c r="G174" i="10"/>
  <c r="H174" i="10" s="1"/>
  <c r="G181" i="10"/>
  <c r="H181" i="10" s="1"/>
  <c r="L238" i="10"/>
  <c r="M238" i="10" s="1"/>
  <c r="L341" i="10"/>
  <c r="M341" i="10" s="1"/>
  <c r="L368" i="10"/>
  <c r="M368" i="10" s="1"/>
  <c r="F409" i="10"/>
  <c r="H409" i="10" s="1"/>
  <c r="I409" i="10"/>
  <c r="K409" i="10" s="1"/>
  <c r="L409" i="10" s="1"/>
  <c r="M409" i="10" s="1"/>
  <c r="A397" i="10"/>
  <c r="A398" i="10" s="1"/>
  <c r="A399" i="10" s="1"/>
  <c r="A400" i="10" s="1"/>
  <c r="A401" i="10" s="1"/>
  <c r="A402" i="10" s="1"/>
  <c r="A403" i="10" s="1"/>
  <c r="A404" i="10" s="1"/>
  <c r="A405" i="10" s="1"/>
  <c r="A406" i="10" s="1"/>
  <c r="A407" i="10" s="1"/>
  <c r="A408" i="10" s="1"/>
  <c r="A409" i="10" s="1"/>
  <c r="A410" i="10" s="1"/>
  <c r="A411" i="10" s="1"/>
  <c r="A412" i="10" s="1"/>
  <c r="A413" i="10" s="1"/>
  <c r="A414" i="10" s="1"/>
  <c r="A415" i="10" s="1"/>
  <c r="A416" i="10" s="1"/>
  <c r="A417" i="10" s="1"/>
  <c r="A418" i="10" s="1"/>
  <c r="A419" i="10" s="1"/>
  <c r="A420" i="10" s="1"/>
  <c r="A421" i="10" s="1"/>
  <c r="A422" i="10" s="1"/>
  <c r="A423" i="10" s="1"/>
  <c r="A424" i="10" s="1"/>
  <c r="A425" i="10" s="1"/>
  <c r="A426" i="10" s="1"/>
  <c r="A427" i="10" s="1"/>
  <c r="A428" i="10" s="1"/>
  <c r="A429" i="10" s="1"/>
  <c r="A430" i="10" s="1"/>
  <c r="A431" i="10" s="1"/>
  <c r="A432" i="10" s="1"/>
  <c r="A433" i="10" s="1"/>
  <c r="A434" i="10" s="1"/>
  <c r="A435" i="10" s="1"/>
  <c r="A436" i="10" s="1"/>
  <c r="A437" i="10" s="1"/>
  <c r="A438" i="10" s="1"/>
  <c r="A439" i="10" s="1"/>
  <c r="A440" i="10" s="1"/>
  <c r="G414" i="10"/>
  <c r="H414" i="10" s="1"/>
  <c r="G411" i="10"/>
  <c r="H411" i="10" s="1"/>
  <c r="G405" i="10"/>
  <c r="H405" i="10" s="1"/>
  <c r="J402" i="10"/>
  <c r="K402" i="10" s="1"/>
  <c r="J400" i="10"/>
  <c r="J398" i="10"/>
  <c r="G413" i="10"/>
  <c r="H413" i="10" s="1"/>
  <c r="G408" i="10"/>
  <c r="H408" i="10" s="1"/>
  <c r="J406" i="10"/>
  <c r="L406" i="10" s="1"/>
  <c r="M406" i="10" s="1"/>
  <c r="J399" i="10"/>
  <c r="J413" i="10"/>
  <c r="L413" i="10" s="1"/>
  <c r="M413" i="10" s="1"/>
  <c r="J405" i="10"/>
  <c r="L405" i="10" s="1"/>
  <c r="M405" i="10" s="1"/>
  <c r="J414" i="10"/>
  <c r="L414" i="10" s="1"/>
  <c r="M414" i="10" s="1"/>
  <c r="J408" i="10"/>
  <c r="G406" i="10"/>
  <c r="H406" i="10" s="1"/>
  <c r="G402" i="10"/>
  <c r="H402" i="10" s="1"/>
  <c r="G400" i="10"/>
  <c r="G398" i="10"/>
  <c r="H398" i="10" s="1"/>
  <c r="J411" i="10"/>
  <c r="K411" i="10" s="1"/>
  <c r="L411" i="10" s="1"/>
  <c r="M411" i="10" s="1"/>
  <c r="K459" i="10"/>
  <c r="L453" i="10"/>
  <c r="M453" i="10" s="1"/>
  <c r="F460" i="10"/>
  <c r="G460" i="10" s="1"/>
  <c r="H460" i="10" s="1"/>
  <c r="J464" i="10"/>
  <c r="K464" i="10" s="1"/>
  <c r="L40" i="10"/>
  <c r="H40" i="10"/>
  <c r="O40" i="10"/>
  <c r="K40" i="10"/>
  <c r="J809" i="10"/>
  <c r="L809" i="10" s="1"/>
  <c r="M809" i="10" s="1"/>
  <c r="J813" i="10"/>
  <c r="J812" i="10"/>
  <c r="L44" i="10"/>
  <c r="H44" i="10"/>
  <c r="O44" i="10"/>
  <c r="K44" i="10"/>
  <c r="J29" i="10"/>
  <c r="M31" i="10"/>
  <c r="J40" i="10"/>
  <c r="N42" i="10"/>
  <c r="J42" i="10"/>
  <c r="M42" i="10"/>
  <c r="I42" i="10"/>
  <c r="N44" i="10"/>
  <c r="J77" i="10"/>
  <c r="G175" i="10"/>
  <c r="J178" i="10"/>
  <c r="K178" i="10" s="1"/>
  <c r="L178" i="10" s="1"/>
  <c r="M178" i="10" s="1"/>
  <c r="G189" i="10"/>
  <c r="H189" i="10" s="1"/>
  <c r="L237" i="10"/>
  <c r="M237" i="10" s="1"/>
  <c r="G470" i="10"/>
  <c r="H470" i="10" s="1"/>
  <c r="G467" i="10"/>
  <c r="H467" i="10" s="1"/>
  <c r="G461" i="10"/>
  <c r="H461" i="10" s="1"/>
  <c r="J458" i="10"/>
  <c r="K458" i="10" s="1"/>
  <c r="J456" i="10"/>
  <c r="G455" i="10"/>
  <c r="G469" i="10"/>
  <c r="H469" i="10" s="1"/>
  <c r="G464" i="10"/>
  <c r="H464" i="10" s="1"/>
  <c r="J462" i="10"/>
  <c r="L462" i="10" s="1"/>
  <c r="M462" i="10" s="1"/>
  <c r="J455" i="10"/>
  <c r="G454" i="10"/>
  <c r="H454" i="10" s="1"/>
  <c r="J467" i="10"/>
  <c r="K467" i="10" s="1"/>
  <c r="J469" i="10"/>
  <c r="L469" i="10" s="1"/>
  <c r="M469" i="10" s="1"/>
  <c r="J461" i="10"/>
  <c r="L461" i="10" s="1"/>
  <c r="M461" i="10" s="1"/>
  <c r="J454" i="10"/>
  <c r="L454" i="10" s="1"/>
  <c r="M454" i="10" s="1"/>
  <c r="G458" i="10"/>
  <c r="H458" i="10" s="1"/>
  <c r="I465" i="10"/>
  <c r="K465" i="10" s="1"/>
  <c r="L465" i="10" s="1"/>
  <c r="M465" i="10" s="1"/>
  <c r="J628" i="10"/>
  <c r="L621" i="10"/>
  <c r="M621" i="10" s="1"/>
  <c r="L28" i="10"/>
  <c r="H28" i="10"/>
  <c r="O28" i="10"/>
  <c r="K28" i="10"/>
  <c r="L32" i="10"/>
  <c r="H32" i="10"/>
  <c r="O32" i="10"/>
  <c r="K32" i="10"/>
  <c r="J28" i="10"/>
  <c r="N29" i="10"/>
  <c r="N30" i="10"/>
  <c r="J30" i="10"/>
  <c r="M30" i="10"/>
  <c r="I30" i="10"/>
  <c r="O30" i="10"/>
  <c r="I31" i="10"/>
  <c r="N32" i="10"/>
  <c r="K34" i="10"/>
  <c r="J36" i="10"/>
  <c r="N38" i="10"/>
  <c r="J38" i="10"/>
  <c r="M38" i="10"/>
  <c r="I38" i="10"/>
  <c r="O38" i="10"/>
  <c r="N40" i="10"/>
  <c r="K42" i="10"/>
  <c r="J44" i="10"/>
  <c r="N46" i="10"/>
  <c r="J46" i="10"/>
  <c r="M46" i="10"/>
  <c r="I46" i="10"/>
  <c r="O46" i="10"/>
  <c r="L66" i="10"/>
  <c r="M66" i="10" s="1"/>
  <c r="K67" i="10"/>
  <c r="J80" i="10"/>
  <c r="K80" i="10" s="1"/>
  <c r="L84" i="10"/>
  <c r="M84" i="10" s="1"/>
  <c r="L85" i="10"/>
  <c r="M85" i="10" s="1"/>
  <c r="J141" i="10"/>
  <c r="K141" i="10" s="1"/>
  <c r="L141" i="10" s="1"/>
  <c r="M141" i="10" s="1"/>
  <c r="G140" i="10"/>
  <c r="H140" i="10" s="1"/>
  <c r="G134" i="10"/>
  <c r="H134" i="10" s="1"/>
  <c r="G131" i="10"/>
  <c r="H131" i="10" s="1"/>
  <c r="J127" i="10"/>
  <c r="K127" i="10" s="1"/>
  <c r="L127" i="10" s="1"/>
  <c r="M127" i="10" s="1"/>
  <c r="G125" i="10"/>
  <c r="H125" i="10" s="1"/>
  <c r="L125" i="10" s="1"/>
  <c r="M125" i="10" s="1"/>
  <c r="J122" i="10"/>
  <c r="K122" i="10" s="1"/>
  <c r="L122" i="10" s="1"/>
  <c r="M122" i="10" s="1"/>
  <c r="J120" i="10"/>
  <c r="G119" i="10"/>
  <c r="J140" i="10"/>
  <c r="K140" i="10" s="1"/>
  <c r="L140" i="10" s="1"/>
  <c r="M140" i="10" s="1"/>
  <c r="J137" i="10"/>
  <c r="K137" i="10" s="1"/>
  <c r="L137" i="10" s="1"/>
  <c r="M137" i="10" s="1"/>
  <c r="J136" i="10"/>
  <c r="K136" i="10" s="1"/>
  <c r="F124" i="10"/>
  <c r="G124" i="10" s="1"/>
  <c r="H124" i="10" s="1"/>
  <c r="H132" i="10" s="1"/>
  <c r="J126" i="10"/>
  <c r="J131" i="10"/>
  <c r="K131" i="10" s="1"/>
  <c r="G143" i="10"/>
  <c r="H143" i="10" s="1"/>
  <c r="J200" i="10"/>
  <c r="K200" i="10" s="1"/>
  <c r="L173" i="10"/>
  <c r="M173" i="10" s="1"/>
  <c r="J176" i="10"/>
  <c r="G182" i="10"/>
  <c r="H182" i="10" s="1"/>
  <c r="L246" i="10"/>
  <c r="M246" i="10" s="1"/>
  <c r="L298" i="10"/>
  <c r="M298" i="10" s="1"/>
  <c r="G463" i="10"/>
  <c r="H463" i="10" s="1"/>
  <c r="J470" i="10"/>
  <c r="L470" i="10" s="1"/>
  <c r="M470" i="10" s="1"/>
  <c r="G478" i="10"/>
  <c r="H478" i="10" s="1"/>
  <c r="L911" i="10"/>
  <c r="M911" i="10" s="1"/>
  <c r="J760" i="10"/>
  <c r="K760" i="10" s="1"/>
  <c r="J759" i="10"/>
  <c r="K759" i="10" s="1"/>
  <c r="J757" i="10"/>
  <c r="L757" i="10" s="1"/>
  <c r="M757" i="10" s="1"/>
  <c r="J753" i="10"/>
  <c r="L753" i="10" s="1"/>
  <c r="M753" i="10" s="1"/>
  <c r="J758" i="10"/>
  <c r="L758" i="10" s="1"/>
  <c r="M758" i="10" s="1"/>
  <c r="J752" i="10"/>
  <c r="J984" i="10"/>
  <c r="J983" i="10"/>
  <c r="J982" i="10"/>
  <c r="L982" i="10" s="1"/>
  <c r="M982" i="10" s="1"/>
  <c r="G80" i="10"/>
  <c r="H80" i="10" s="1"/>
  <c r="G81" i="10"/>
  <c r="H81" i="10" s="1"/>
  <c r="L81" i="10" s="1"/>
  <c r="M81" i="10" s="1"/>
  <c r="G85" i="10"/>
  <c r="H85" i="10" s="1"/>
  <c r="J86" i="10"/>
  <c r="K86" i="10" s="1"/>
  <c r="L86" i="10" s="1"/>
  <c r="M86" i="10" s="1"/>
  <c r="J87" i="10"/>
  <c r="K87" i="10" s="1"/>
  <c r="J88" i="10"/>
  <c r="K88" i="10" s="1"/>
  <c r="J118" i="10"/>
  <c r="L118" i="10" s="1"/>
  <c r="M118" i="10" s="1"/>
  <c r="G120" i="10"/>
  <c r="G126" i="10"/>
  <c r="H126" i="10" s="1"/>
  <c r="J128" i="10"/>
  <c r="K128" i="10" s="1"/>
  <c r="L128" i="10" s="1"/>
  <c r="M128" i="10" s="1"/>
  <c r="G183" i="10"/>
  <c r="H183" i="10" s="1"/>
  <c r="G198" i="10"/>
  <c r="H198" i="10" s="1"/>
  <c r="G239" i="10"/>
  <c r="H239" i="10" s="1"/>
  <c r="L241" i="10"/>
  <c r="M241" i="10" s="1"/>
  <c r="G312" i="10"/>
  <c r="H312" i="10" s="1"/>
  <c r="G311" i="10"/>
  <c r="H311" i="10" s="1"/>
  <c r="G310" i="10"/>
  <c r="H310" i="10" s="1"/>
  <c r="G295" i="10"/>
  <c r="H295" i="10" s="1"/>
  <c r="I292" i="10"/>
  <c r="J292" i="10" s="1"/>
  <c r="K292" i="10" s="1"/>
  <c r="L292" i="10" s="1"/>
  <c r="M292" i="10" s="1"/>
  <c r="J312" i="10"/>
  <c r="K312" i="10" s="1"/>
  <c r="J311" i="10"/>
  <c r="K311" i="10" s="1"/>
  <c r="J310" i="10"/>
  <c r="K310" i="10" s="1"/>
  <c r="L310" i="10" s="1"/>
  <c r="M310" i="10" s="1"/>
  <c r="G309" i="10"/>
  <c r="H309" i="10" s="1"/>
  <c r="L309" i="10" s="1"/>
  <c r="M309" i="10" s="1"/>
  <c r="G305" i="10"/>
  <c r="H305" i="10" s="1"/>
  <c r="G304" i="10"/>
  <c r="H304" i="10" s="1"/>
  <c r="F292" i="10"/>
  <c r="G292" i="10" s="1"/>
  <c r="H292" i="10" s="1"/>
  <c r="G294" i="10"/>
  <c r="H294" i="10" s="1"/>
  <c r="J296" i="10"/>
  <c r="J301" i="10"/>
  <c r="J308" i="10"/>
  <c r="K308" i="10" s="1"/>
  <c r="L308" i="10" s="1"/>
  <c r="M308" i="10" s="1"/>
  <c r="F353" i="10"/>
  <c r="H353" i="10" s="1"/>
  <c r="L353" i="10" s="1"/>
  <c r="M353" i="10" s="1"/>
  <c r="A341" i="10"/>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G358" i="10"/>
  <c r="H358" i="10" s="1"/>
  <c r="G355" i="10"/>
  <c r="H355" i="10" s="1"/>
  <c r="G357" i="10"/>
  <c r="H357" i="10" s="1"/>
  <c r="L357" i="10" s="1"/>
  <c r="M357" i="10" s="1"/>
  <c r="J355" i="10"/>
  <c r="K355" i="10" s="1"/>
  <c r="J352" i="10"/>
  <c r="K352" i="10" s="1"/>
  <c r="L352" i="10" s="1"/>
  <c r="M352" i="10" s="1"/>
  <c r="G350" i="10"/>
  <c r="H350" i="10" s="1"/>
  <c r="L350" i="10" s="1"/>
  <c r="M350" i="10" s="1"/>
  <c r="G344" i="10"/>
  <c r="J358" i="10"/>
  <c r="J349" i="10"/>
  <c r="L349" i="10" s="1"/>
  <c r="M349" i="10" s="1"/>
  <c r="G346" i="10"/>
  <c r="H346" i="10" s="1"/>
  <c r="G342" i="10"/>
  <c r="H342" i="10" s="1"/>
  <c r="H347" i="10" s="1"/>
  <c r="J346" i="10"/>
  <c r="K346" i="10" s="1"/>
  <c r="G525" i="10"/>
  <c r="H525" i="10" s="1"/>
  <c r="G529" i="10"/>
  <c r="H529" i="10" s="1"/>
  <c r="G528" i="10"/>
  <c r="H528" i="10" s="1"/>
  <c r="G526" i="10"/>
  <c r="H526" i="10" s="1"/>
  <c r="L521" i="10"/>
  <c r="M521" i="10" s="1"/>
  <c r="J592" i="10"/>
  <c r="K592" i="10" s="1"/>
  <c r="J591" i="10"/>
  <c r="K591" i="10" s="1"/>
  <c r="J590" i="10"/>
  <c r="G589" i="10"/>
  <c r="H589" i="10" s="1"/>
  <c r="G585" i="10"/>
  <c r="H585" i="10" s="1"/>
  <c r="G584" i="10"/>
  <c r="H584" i="10" s="1"/>
  <c r="G592" i="10"/>
  <c r="H592" i="10" s="1"/>
  <c r="G590" i="10"/>
  <c r="H590" i="10" s="1"/>
  <c r="J588" i="10"/>
  <c r="L588" i="10" s="1"/>
  <c r="M588" i="10" s="1"/>
  <c r="J575" i="10"/>
  <c r="L575" i="10" s="1"/>
  <c r="M575" i="10" s="1"/>
  <c r="J584" i="10"/>
  <c r="G588" i="10"/>
  <c r="H588" i="10" s="1"/>
  <c r="J585" i="10"/>
  <c r="L585" i="10" s="1"/>
  <c r="M585" i="10" s="1"/>
  <c r="G591" i="10"/>
  <c r="H591" i="10" s="1"/>
  <c r="I572" i="10"/>
  <c r="J572" i="10" s="1"/>
  <c r="L565" i="10"/>
  <c r="M565" i="10" s="1"/>
  <c r="G568" i="10"/>
  <c r="G570" i="10"/>
  <c r="H570" i="10" s="1"/>
  <c r="F572" i="10"/>
  <c r="G572" i="10" s="1"/>
  <c r="H572" i="10" s="1"/>
  <c r="G574" i="10"/>
  <c r="H574" i="10" s="1"/>
  <c r="J576" i="10"/>
  <c r="J589" i="10"/>
  <c r="J697" i="10"/>
  <c r="J696" i="10"/>
  <c r="J693" i="10"/>
  <c r="J927" i="10"/>
  <c r="J925" i="10"/>
  <c r="L925" i="10" s="1"/>
  <c r="M925" i="10" s="1"/>
  <c r="J921" i="10"/>
  <c r="L921" i="10" s="1"/>
  <c r="M921" i="10" s="1"/>
  <c r="J920" i="10"/>
  <c r="J924" i="10"/>
  <c r="L924" i="10" s="1"/>
  <c r="M924" i="10" s="1"/>
  <c r="I68" i="10"/>
  <c r="J68" i="10" s="1"/>
  <c r="K68" i="10" s="1"/>
  <c r="L68" i="10" s="1"/>
  <c r="M68" i="10" s="1"/>
  <c r="G71" i="10"/>
  <c r="H71" i="10" s="1"/>
  <c r="L71" i="10" s="1"/>
  <c r="M71" i="10" s="1"/>
  <c r="G86" i="10"/>
  <c r="H86" i="10" s="1"/>
  <c r="G87" i="10"/>
  <c r="H87" i="10" s="1"/>
  <c r="J197" i="10"/>
  <c r="K197" i="10" s="1"/>
  <c r="L197" i="10" s="1"/>
  <c r="M197" i="10" s="1"/>
  <c r="G196" i="10"/>
  <c r="H196" i="10" s="1"/>
  <c r="J183" i="10"/>
  <c r="L183" i="10" s="1"/>
  <c r="M183" i="10" s="1"/>
  <c r="J196" i="10"/>
  <c r="K196" i="10" s="1"/>
  <c r="J193" i="10"/>
  <c r="K193" i="10" s="1"/>
  <c r="L193" i="10" s="1"/>
  <c r="M193" i="10" s="1"/>
  <c r="J192" i="10"/>
  <c r="K192" i="10" s="1"/>
  <c r="I180" i="10"/>
  <c r="J180" i="10" s="1"/>
  <c r="K180" i="10" s="1"/>
  <c r="L180" i="10" s="1"/>
  <c r="M180" i="10" s="1"/>
  <c r="G199" i="10"/>
  <c r="H199" i="10" s="1"/>
  <c r="J253" i="10"/>
  <c r="K253" i="10" s="1"/>
  <c r="G252" i="10"/>
  <c r="H252" i="10" s="1"/>
  <c r="J239" i="10"/>
  <c r="L239" i="10" s="1"/>
  <c r="M239" i="10" s="1"/>
  <c r="J252" i="10"/>
  <c r="K252" i="10" s="1"/>
  <c r="J249" i="10"/>
  <c r="K249" i="10" s="1"/>
  <c r="L249" i="10" s="1"/>
  <c r="M249" i="10" s="1"/>
  <c r="J248" i="10"/>
  <c r="K248" i="10" s="1"/>
  <c r="F236" i="10"/>
  <c r="G236" i="10" s="1"/>
  <c r="H236" i="10" s="1"/>
  <c r="L236" i="10" s="1"/>
  <c r="M236" i="10" s="1"/>
  <c r="G248" i="10"/>
  <c r="H248" i="10" s="1"/>
  <c r="G253" i="10"/>
  <c r="H253" i="10" s="1"/>
  <c r="J254" i="10"/>
  <c r="K254" i="10" s="1"/>
  <c r="L254" i="10" s="1"/>
  <c r="M254" i="10" s="1"/>
  <c r="G256" i="10"/>
  <c r="H256" i="10" s="1"/>
  <c r="J302" i="10"/>
  <c r="L302" i="10" s="1"/>
  <c r="M302" i="10" s="1"/>
  <c r="L295" i="10"/>
  <c r="M295" i="10" s="1"/>
  <c r="J421" i="10"/>
  <c r="K421" i="10" s="1"/>
  <c r="L421" i="10" s="1"/>
  <c r="M421" i="10" s="1"/>
  <c r="G420" i="10"/>
  <c r="H420" i="10" s="1"/>
  <c r="J407" i="10"/>
  <c r="K407" i="10" s="1"/>
  <c r="J424" i="10"/>
  <c r="K424" i="10" s="1"/>
  <c r="J423" i="10"/>
  <c r="K423" i="10" s="1"/>
  <c r="J422" i="10"/>
  <c r="K422" i="10" s="1"/>
  <c r="L422" i="10" s="1"/>
  <c r="M422" i="10" s="1"/>
  <c r="G421" i="10"/>
  <c r="H421" i="10" s="1"/>
  <c r="G417" i="10"/>
  <c r="H417" i="10" s="1"/>
  <c r="G416" i="10"/>
  <c r="H416" i="10" s="1"/>
  <c r="G424" i="10"/>
  <c r="H424" i="10" s="1"/>
  <c r="I404" i="10"/>
  <c r="J404" i="10" s="1"/>
  <c r="K404" i="10" s="1"/>
  <c r="L404" i="10" s="1"/>
  <c r="M404" i="10" s="1"/>
  <c r="G423" i="10"/>
  <c r="H423" i="10" s="1"/>
  <c r="J417" i="10"/>
  <c r="K417" i="10" s="1"/>
  <c r="L417" i="10" s="1"/>
  <c r="M417" i="10" s="1"/>
  <c r="F404" i="10"/>
  <c r="G404" i="10" s="1"/>
  <c r="H404" i="10" s="1"/>
  <c r="G407" i="10"/>
  <c r="H407" i="10" s="1"/>
  <c r="J420" i="10"/>
  <c r="K420" i="10" s="1"/>
  <c r="L420" i="10" s="1"/>
  <c r="M420" i="10" s="1"/>
  <c r="H459" i="10"/>
  <c r="L533" i="10"/>
  <c r="M533" i="10" s="1"/>
  <c r="F577" i="10"/>
  <c r="H577" i="10" s="1"/>
  <c r="A565" i="10"/>
  <c r="A566" i="10" s="1"/>
  <c r="A567" i="10" s="1"/>
  <c r="A568" i="10" s="1"/>
  <c r="A569" i="10" s="1"/>
  <c r="A570" i="10" s="1"/>
  <c r="A571" i="10" s="1"/>
  <c r="A572" i="10" s="1"/>
  <c r="A573" i="10" s="1"/>
  <c r="A574" i="10" s="1"/>
  <c r="A575" i="10" s="1"/>
  <c r="A576" i="10" s="1"/>
  <c r="A577" i="10" s="1"/>
  <c r="A578" i="10" s="1"/>
  <c r="A579" i="10" s="1"/>
  <c r="A580" i="10" s="1"/>
  <c r="A581" i="10" s="1"/>
  <c r="A582" i="10" s="1"/>
  <c r="A583" i="10" s="1"/>
  <c r="A584" i="10" s="1"/>
  <c r="A585" i="10" s="1"/>
  <c r="A586" i="10" s="1"/>
  <c r="A587" i="10" s="1"/>
  <c r="A588" i="10" s="1"/>
  <c r="A589" i="10" s="1"/>
  <c r="A590" i="10" s="1"/>
  <c r="A591" i="10" s="1"/>
  <c r="A592" i="10" s="1"/>
  <c r="A593" i="10" s="1"/>
  <c r="A594" i="10" s="1"/>
  <c r="A595" i="10" s="1"/>
  <c r="A596" i="10" s="1"/>
  <c r="A597" i="10" s="1"/>
  <c r="A598" i="10" s="1"/>
  <c r="A599" i="10" s="1"/>
  <c r="A600" i="10" s="1"/>
  <c r="A601" i="10" s="1"/>
  <c r="A602" i="10" s="1"/>
  <c r="A603" i="10" s="1"/>
  <c r="A604" i="10" s="1"/>
  <c r="A605" i="10" s="1"/>
  <c r="A606" i="10" s="1"/>
  <c r="A607" i="10" s="1"/>
  <c r="A608" i="10" s="1"/>
  <c r="G582" i="10"/>
  <c r="H582" i="10" s="1"/>
  <c r="G579" i="10"/>
  <c r="H579" i="10" s="1"/>
  <c r="G573" i="10"/>
  <c r="H573" i="10" s="1"/>
  <c r="J570" i="10"/>
  <c r="L570" i="10" s="1"/>
  <c r="M570" i="10" s="1"/>
  <c r="J568" i="10"/>
  <c r="G567" i="10"/>
  <c r="G581" i="10"/>
  <c r="H581" i="10" s="1"/>
  <c r="G576" i="10"/>
  <c r="H576" i="10" s="1"/>
  <c r="J574" i="10"/>
  <c r="J567" i="10"/>
  <c r="G566" i="10"/>
  <c r="H566" i="10" s="1"/>
  <c r="L566" i="10" s="1"/>
  <c r="M566" i="10" s="1"/>
  <c r="J579" i="10"/>
  <c r="L579" i="10" s="1"/>
  <c r="M579" i="10" s="1"/>
  <c r="J581" i="10"/>
  <c r="J573" i="10"/>
  <c r="I577" i="10"/>
  <c r="L577" i="10" s="1"/>
  <c r="M577" i="10" s="1"/>
  <c r="L648" i="10"/>
  <c r="M648" i="10" s="1"/>
  <c r="J230" i="10"/>
  <c r="L230" i="10" s="1"/>
  <c r="M230" i="10" s="1"/>
  <c r="G232" i="10"/>
  <c r="G238" i="10"/>
  <c r="H238" i="10" s="1"/>
  <c r="J240" i="10"/>
  <c r="K240" i="10" s="1"/>
  <c r="L240" i="10" s="1"/>
  <c r="M240" i="10" s="1"/>
  <c r="J245" i="10"/>
  <c r="L245" i="10" s="1"/>
  <c r="M245" i="10" s="1"/>
  <c r="J287" i="10"/>
  <c r="J294" i="10"/>
  <c r="G296" i="10"/>
  <c r="H296" i="10" s="1"/>
  <c r="G301" i="10"/>
  <c r="H301" i="10" s="1"/>
  <c r="I348" i="10"/>
  <c r="J348" i="10" s="1"/>
  <c r="G351" i="10"/>
  <c r="H351" i="10" s="1"/>
  <c r="L351" i="10" s="1"/>
  <c r="M351" i="10" s="1"/>
  <c r="G360" i="10"/>
  <c r="H360" i="10" s="1"/>
  <c r="J367" i="10"/>
  <c r="K367" i="10" s="1"/>
  <c r="L530" i="10"/>
  <c r="M530" i="10" s="1"/>
  <c r="L677" i="10"/>
  <c r="M677" i="10" s="1"/>
  <c r="K683" i="10"/>
  <c r="H739" i="10"/>
  <c r="L801" i="10"/>
  <c r="M801" i="10" s="1"/>
  <c r="G231" i="10"/>
  <c r="J232" i="10"/>
  <c r="J234" i="10"/>
  <c r="K234" i="10" s="1"/>
  <c r="L234" i="10" s="1"/>
  <c r="M234" i="10" s="1"/>
  <c r="G237" i="10"/>
  <c r="H237" i="10" s="1"/>
  <c r="G243" i="10"/>
  <c r="H243" i="10" s="1"/>
  <c r="L243" i="10" s="1"/>
  <c r="M243" i="10" s="1"/>
  <c r="G286" i="10"/>
  <c r="H286" i="10" s="1"/>
  <c r="H291" i="10" s="1"/>
  <c r="G290" i="10"/>
  <c r="H290" i="10" s="1"/>
  <c r="L290" i="10" s="1"/>
  <c r="M290" i="10" s="1"/>
  <c r="J293" i="10"/>
  <c r="L293" i="10" s="1"/>
  <c r="M293" i="10" s="1"/>
  <c r="J299" i="10"/>
  <c r="K299" i="10" s="1"/>
  <c r="L299" i="10" s="1"/>
  <c r="M299" i="10" s="1"/>
  <c r="J365" i="10"/>
  <c r="K365" i="10" s="1"/>
  <c r="L365" i="10" s="1"/>
  <c r="M365" i="10" s="1"/>
  <c r="G364" i="10"/>
  <c r="H364" i="10" s="1"/>
  <c r="L364" i="10" s="1"/>
  <c r="M364" i="10" s="1"/>
  <c r="F348" i="10"/>
  <c r="G348" i="10" s="1"/>
  <c r="H348" i="10" s="1"/>
  <c r="J361" i="10"/>
  <c r="K361" i="10" s="1"/>
  <c r="L361" i="10" s="1"/>
  <c r="M361" i="10" s="1"/>
  <c r="J366" i="10"/>
  <c r="K366" i="10" s="1"/>
  <c r="L366" i="10" s="1"/>
  <c r="M366" i="10" s="1"/>
  <c r="G367" i="10"/>
  <c r="H367" i="10" s="1"/>
  <c r="K535" i="10"/>
  <c r="K536" i="10"/>
  <c r="I689" i="10"/>
  <c r="A677" i="10"/>
  <c r="A678" i="10" s="1"/>
  <c r="A679" i="10" s="1"/>
  <c r="A680" i="10" s="1"/>
  <c r="A681" i="10" s="1"/>
  <c r="A682" i="10" s="1"/>
  <c r="A683" i="10" s="1"/>
  <c r="A684" i="10" s="1"/>
  <c r="A685" i="10" s="1"/>
  <c r="A686" i="10" s="1"/>
  <c r="A687" i="10" s="1"/>
  <c r="A688" i="10" s="1"/>
  <c r="A689" i="10" s="1"/>
  <c r="A690" i="10" s="1"/>
  <c r="A691" i="10" s="1"/>
  <c r="A692" i="10" s="1"/>
  <c r="A693" i="10" s="1"/>
  <c r="A694" i="10" s="1"/>
  <c r="A695" i="10" s="1"/>
  <c r="A696" i="10" s="1"/>
  <c r="A697" i="10" s="1"/>
  <c r="A698" i="10" s="1"/>
  <c r="A699" i="10" s="1"/>
  <c r="A700" i="10" s="1"/>
  <c r="A701" i="10" s="1"/>
  <c r="A702" i="10" s="1"/>
  <c r="A703" i="10" s="1"/>
  <c r="A704" i="10" s="1"/>
  <c r="A705" i="10" s="1"/>
  <c r="A706" i="10" s="1"/>
  <c r="A707" i="10" s="1"/>
  <c r="A708" i="10" s="1"/>
  <c r="A709" i="10" s="1"/>
  <c r="A710" i="10" s="1"/>
  <c r="A711" i="10" s="1"/>
  <c r="A712" i="10" s="1"/>
  <c r="A713" i="10" s="1"/>
  <c r="A714" i="10" s="1"/>
  <c r="A715" i="10" s="1"/>
  <c r="A716" i="10" s="1"/>
  <c r="A717" i="10" s="1"/>
  <c r="A718" i="10" s="1"/>
  <c r="A719" i="10" s="1"/>
  <c r="A720" i="10" s="1"/>
  <c r="F689" i="10"/>
  <c r="H689" i="10" s="1"/>
  <c r="J694" i="10"/>
  <c r="J691" i="10"/>
  <c r="L691" i="10" s="1"/>
  <c r="M691" i="10" s="1"/>
  <c r="J685" i="10"/>
  <c r="G682" i="10"/>
  <c r="H682" i="10" s="1"/>
  <c r="H683" i="10" s="1"/>
  <c r="G693" i="10"/>
  <c r="H693" i="10" s="1"/>
  <c r="G688" i="10"/>
  <c r="H688" i="10" s="1"/>
  <c r="J686" i="10"/>
  <c r="L686" i="10" s="1"/>
  <c r="M686" i="10" s="1"/>
  <c r="J679" i="10"/>
  <c r="G678" i="10"/>
  <c r="H678" i="10" s="1"/>
  <c r="J682" i="10"/>
  <c r="G679" i="10"/>
  <c r="G694" i="10"/>
  <c r="H694" i="10" s="1"/>
  <c r="G680" i="10"/>
  <c r="J678" i="10"/>
  <c r="L678" i="10" s="1"/>
  <c r="M678" i="10" s="1"/>
  <c r="G685" i="10"/>
  <c r="H685" i="10" s="1"/>
  <c r="G691" i="10"/>
  <c r="H691" i="10" s="1"/>
  <c r="L704" i="10"/>
  <c r="M704" i="10" s="1"/>
  <c r="K795" i="10"/>
  <c r="L789" i="10"/>
  <c r="M789" i="10" s="1"/>
  <c r="G872" i="10"/>
  <c r="H872" i="10" s="1"/>
  <c r="G871" i="10"/>
  <c r="H871" i="10" s="1"/>
  <c r="G870" i="10"/>
  <c r="H870" i="10" s="1"/>
  <c r="G855" i="10"/>
  <c r="H855" i="10" s="1"/>
  <c r="I852" i="10"/>
  <c r="J852" i="10" s="1"/>
  <c r="J872" i="10"/>
  <c r="J871" i="10"/>
  <c r="J870" i="10"/>
  <c r="G869" i="10"/>
  <c r="H869" i="10" s="1"/>
  <c r="G865" i="10"/>
  <c r="H865" i="10" s="1"/>
  <c r="G864" i="10"/>
  <c r="H864" i="10" s="1"/>
  <c r="G868" i="10"/>
  <c r="H868" i="10" s="1"/>
  <c r="J865" i="10"/>
  <c r="F852" i="10"/>
  <c r="G852" i="10" s="1"/>
  <c r="H852" i="10" s="1"/>
  <c r="J869" i="10"/>
  <c r="L869" i="10" s="1"/>
  <c r="M869" i="10" s="1"/>
  <c r="J868" i="10"/>
  <c r="L868" i="10" s="1"/>
  <c r="M868" i="10" s="1"/>
  <c r="J864" i="10"/>
  <c r="J855" i="10"/>
  <c r="K855" i="10" s="1"/>
  <c r="L855" i="10" s="1"/>
  <c r="M855" i="10" s="1"/>
  <c r="H851" i="10"/>
  <c r="J510" i="10"/>
  <c r="L510" i="10" s="1"/>
  <c r="M510" i="10" s="1"/>
  <c r="G512" i="10"/>
  <c r="F516" i="10"/>
  <c r="G516" i="10" s="1"/>
  <c r="H516" i="10" s="1"/>
  <c r="G518" i="10"/>
  <c r="H518" i="10" s="1"/>
  <c r="L518" i="10" s="1"/>
  <c r="M518" i="10" s="1"/>
  <c r="J520" i="10"/>
  <c r="L520" i="10" s="1"/>
  <c r="M520" i="10" s="1"/>
  <c r="J528" i="10"/>
  <c r="J529" i="10"/>
  <c r="L529" i="10" s="1"/>
  <c r="M529" i="10" s="1"/>
  <c r="J532" i="10"/>
  <c r="L532" i="10" s="1"/>
  <c r="M532" i="10" s="1"/>
  <c r="J637" i="10"/>
  <c r="G631" i="10"/>
  <c r="H631" i="10" s="1"/>
  <c r="J638" i="10"/>
  <c r="L638" i="10" s="1"/>
  <c r="M638" i="10" s="1"/>
  <c r="G646" i="10"/>
  <c r="H646" i="10" s="1"/>
  <c r="L646" i="10" s="1"/>
  <c r="M646" i="10" s="1"/>
  <c r="L690" i="10"/>
  <c r="M690" i="10" s="1"/>
  <c r="L703" i="10"/>
  <c r="M703" i="10" s="1"/>
  <c r="I745" i="10"/>
  <c r="A733" i="10"/>
  <c r="A734" i="10" s="1"/>
  <c r="A735" i="10" s="1"/>
  <c r="A736" i="10" s="1"/>
  <c r="A737" i="10" s="1"/>
  <c r="A738" i="10" s="1"/>
  <c r="A739" i="10" s="1"/>
  <c r="A740" i="10" s="1"/>
  <c r="A741" i="10" s="1"/>
  <c r="A742" i="10" s="1"/>
  <c r="A743" i="10" s="1"/>
  <c r="A744" i="10" s="1"/>
  <c r="A745" i="10" s="1"/>
  <c r="A746" i="10" s="1"/>
  <c r="A747" i="10" s="1"/>
  <c r="A748" i="10" s="1"/>
  <c r="A749" i="10" s="1"/>
  <c r="A750" i="10" s="1"/>
  <c r="A751" i="10" s="1"/>
  <c r="A752" i="10" s="1"/>
  <c r="A753" i="10" s="1"/>
  <c r="A754" i="10" s="1"/>
  <c r="A755" i="10" s="1"/>
  <c r="A756" i="10" s="1"/>
  <c r="A757" i="10" s="1"/>
  <c r="A758" i="10" s="1"/>
  <c r="A759" i="10" s="1"/>
  <c r="A760" i="10" s="1"/>
  <c r="A761" i="10" s="1"/>
  <c r="A762" i="10" s="1"/>
  <c r="A763" i="10" s="1"/>
  <c r="A764" i="10" s="1"/>
  <c r="A765" i="10" s="1"/>
  <c r="A766" i="10" s="1"/>
  <c r="A767" i="10" s="1"/>
  <c r="A768" i="10" s="1"/>
  <c r="A769" i="10" s="1"/>
  <c r="A770" i="10" s="1"/>
  <c r="A771" i="10" s="1"/>
  <c r="A772" i="10" s="1"/>
  <c r="A773" i="10" s="1"/>
  <c r="A774" i="10" s="1"/>
  <c r="A775" i="10" s="1"/>
  <c r="A776" i="10" s="1"/>
  <c r="F745" i="10"/>
  <c r="H745" i="10" s="1"/>
  <c r="J750" i="10"/>
  <c r="L750" i="10" s="1"/>
  <c r="M750" i="10" s="1"/>
  <c r="J747" i="10"/>
  <c r="J741" i="10"/>
  <c r="L741" i="10" s="1"/>
  <c r="M741" i="10" s="1"/>
  <c r="G738" i="10"/>
  <c r="H738" i="10" s="1"/>
  <c r="G747" i="10"/>
  <c r="H747" i="10" s="1"/>
  <c r="J735" i="10"/>
  <c r="G750" i="10"/>
  <c r="H750" i="10" s="1"/>
  <c r="J749" i="10"/>
  <c r="L749" i="10" s="1"/>
  <c r="M749" i="10" s="1"/>
  <c r="J744" i="10"/>
  <c r="L744" i="10" s="1"/>
  <c r="M744" i="10" s="1"/>
  <c r="G742" i="10"/>
  <c r="H742" i="10" s="1"/>
  <c r="J738" i="10"/>
  <c r="G735" i="10"/>
  <c r="J734" i="10"/>
  <c r="L734" i="10" s="1"/>
  <c r="M734" i="10" s="1"/>
  <c r="G736" i="10"/>
  <c r="L737" i="10"/>
  <c r="M737" i="10" s="1"/>
  <c r="J742" i="10"/>
  <c r="L742" i="10" s="1"/>
  <c r="M742" i="10" s="1"/>
  <c r="H756" i="10"/>
  <c r="G514" i="10"/>
  <c r="H514" i="10" s="1"/>
  <c r="H515" i="10" s="1"/>
  <c r="I516" i="10"/>
  <c r="J516" i="10" s="1"/>
  <c r="L516" i="10" s="1"/>
  <c r="M516" i="10" s="1"/>
  <c r="J517" i="10"/>
  <c r="L517" i="10" s="1"/>
  <c r="M517" i="10" s="1"/>
  <c r="G519" i="10"/>
  <c r="H519" i="10" s="1"/>
  <c r="L519" i="10" s="1"/>
  <c r="M519" i="10" s="1"/>
  <c r="J523" i="10"/>
  <c r="L523" i="10" s="1"/>
  <c r="M523" i="10" s="1"/>
  <c r="J526" i="10"/>
  <c r="L526" i="10" s="1"/>
  <c r="M526" i="10" s="1"/>
  <c r="G534" i="10"/>
  <c r="H534" i="10" s="1"/>
  <c r="G535" i="10"/>
  <c r="H535" i="10" s="1"/>
  <c r="J645" i="10"/>
  <c r="L645" i="10" s="1"/>
  <c r="M645" i="10" s="1"/>
  <c r="G644" i="10"/>
  <c r="H644" i="10" s="1"/>
  <c r="G638" i="10"/>
  <c r="H638" i="10" s="1"/>
  <c r="G635" i="10"/>
  <c r="H635" i="10" s="1"/>
  <c r="J631" i="10"/>
  <c r="L631" i="10" s="1"/>
  <c r="M631" i="10" s="1"/>
  <c r="G629" i="10"/>
  <c r="H629" i="10" s="1"/>
  <c r="L629" i="10" s="1"/>
  <c r="M629" i="10" s="1"/>
  <c r="J644" i="10"/>
  <c r="J641" i="10"/>
  <c r="J640" i="10"/>
  <c r="F628" i="10"/>
  <c r="G628" i="10" s="1"/>
  <c r="H628" i="10" s="1"/>
  <c r="H636" i="10" s="1"/>
  <c r="J623" i="10"/>
  <c r="G632" i="10"/>
  <c r="H632" i="10" s="1"/>
  <c r="G637" i="10"/>
  <c r="H637" i="10" s="1"/>
  <c r="G641" i="10"/>
  <c r="H641" i="10" s="1"/>
  <c r="J647" i="10"/>
  <c r="K647" i="10" s="1"/>
  <c r="L733" i="10"/>
  <c r="M733" i="10" s="1"/>
  <c r="K739" i="10"/>
  <c r="L850" i="10"/>
  <c r="M850" i="10" s="1"/>
  <c r="I913" i="10"/>
  <c r="A901" i="10"/>
  <c r="A902" i="10" s="1"/>
  <c r="A903" i="10" s="1"/>
  <c r="A904" i="10" s="1"/>
  <c r="A905" i="10" s="1"/>
  <c r="A906" i="10" s="1"/>
  <c r="A907" i="10" s="1"/>
  <c r="A908" i="10" s="1"/>
  <c r="A909" i="10" s="1"/>
  <c r="A910" i="10" s="1"/>
  <c r="A911" i="10" s="1"/>
  <c r="A912" i="10" s="1"/>
  <c r="A913" i="10" s="1"/>
  <c r="A914" i="10" s="1"/>
  <c r="A915" i="10" s="1"/>
  <c r="A916" i="10" s="1"/>
  <c r="A917" i="10" s="1"/>
  <c r="A918" i="10" s="1"/>
  <c r="A919" i="10" s="1"/>
  <c r="A920" i="10" s="1"/>
  <c r="A921" i="10" s="1"/>
  <c r="A922" i="10" s="1"/>
  <c r="A923" i="10" s="1"/>
  <c r="A924" i="10" s="1"/>
  <c r="A925" i="10" s="1"/>
  <c r="A926" i="10" s="1"/>
  <c r="A927" i="10" s="1"/>
  <c r="A928" i="10" s="1"/>
  <c r="A929" i="10" s="1"/>
  <c r="A930" i="10" s="1"/>
  <c r="A931" i="10" s="1"/>
  <c r="A932" i="10" s="1"/>
  <c r="A933" i="10" s="1"/>
  <c r="A934" i="10" s="1"/>
  <c r="A935" i="10" s="1"/>
  <c r="A936" i="10" s="1"/>
  <c r="A937" i="10" s="1"/>
  <c r="A938" i="10" s="1"/>
  <c r="A939" i="10" s="1"/>
  <c r="A940" i="10" s="1"/>
  <c r="A941" i="10" s="1"/>
  <c r="A942" i="10" s="1"/>
  <c r="A943" i="10" s="1"/>
  <c r="A944" i="10" s="1"/>
  <c r="F913" i="10"/>
  <c r="H913" i="10" s="1"/>
  <c r="J918" i="10"/>
  <c r="L918" i="10" s="1"/>
  <c r="M918" i="10" s="1"/>
  <c r="J915" i="10"/>
  <c r="J909" i="10"/>
  <c r="G906" i="10"/>
  <c r="H906" i="10" s="1"/>
  <c r="G917" i="10"/>
  <c r="H917" i="10" s="1"/>
  <c r="L917" i="10" s="1"/>
  <c r="M917" i="10" s="1"/>
  <c r="G912" i="10"/>
  <c r="H912" i="10" s="1"/>
  <c r="J910" i="10"/>
  <c r="J903" i="10"/>
  <c r="G902" i="10"/>
  <c r="H902" i="10" s="1"/>
  <c r="H907" i="10" s="1"/>
  <c r="J906" i="10"/>
  <c r="G903" i="10"/>
  <c r="G918" i="10"/>
  <c r="H918" i="10" s="1"/>
  <c r="G915" i="10"/>
  <c r="H915" i="10" s="1"/>
  <c r="J912" i="10"/>
  <c r="L912" i="10" s="1"/>
  <c r="M912" i="10" s="1"/>
  <c r="G909" i="10"/>
  <c r="H909" i="10" s="1"/>
  <c r="G910" i="10"/>
  <c r="H910" i="10" s="1"/>
  <c r="G904" i="10"/>
  <c r="J902" i="10"/>
  <c r="J622" i="10"/>
  <c r="L622" i="10" s="1"/>
  <c r="M622" i="10" s="1"/>
  <c r="G624" i="10"/>
  <c r="G630" i="10"/>
  <c r="H630" i="10" s="1"/>
  <c r="L630" i="10" s="1"/>
  <c r="M630" i="10" s="1"/>
  <c r="J632" i="10"/>
  <c r="G696" i="10"/>
  <c r="H696" i="10" s="1"/>
  <c r="G697" i="10"/>
  <c r="H697" i="10" s="1"/>
  <c r="J702" i="10"/>
  <c r="L702" i="10" s="1"/>
  <c r="M702" i="10" s="1"/>
  <c r="J816" i="10"/>
  <c r="J815" i="10"/>
  <c r="J814" i="10"/>
  <c r="G813" i="10"/>
  <c r="H813" i="10" s="1"/>
  <c r="G809" i="10"/>
  <c r="H809" i="10" s="1"/>
  <c r="G808" i="10"/>
  <c r="H808" i="10" s="1"/>
  <c r="J808" i="10"/>
  <c r="G816" i="10"/>
  <c r="H816" i="10" s="1"/>
  <c r="G812" i="10"/>
  <c r="H812" i="10" s="1"/>
  <c r="F796" i="10"/>
  <c r="G796" i="10" s="1"/>
  <c r="H796" i="10" s="1"/>
  <c r="L796" i="10" s="1"/>
  <c r="M796" i="10" s="1"/>
  <c r="J799" i="10"/>
  <c r="K799" i="10" s="1"/>
  <c r="L799" i="10" s="1"/>
  <c r="M799" i="10" s="1"/>
  <c r="G814" i="10"/>
  <c r="H814" i="10" s="1"/>
  <c r="J701" i="10"/>
  <c r="L701" i="10" s="1"/>
  <c r="M701" i="10" s="1"/>
  <c r="G700" i="10"/>
  <c r="H700" i="10" s="1"/>
  <c r="I684" i="10"/>
  <c r="J684" i="10" s="1"/>
  <c r="L684" i="10" s="1"/>
  <c r="M684" i="10" s="1"/>
  <c r="G687" i="10"/>
  <c r="H687" i="10" s="1"/>
  <c r="L687" i="10" s="1"/>
  <c r="M687" i="10" s="1"/>
  <c r="J700" i="10"/>
  <c r="G702" i="10"/>
  <c r="H702" i="10" s="1"/>
  <c r="L797" i="10"/>
  <c r="M797" i="10" s="1"/>
  <c r="L798" i="10"/>
  <c r="M798" i="10" s="1"/>
  <c r="L957" i="10"/>
  <c r="M957" i="10" s="1"/>
  <c r="I740" i="10"/>
  <c r="J740" i="10" s="1"/>
  <c r="L740" i="10" s="1"/>
  <c r="M740" i="10" s="1"/>
  <c r="G743" i="10"/>
  <c r="H743" i="10" s="1"/>
  <c r="L743" i="10" s="1"/>
  <c r="M743" i="10" s="1"/>
  <c r="G758" i="10"/>
  <c r="H758" i="10" s="1"/>
  <c r="G759" i="10"/>
  <c r="H759" i="10" s="1"/>
  <c r="G791" i="10"/>
  <c r="J792" i="10"/>
  <c r="J794" i="10"/>
  <c r="L794" i="10" s="1"/>
  <c r="M794" i="10" s="1"/>
  <c r="G797" i="10"/>
  <c r="H797" i="10" s="1"/>
  <c r="G803" i="10"/>
  <c r="H803" i="10" s="1"/>
  <c r="L803" i="10" s="1"/>
  <c r="M803" i="10" s="1"/>
  <c r="J848" i="10"/>
  <c r="J928" i="10"/>
  <c r="L901" i="10"/>
  <c r="M901" i="10" s="1"/>
  <c r="K907" i="10"/>
  <c r="G981" i="10"/>
  <c r="H981" i="10" s="1"/>
  <c r="G977" i="10"/>
  <c r="H977" i="10" s="1"/>
  <c r="H963" i="10"/>
  <c r="J790" i="10"/>
  <c r="L790" i="10" s="1"/>
  <c r="M790" i="10" s="1"/>
  <c r="G792" i="10"/>
  <c r="G798" i="10"/>
  <c r="H798" i="10" s="1"/>
  <c r="J800" i="10"/>
  <c r="L800" i="10" s="1"/>
  <c r="M800" i="10" s="1"/>
  <c r="J806" i="10"/>
  <c r="L806" i="10" s="1"/>
  <c r="M806" i="10" s="1"/>
  <c r="I857" i="10"/>
  <c r="F857" i="10"/>
  <c r="H857" i="10" s="1"/>
  <c r="J862" i="10"/>
  <c r="J859" i="10"/>
  <c r="J853" i="10"/>
  <c r="G861" i="10"/>
  <c r="H861" i="10" s="1"/>
  <c r="L861" i="10" s="1"/>
  <c r="M861" i="10" s="1"/>
  <c r="G856" i="10"/>
  <c r="H856" i="10" s="1"/>
  <c r="J854" i="10"/>
  <c r="L854" i="10" s="1"/>
  <c r="M854" i="10" s="1"/>
  <c r="J847" i="10"/>
  <c r="G846" i="10"/>
  <c r="H846" i="10" s="1"/>
  <c r="G862" i="10"/>
  <c r="H862" i="10" s="1"/>
  <c r="G850" i="10"/>
  <c r="H850" i="10" s="1"/>
  <c r="G847" i="10"/>
  <c r="J846" i="10"/>
  <c r="L845" i="10"/>
  <c r="M845" i="10" s="1"/>
  <c r="G848" i="10"/>
  <c r="G853" i="10"/>
  <c r="H853" i="10" s="1"/>
  <c r="J856" i="10"/>
  <c r="G859" i="10"/>
  <c r="H859" i="10" s="1"/>
  <c r="L1023" i="10"/>
  <c r="M1023" i="10" s="1"/>
  <c r="L858" i="10"/>
  <c r="M858" i="10" s="1"/>
  <c r="L1034" i="10"/>
  <c r="M1034" i="10" s="1"/>
  <c r="G920" i="10"/>
  <c r="H920" i="10" s="1"/>
  <c r="G921" i="10"/>
  <c r="H921" i="10" s="1"/>
  <c r="G984" i="10"/>
  <c r="H984" i="10" s="1"/>
  <c r="G983" i="10"/>
  <c r="H983" i="10" s="1"/>
  <c r="G982" i="10"/>
  <c r="H982" i="10" s="1"/>
  <c r="J980" i="10"/>
  <c r="J981" i="10"/>
  <c r="G980" i="10"/>
  <c r="H980" i="10" s="1"/>
  <c r="J977" i="10"/>
  <c r="L977" i="10" s="1"/>
  <c r="M977" i="10" s="1"/>
  <c r="J976" i="10"/>
  <c r="F964" i="10"/>
  <c r="G964" i="10" s="1"/>
  <c r="H964" i="10" s="1"/>
  <c r="L964" i="10" s="1"/>
  <c r="M964" i="10" s="1"/>
  <c r="G976" i="10"/>
  <c r="H976" i="10" s="1"/>
  <c r="L1013" i="10"/>
  <c r="M1013" i="10" s="1"/>
  <c r="K1019" i="10"/>
  <c r="I908" i="10"/>
  <c r="J908" i="10" s="1"/>
  <c r="L908" i="10" s="1"/>
  <c r="M908" i="10" s="1"/>
  <c r="G911" i="10"/>
  <c r="H911" i="10" s="1"/>
  <c r="J926" i="10"/>
  <c r="L926" i="10" s="1"/>
  <c r="M926" i="10" s="1"/>
  <c r="G927" i="10"/>
  <c r="H927" i="10" s="1"/>
  <c r="L1030" i="10"/>
  <c r="M1030" i="10" s="1"/>
  <c r="J958" i="10"/>
  <c r="L958" i="10" s="1"/>
  <c r="M958" i="10" s="1"/>
  <c r="G960" i="10"/>
  <c r="G966" i="10"/>
  <c r="H966" i="10" s="1"/>
  <c r="L966" i="10" s="1"/>
  <c r="M966" i="10" s="1"/>
  <c r="J968" i="10"/>
  <c r="L968" i="10" s="1"/>
  <c r="M968" i="10" s="1"/>
  <c r="J1014" i="10"/>
  <c r="L1014" i="10" s="1"/>
  <c r="M1014" i="10" s="1"/>
  <c r="G1016" i="10"/>
  <c r="F1020" i="10"/>
  <c r="G1020" i="10" s="1"/>
  <c r="H1020" i="10" s="1"/>
  <c r="G1022" i="10"/>
  <c r="H1022" i="10" s="1"/>
  <c r="L1022" i="10" s="1"/>
  <c r="M1022" i="10" s="1"/>
  <c r="J1024" i="10"/>
  <c r="L1024" i="10" s="1"/>
  <c r="M1024" i="10" s="1"/>
  <c r="J1029" i="10"/>
  <c r="L1029" i="10" s="1"/>
  <c r="M1029" i="10" s="1"/>
  <c r="J1032" i="10"/>
  <c r="J1033" i="10"/>
  <c r="L1033" i="10" s="1"/>
  <c r="M1033" i="10" s="1"/>
  <c r="J1036" i="10"/>
  <c r="L1036" i="10" s="1"/>
  <c r="M1036" i="10" s="1"/>
  <c r="A1013" i="10"/>
  <c r="A1014" i="10" s="1"/>
  <c r="A1015" i="10" s="1"/>
  <c r="A1016" i="10" s="1"/>
  <c r="A1017" i="10" s="1"/>
  <c r="A1018" i="10" s="1"/>
  <c r="A1019" i="10" s="1"/>
  <c r="A1020" i="10" s="1"/>
  <c r="A1021" i="10" s="1"/>
  <c r="A1022" i="10" s="1"/>
  <c r="A1023" i="10" s="1"/>
  <c r="A1024" i="10" s="1"/>
  <c r="A1025" i="10" s="1"/>
  <c r="A1026" i="10" s="1"/>
  <c r="A1027" i="10" s="1"/>
  <c r="A1028" i="10" s="1"/>
  <c r="A1029" i="10" s="1"/>
  <c r="A1030" i="10" s="1"/>
  <c r="A1031" i="10" s="1"/>
  <c r="A1032" i="10" s="1"/>
  <c r="A1033" i="10" s="1"/>
  <c r="A1034" i="10" s="1"/>
  <c r="A1035" i="10" s="1"/>
  <c r="A1036" i="10" s="1"/>
  <c r="A1037" i="10" s="1"/>
  <c r="A1038" i="10" s="1"/>
  <c r="A1039" i="10" s="1"/>
  <c r="A1040" i="10" s="1"/>
  <c r="A1041" i="10" s="1"/>
  <c r="A1042" i="10" s="1"/>
  <c r="A1043" i="10" s="1"/>
  <c r="A1044" i="10" s="1"/>
  <c r="A1045" i="10" s="1"/>
  <c r="A1046" i="10" s="1"/>
  <c r="A1047" i="10" s="1"/>
  <c r="A1048" i="10" s="1"/>
  <c r="A1049" i="10" s="1"/>
  <c r="A1050" i="10" s="1"/>
  <c r="A1051" i="10" s="1"/>
  <c r="A1052" i="10" s="1"/>
  <c r="A1053" i="10" s="1"/>
  <c r="A1054" i="10" s="1"/>
  <c r="A1055" i="10" s="1"/>
  <c r="A1056" i="10" s="1"/>
  <c r="G1018" i="10"/>
  <c r="H1018" i="10" s="1"/>
  <c r="H1019" i="10" s="1"/>
  <c r="I1020" i="10"/>
  <c r="J1020" i="10" s="1"/>
  <c r="J1021" i="10"/>
  <c r="L1021" i="10" s="1"/>
  <c r="M1021" i="10" s="1"/>
  <c r="G1023" i="10"/>
  <c r="H1023" i="10" s="1"/>
  <c r="J1027" i="10"/>
  <c r="L1027" i="10" s="1"/>
  <c r="M1027" i="10" s="1"/>
  <c r="G1038" i="10"/>
  <c r="H1038" i="10" s="1"/>
  <c r="G1039" i="10"/>
  <c r="H1039" i="10" s="1"/>
  <c r="H524" i="10" l="1"/>
  <c r="H300" i="10"/>
  <c r="L291" i="10"/>
  <c r="M291" i="10" s="1"/>
  <c r="H146" i="10"/>
  <c r="H135" i="10"/>
  <c r="H916" i="10"/>
  <c r="H655" i="10"/>
  <c r="H639" i="10"/>
  <c r="H1028" i="10"/>
  <c r="H692" i="10"/>
  <c r="H356" i="10"/>
  <c r="L1032" i="10"/>
  <c r="M1032" i="10" s="1"/>
  <c r="L1018" i="10"/>
  <c r="M1018" i="10" s="1"/>
  <c r="L871" i="10"/>
  <c r="M871" i="10" s="1"/>
  <c r="L795" i="10"/>
  <c r="M795" i="10" s="1"/>
  <c r="K804" i="10"/>
  <c r="H468" i="10"/>
  <c r="L423" i="10"/>
  <c r="M423" i="10" s="1"/>
  <c r="L248" i="10"/>
  <c r="M248" i="10" s="1"/>
  <c r="L192" i="10"/>
  <c r="M192" i="10" s="1"/>
  <c r="L696" i="10"/>
  <c r="M696" i="10" s="1"/>
  <c r="L592" i="10"/>
  <c r="M592" i="10" s="1"/>
  <c r="K235" i="10"/>
  <c r="L759" i="10"/>
  <c r="M759" i="10" s="1"/>
  <c r="L200" i="10"/>
  <c r="M200" i="10" s="1"/>
  <c r="K76" i="10"/>
  <c r="L628" i="10"/>
  <c r="M628" i="10" s="1"/>
  <c r="H660" i="10"/>
  <c r="K300" i="10"/>
  <c r="H67" i="10"/>
  <c r="L67" i="10" s="1"/>
  <c r="L416" i="10"/>
  <c r="M416" i="10" s="1"/>
  <c r="L1019" i="10"/>
  <c r="M1019" i="10" s="1"/>
  <c r="K1028" i="10"/>
  <c r="L981" i="10"/>
  <c r="M981" i="10" s="1"/>
  <c r="L856" i="10"/>
  <c r="M856" i="10" s="1"/>
  <c r="L846" i="10"/>
  <c r="M846" i="10" s="1"/>
  <c r="K851" i="10"/>
  <c r="L640" i="10"/>
  <c r="M640" i="10" s="1"/>
  <c r="L872" i="10"/>
  <c r="M872" i="10" s="1"/>
  <c r="L685" i="10"/>
  <c r="M685" i="10" s="1"/>
  <c r="L253" i="10"/>
  <c r="M253" i="10" s="1"/>
  <c r="L697" i="10"/>
  <c r="M697" i="10" s="1"/>
  <c r="K571" i="10"/>
  <c r="L136" i="10"/>
  <c r="M136" i="10" s="1"/>
  <c r="L187" i="10"/>
  <c r="M187" i="10" s="1"/>
  <c r="L515" i="10"/>
  <c r="M515" i="10" s="1"/>
  <c r="K524" i="10"/>
  <c r="L198" i="10"/>
  <c r="M198" i="10" s="1"/>
  <c r="L472" i="10"/>
  <c r="M472" i="10" s="1"/>
  <c r="L124" i="10"/>
  <c r="M124" i="10" s="1"/>
  <c r="L342" i="10"/>
  <c r="M342" i="10" s="1"/>
  <c r="L976" i="10"/>
  <c r="M976" i="10" s="1"/>
  <c r="L980" i="10"/>
  <c r="M980" i="10" s="1"/>
  <c r="L853" i="10"/>
  <c r="M853" i="10" s="1"/>
  <c r="H804" i="10"/>
  <c r="L641" i="10"/>
  <c r="M641" i="10" s="1"/>
  <c r="L738" i="10"/>
  <c r="M738" i="10" s="1"/>
  <c r="L528" i="10"/>
  <c r="M528" i="10" s="1"/>
  <c r="L864" i="10"/>
  <c r="M864" i="10" s="1"/>
  <c r="L865" i="10"/>
  <c r="M865" i="10" s="1"/>
  <c r="L852" i="10"/>
  <c r="M852" i="10" s="1"/>
  <c r="L682" i="10"/>
  <c r="M682" i="10" s="1"/>
  <c r="L689" i="10"/>
  <c r="M689" i="10" s="1"/>
  <c r="L534" i="10"/>
  <c r="M534" i="10" s="1"/>
  <c r="L294" i="10"/>
  <c r="M294" i="10" s="1"/>
  <c r="L573" i="10"/>
  <c r="M573" i="10" s="1"/>
  <c r="L407" i="10"/>
  <c r="M407" i="10" s="1"/>
  <c r="L252" i="10"/>
  <c r="M252" i="10" s="1"/>
  <c r="L196" i="10"/>
  <c r="M196" i="10" s="1"/>
  <c r="L927" i="10"/>
  <c r="M927" i="10" s="1"/>
  <c r="L589" i="10"/>
  <c r="M589" i="10" s="1"/>
  <c r="L572" i="10"/>
  <c r="M572" i="10" s="1"/>
  <c r="L584" i="10"/>
  <c r="M584" i="10" s="1"/>
  <c r="L590" i="10"/>
  <c r="M590" i="10" s="1"/>
  <c r="L514" i="10"/>
  <c r="M514" i="10" s="1"/>
  <c r="L301" i="10"/>
  <c r="M301" i="10" s="1"/>
  <c r="L311" i="10"/>
  <c r="M311" i="10" s="1"/>
  <c r="L983" i="10"/>
  <c r="M983" i="10" s="1"/>
  <c r="L756" i="10"/>
  <c r="M756" i="10" s="1"/>
  <c r="L131" i="10"/>
  <c r="M131" i="10" s="1"/>
  <c r="L467" i="10"/>
  <c r="M467" i="10" s="1"/>
  <c r="L458" i="10"/>
  <c r="M458" i="10" s="1"/>
  <c r="L812" i="10"/>
  <c r="M812" i="10" s="1"/>
  <c r="L464" i="10"/>
  <c r="M464" i="10" s="1"/>
  <c r="L190" i="10"/>
  <c r="M190" i="10" s="1"/>
  <c r="L184" i="10"/>
  <c r="M184" i="10" s="1"/>
  <c r="L256" i="10"/>
  <c r="M256" i="10" s="1"/>
  <c r="L134" i="10"/>
  <c r="M134" i="10" s="1"/>
  <c r="L1039" i="10"/>
  <c r="M1039" i="10" s="1"/>
  <c r="L479" i="10"/>
  <c r="M479" i="10" s="1"/>
  <c r="L477" i="10"/>
  <c r="M477" i="10" s="1"/>
  <c r="L305" i="10"/>
  <c r="M305" i="10" s="1"/>
  <c r="L862" i="10"/>
  <c r="M862" i="10" s="1"/>
  <c r="K748" i="10"/>
  <c r="L739" i="10"/>
  <c r="M739" i="10" s="1"/>
  <c r="H860" i="10"/>
  <c r="L536" i="10"/>
  <c r="M536" i="10" s="1"/>
  <c r="H748" i="10"/>
  <c r="L367" i="10"/>
  <c r="M367" i="10" s="1"/>
  <c r="H650" i="10"/>
  <c r="L87" i="10"/>
  <c r="M87" i="10" s="1"/>
  <c r="L752" i="10"/>
  <c r="M752" i="10" s="1"/>
  <c r="L286" i="10"/>
  <c r="M286" i="10" s="1"/>
  <c r="H188" i="10"/>
  <c r="L123" i="10"/>
  <c r="M123" i="10" s="1"/>
  <c r="K132" i="10"/>
  <c r="K916" i="10"/>
  <c r="L907" i="10"/>
  <c r="M907" i="10" s="1"/>
  <c r="L808" i="10"/>
  <c r="M808" i="10" s="1"/>
  <c r="L814" i="10"/>
  <c r="M814" i="10" s="1"/>
  <c r="L535" i="10"/>
  <c r="M535" i="10" s="1"/>
  <c r="K692" i="10"/>
  <c r="L683" i="10"/>
  <c r="M683" i="10" s="1"/>
  <c r="L360" i="10"/>
  <c r="M360" i="10" s="1"/>
  <c r="L424" i="10"/>
  <c r="M424" i="10" s="1"/>
  <c r="L760" i="10"/>
  <c r="M760" i="10" s="1"/>
  <c r="H151" i="10"/>
  <c r="L77" i="10"/>
  <c r="M77" i="10" s="1"/>
  <c r="H571" i="10"/>
  <c r="L459" i="10"/>
  <c r="M459" i="10" s="1"/>
  <c r="K468" i="10"/>
  <c r="L402" i="10"/>
  <c r="M402" i="10" s="1"/>
  <c r="L857" i="10"/>
  <c r="M857" i="10" s="1"/>
  <c r="H972" i="10"/>
  <c r="L815" i="10"/>
  <c r="M815" i="10" s="1"/>
  <c r="L910" i="10"/>
  <c r="M910" i="10" s="1"/>
  <c r="L909" i="10"/>
  <c r="M909" i="10" s="1"/>
  <c r="L1020" i="10"/>
  <c r="M1020" i="10" s="1"/>
  <c r="L859" i="10"/>
  <c r="M859" i="10" s="1"/>
  <c r="L928" i="10"/>
  <c r="M928" i="10" s="1"/>
  <c r="K963" i="10"/>
  <c r="L700" i="10"/>
  <c r="M700" i="10" s="1"/>
  <c r="L816" i="10"/>
  <c r="M816" i="10" s="1"/>
  <c r="L632" i="10"/>
  <c r="M632" i="10" s="1"/>
  <c r="L902" i="10"/>
  <c r="M902" i="10" s="1"/>
  <c r="L906" i="10"/>
  <c r="M906" i="10" s="1"/>
  <c r="L915" i="10"/>
  <c r="M915" i="10" s="1"/>
  <c r="L913" i="10"/>
  <c r="M913" i="10" s="1"/>
  <c r="L647" i="10"/>
  <c r="M647" i="10" s="1"/>
  <c r="L644" i="10"/>
  <c r="M644" i="10" s="1"/>
  <c r="L747" i="10"/>
  <c r="M747" i="10" s="1"/>
  <c r="L745" i="10"/>
  <c r="M745" i="10" s="1"/>
  <c r="L637" i="10"/>
  <c r="M637" i="10" s="1"/>
  <c r="L870" i="10"/>
  <c r="M870" i="10" s="1"/>
  <c r="L694" i="10"/>
  <c r="M694" i="10" s="1"/>
  <c r="L348" i="10"/>
  <c r="M348" i="10" s="1"/>
  <c r="L581" i="10"/>
  <c r="M581" i="10" s="1"/>
  <c r="L574" i="10"/>
  <c r="M574" i="10" s="1"/>
  <c r="L920" i="10"/>
  <c r="M920" i="10" s="1"/>
  <c r="L693" i="10"/>
  <c r="M693" i="10" s="1"/>
  <c r="L576" i="10"/>
  <c r="M576" i="10" s="1"/>
  <c r="L591" i="10"/>
  <c r="M591" i="10" s="1"/>
  <c r="L346" i="10"/>
  <c r="M346" i="10" s="1"/>
  <c r="L358" i="10"/>
  <c r="M358" i="10" s="1"/>
  <c r="L355" i="10"/>
  <c r="M355" i="10" s="1"/>
  <c r="L296" i="10"/>
  <c r="M296" i="10" s="1"/>
  <c r="L312" i="10"/>
  <c r="M312" i="10" s="1"/>
  <c r="L88" i="10"/>
  <c r="M88" i="10" s="1"/>
  <c r="L984" i="10"/>
  <c r="M984" i="10" s="1"/>
  <c r="L126" i="10"/>
  <c r="M126" i="10" s="1"/>
  <c r="L80" i="10"/>
  <c r="M80" i="10" s="1"/>
  <c r="K627" i="10"/>
  <c r="L813" i="10"/>
  <c r="M813" i="10" s="1"/>
  <c r="H403" i="10"/>
  <c r="L408" i="10"/>
  <c r="M408" i="10" s="1"/>
  <c r="L398" i="10"/>
  <c r="M398" i="10" s="1"/>
  <c r="K403" i="10"/>
  <c r="K347" i="10"/>
  <c r="L189" i="10"/>
  <c r="M189" i="10" s="1"/>
  <c r="L174" i="10"/>
  <c r="M174" i="10" s="1"/>
  <c r="K179" i="10"/>
  <c r="L75" i="10"/>
  <c r="M75" i="10" s="1"/>
  <c r="L1040" i="10"/>
  <c r="M1040" i="10" s="1"/>
  <c r="L460" i="10"/>
  <c r="M460" i="10" s="1"/>
  <c r="L480" i="10"/>
  <c r="M480" i="10" s="1"/>
  <c r="H244" i="10"/>
  <c r="L143" i="10"/>
  <c r="M143" i="10" s="1"/>
  <c r="L304" i="10"/>
  <c r="M304" i="10" s="1"/>
  <c r="H247" i="10" l="1"/>
  <c r="H975" i="10"/>
  <c r="H152" i="10"/>
  <c r="H154" i="10" s="1"/>
  <c r="H661" i="10"/>
  <c r="H1031" i="10"/>
  <c r="H919" i="10"/>
  <c r="H303" i="10"/>
  <c r="K188" i="10"/>
  <c r="L179" i="10"/>
  <c r="M179" i="10" s="1"/>
  <c r="L963" i="10"/>
  <c r="M963" i="10" s="1"/>
  <c r="K972" i="10"/>
  <c r="L571" i="10"/>
  <c r="M571" i="10" s="1"/>
  <c r="K580" i="10"/>
  <c r="H471" i="10"/>
  <c r="L403" i="10"/>
  <c r="K412" i="10"/>
  <c r="H580" i="10"/>
  <c r="L692" i="10"/>
  <c r="M692" i="10" s="1"/>
  <c r="K695" i="10"/>
  <c r="L132" i="10"/>
  <c r="M132" i="10" s="1"/>
  <c r="K135" i="10"/>
  <c r="H751" i="10"/>
  <c r="L748" i="10"/>
  <c r="M748" i="10" s="1"/>
  <c r="K751" i="10"/>
  <c r="K860" i="10"/>
  <c r="L851" i="10"/>
  <c r="M851" i="10" s="1"/>
  <c r="K807" i="10"/>
  <c r="L804" i="10"/>
  <c r="M524" i="10"/>
  <c r="H527" i="10"/>
  <c r="K471" i="10"/>
  <c r="L468" i="10"/>
  <c r="M468" i="10" s="1"/>
  <c r="M804" i="10"/>
  <c r="H807" i="10"/>
  <c r="M67" i="10"/>
  <c r="H76" i="10"/>
  <c r="H695" i="10"/>
  <c r="H147" i="10"/>
  <c r="H148" i="10"/>
  <c r="H149" i="10"/>
  <c r="L347" i="10"/>
  <c r="M347" i="10" s="1"/>
  <c r="K356" i="10"/>
  <c r="H412" i="10"/>
  <c r="M403" i="10"/>
  <c r="L916" i="10"/>
  <c r="M916" i="10" s="1"/>
  <c r="K919" i="10"/>
  <c r="H191" i="10"/>
  <c r="L300" i="10"/>
  <c r="M300" i="10" s="1"/>
  <c r="K303" i="10"/>
  <c r="L235" i="10"/>
  <c r="M235" i="10" s="1"/>
  <c r="K244" i="10"/>
  <c r="L627" i="10"/>
  <c r="M627" i="10" s="1"/>
  <c r="K636" i="10"/>
  <c r="H651" i="10"/>
  <c r="H653" i="10"/>
  <c r="H652" i="10"/>
  <c r="H863" i="10"/>
  <c r="L524" i="10"/>
  <c r="K527" i="10"/>
  <c r="L1028" i="10"/>
  <c r="M1028" i="10" s="1"/>
  <c r="K1031" i="10"/>
  <c r="K79" i="10"/>
  <c r="H359" i="10"/>
  <c r="H656" i="10"/>
  <c r="H658" i="10" s="1"/>
  <c r="H156" i="10"/>
  <c r="L1031" i="10" l="1"/>
  <c r="M1031" i="10" s="1"/>
  <c r="K1052" i="10"/>
  <c r="K1047" i="10"/>
  <c r="K1042" i="10"/>
  <c r="L244" i="10"/>
  <c r="M244" i="10" s="1"/>
  <c r="K247" i="10"/>
  <c r="H711" i="10"/>
  <c r="H706" i="10"/>
  <c r="H716" i="10"/>
  <c r="H548" i="10"/>
  <c r="H538" i="10"/>
  <c r="H543" i="10"/>
  <c r="L807" i="10"/>
  <c r="K823" i="10"/>
  <c r="K818" i="10"/>
  <c r="K828" i="10"/>
  <c r="H583" i="10"/>
  <c r="H319" i="10"/>
  <c r="H324" i="10"/>
  <c r="H314" i="10"/>
  <c r="H986" i="10"/>
  <c r="H996" i="10"/>
  <c r="H991" i="10"/>
  <c r="H380" i="10"/>
  <c r="H370" i="10"/>
  <c r="H375" i="10"/>
  <c r="H879" i="10"/>
  <c r="H884" i="10"/>
  <c r="H874" i="10"/>
  <c r="H212" i="10"/>
  <c r="H207" i="10"/>
  <c r="H202" i="10"/>
  <c r="H415" i="10"/>
  <c r="H772" i="10"/>
  <c r="H762" i="10"/>
  <c r="H767" i="10"/>
  <c r="K415" i="10"/>
  <c r="L412" i="10"/>
  <c r="M412" i="10" s="1"/>
  <c r="K90" i="10"/>
  <c r="K95" i="10"/>
  <c r="K100" i="10"/>
  <c r="L527" i="10"/>
  <c r="M527" i="10" s="1"/>
  <c r="K543" i="10"/>
  <c r="K548" i="10"/>
  <c r="K538" i="10"/>
  <c r="K639" i="10"/>
  <c r="L636" i="10"/>
  <c r="M636" i="10" s="1"/>
  <c r="L303" i="10"/>
  <c r="M303" i="10" s="1"/>
  <c r="K324" i="10"/>
  <c r="K314" i="10"/>
  <c r="K319" i="10"/>
  <c r="K359" i="10"/>
  <c r="L356" i="10"/>
  <c r="M356" i="10" s="1"/>
  <c r="H79" i="10"/>
  <c r="L860" i="10"/>
  <c r="M860" i="10" s="1"/>
  <c r="K863" i="10"/>
  <c r="K191" i="10"/>
  <c r="L188" i="10"/>
  <c r="M188" i="10" s="1"/>
  <c r="H263" i="10"/>
  <c r="H258" i="10"/>
  <c r="H268" i="10"/>
  <c r="H159" i="10"/>
  <c r="H157" i="10"/>
  <c r="L76" i="10"/>
  <c r="M76" i="10" s="1"/>
  <c r="L471" i="10"/>
  <c r="M471" i="10" s="1"/>
  <c r="K487" i="10"/>
  <c r="K492" i="10"/>
  <c r="K482" i="10"/>
  <c r="L751" i="10"/>
  <c r="M751" i="10" s="1"/>
  <c r="K767" i="10"/>
  <c r="K772" i="10"/>
  <c r="K762" i="10"/>
  <c r="L135" i="10"/>
  <c r="M135" i="10" s="1"/>
  <c r="K156" i="10"/>
  <c r="K151" i="10"/>
  <c r="K146" i="10"/>
  <c r="K975" i="10"/>
  <c r="L972" i="10"/>
  <c r="M972" i="10" s="1"/>
  <c r="H1052" i="10"/>
  <c r="H1042" i="10"/>
  <c r="H1047" i="10"/>
  <c r="H663" i="10"/>
  <c r="M807" i="10"/>
  <c r="H828" i="10"/>
  <c r="H823" i="10"/>
  <c r="H818" i="10"/>
  <c r="H482" i="10"/>
  <c r="H487" i="10"/>
  <c r="H492" i="10"/>
  <c r="L695" i="10"/>
  <c r="M695" i="10" s="1"/>
  <c r="K711" i="10"/>
  <c r="K716" i="10"/>
  <c r="K706" i="10"/>
  <c r="K583" i="10"/>
  <c r="L580" i="10"/>
  <c r="M580" i="10" s="1"/>
  <c r="H930" i="10"/>
  <c r="H940" i="10"/>
  <c r="H935" i="10"/>
  <c r="L919" i="10"/>
  <c r="M919" i="10" s="1"/>
  <c r="K935" i="10"/>
  <c r="K940" i="10"/>
  <c r="K930" i="10"/>
  <c r="H941" i="10" l="1"/>
  <c r="H943" i="10"/>
  <c r="H824" i="10"/>
  <c r="H826" i="10"/>
  <c r="H1055" i="10"/>
  <c r="H1053" i="10"/>
  <c r="K763" i="10"/>
  <c r="L762" i="10"/>
  <c r="M762" i="10" s="1"/>
  <c r="K764" i="10"/>
  <c r="K96" i="10"/>
  <c r="H773" i="10"/>
  <c r="H775" i="10" s="1"/>
  <c r="K819" i="10"/>
  <c r="L818" i="10"/>
  <c r="M818" i="10" s="1"/>
  <c r="K821" i="10"/>
  <c r="H707" i="10"/>
  <c r="H708" i="10"/>
  <c r="H709" i="10"/>
  <c r="H931" i="10"/>
  <c r="H933" i="10" s="1"/>
  <c r="H483" i="10"/>
  <c r="H484" i="10"/>
  <c r="L772" i="10"/>
  <c r="M772" i="10" s="1"/>
  <c r="K773" i="10"/>
  <c r="L773" i="10" s="1"/>
  <c r="H269" i="10"/>
  <c r="H100" i="10"/>
  <c r="H95" i="10"/>
  <c r="H90" i="10"/>
  <c r="L319" i="10"/>
  <c r="M319" i="10" s="1"/>
  <c r="K320" i="10"/>
  <c r="K322" i="10" s="1"/>
  <c r="K544" i="10"/>
  <c r="L544" i="10" s="1"/>
  <c r="L543" i="10"/>
  <c r="M543" i="10" s="1"/>
  <c r="L415" i="10"/>
  <c r="M415" i="10" s="1"/>
  <c r="K436" i="10"/>
  <c r="K431" i="10"/>
  <c r="K426" i="10"/>
  <c r="H208" i="10"/>
  <c r="H210" i="10" s="1"/>
  <c r="H376" i="10"/>
  <c r="H378" i="10" s="1"/>
  <c r="H317" i="10"/>
  <c r="H315" i="10"/>
  <c r="H549" i="10"/>
  <c r="H551" i="10"/>
  <c r="M548" i="10"/>
  <c r="H712" i="10"/>
  <c r="L716" i="10"/>
  <c r="M716" i="10" s="1"/>
  <c r="K717" i="10"/>
  <c r="K719" i="10" s="1"/>
  <c r="H1048" i="10"/>
  <c r="H1050" i="10"/>
  <c r="K768" i="10"/>
  <c r="L767" i="10"/>
  <c r="K770" i="10"/>
  <c r="L770" i="10" s="1"/>
  <c r="K488" i="10"/>
  <c r="K490" i="10" s="1"/>
  <c r="L487" i="10"/>
  <c r="M487" i="10" s="1"/>
  <c r="H259" i="10"/>
  <c r="H261" i="10" s="1"/>
  <c r="L191" i="10"/>
  <c r="M191" i="10" s="1"/>
  <c r="K212" i="10"/>
  <c r="K202" i="10"/>
  <c r="K207" i="10"/>
  <c r="K315" i="10"/>
  <c r="L315" i="10" s="1"/>
  <c r="L314" i="10"/>
  <c r="M314" i="10" s="1"/>
  <c r="H768" i="10"/>
  <c r="H770" i="10"/>
  <c r="M767" i="10"/>
  <c r="K931" i="10"/>
  <c r="L931" i="10" s="1"/>
  <c r="L930" i="10"/>
  <c r="M930" i="10" s="1"/>
  <c r="M935" i="10"/>
  <c r="H936" i="10"/>
  <c r="H938" i="10"/>
  <c r="K714" i="10"/>
  <c r="L711" i="10"/>
  <c r="M711" i="10" s="1"/>
  <c r="K712" i="10"/>
  <c r="H493" i="10"/>
  <c r="H819" i="10"/>
  <c r="H821" i="10" s="1"/>
  <c r="M1042" i="10"/>
  <c r="H1043" i="10"/>
  <c r="H1045" i="10"/>
  <c r="L975" i="10"/>
  <c r="M975" i="10" s="1"/>
  <c r="K991" i="10"/>
  <c r="K986" i="10"/>
  <c r="K996" i="10"/>
  <c r="H266" i="10"/>
  <c r="H264" i="10"/>
  <c r="L863" i="10"/>
  <c r="M863" i="10" s="1"/>
  <c r="K879" i="10"/>
  <c r="K874" i="10"/>
  <c r="K884" i="10"/>
  <c r="K325" i="10"/>
  <c r="K327" i="10" s="1"/>
  <c r="L324" i="10"/>
  <c r="M324" i="10" s="1"/>
  <c r="K540" i="10"/>
  <c r="L538" i="10"/>
  <c r="M538" i="10" s="1"/>
  <c r="K539" i="10"/>
  <c r="L539" i="10" s="1"/>
  <c r="K101" i="10"/>
  <c r="H764" i="10"/>
  <c r="H763" i="10"/>
  <c r="H765" i="10" s="1"/>
  <c r="H426" i="10"/>
  <c r="H436" i="10"/>
  <c r="H431" i="10"/>
  <c r="H880" i="10"/>
  <c r="H882" i="10" s="1"/>
  <c r="H381" i="10"/>
  <c r="H383" i="10" s="1"/>
  <c r="H987" i="10"/>
  <c r="H320" i="10"/>
  <c r="K829" i="10"/>
  <c r="K831" i="10" s="1"/>
  <c r="L828" i="10"/>
  <c r="M828" i="10" s="1"/>
  <c r="H546" i="10"/>
  <c r="H544" i="10"/>
  <c r="H717" i="10"/>
  <c r="L247" i="10"/>
  <c r="M247" i="10" s="1"/>
  <c r="K268" i="10"/>
  <c r="K258" i="10"/>
  <c r="K263" i="10"/>
  <c r="K1053" i="10"/>
  <c r="L1053" i="10" s="1"/>
  <c r="L1052" i="10"/>
  <c r="M1052" i="10" s="1"/>
  <c r="K943" i="10"/>
  <c r="L943" i="10" s="1"/>
  <c r="L940" i="10"/>
  <c r="M940" i="10" s="1"/>
  <c r="K941" i="10"/>
  <c r="L941" i="10" s="1"/>
  <c r="L583" i="10"/>
  <c r="M583" i="10" s="1"/>
  <c r="K594" i="10"/>
  <c r="K599" i="10"/>
  <c r="K604" i="10"/>
  <c r="H488" i="10"/>
  <c r="K148" i="10"/>
  <c r="L148" i="10" s="1"/>
  <c r="K147" i="10"/>
  <c r="L147" i="10" s="1"/>
  <c r="M147" i="10" s="1"/>
  <c r="L146" i="10"/>
  <c r="M146" i="10" s="1"/>
  <c r="K483" i="10"/>
  <c r="L482" i="10"/>
  <c r="M482" i="10" s="1"/>
  <c r="K484" i="10"/>
  <c r="L484" i="10" s="1"/>
  <c r="L359" i="10"/>
  <c r="M359" i="10" s="1"/>
  <c r="K370" i="10"/>
  <c r="K375" i="10"/>
  <c r="K380" i="10"/>
  <c r="K549" i="10"/>
  <c r="L549" i="10" s="1"/>
  <c r="L548" i="10"/>
  <c r="K551" i="10"/>
  <c r="L551" i="10" s="1"/>
  <c r="H203" i="10"/>
  <c r="H205" i="10"/>
  <c r="H541" i="10"/>
  <c r="H540" i="10"/>
  <c r="H539" i="10"/>
  <c r="K936" i="10"/>
  <c r="L936" i="10" s="1"/>
  <c r="L935" i="10"/>
  <c r="L706" i="10"/>
  <c r="M706" i="10" s="1"/>
  <c r="K708" i="10"/>
  <c r="L708" i="10" s="1"/>
  <c r="K707" i="10"/>
  <c r="L707" i="10" s="1"/>
  <c r="H829" i="10"/>
  <c r="H831" i="10" s="1"/>
  <c r="K152" i="10"/>
  <c r="L152" i="10" s="1"/>
  <c r="M152" i="10" s="1"/>
  <c r="L151" i="10"/>
  <c r="M151" i="10" s="1"/>
  <c r="K493" i="10"/>
  <c r="K495" i="10" s="1"/>
  <c r="L492" i="10"/>
  <c r="M492" i="10" s="1"/>
  <c r="K92" i="10"/>
  <c r="K91" i="10"/>
  <c r="L90" i="10"/>
  <c r="H875" i="10"/>
  <c r="H992" i="10"/>
  <c r="L823" i="10"/>
  <c r="M823" i="10" s="1"/>
  <c r="K824" i="10"/>
  <c r="L824" i="10" s="1"/>
  <c r="L1042" i="10"/>
  <c r="K1043" i="10"/>
  <c r="L1043" i="10" s="1"/>
  <c r="K157" i="10"/>
  <c r="L157" i="10" s="1"/>
  <c r="M157" i="10" s="1"/>
  <c r="L156" i="10"/>
  <c r="M156" i="10" s="1"/>
  <c r="L639" i="10"/>
  <c r="M639" i="10" s="1"/>
  <c r="K655" i="10"/>
  <c r="K660" i="10"/>
  <c r="K650" i="10"/>
  <c r="L79" i="10"/>
  <c r="M79" i="10" s="1"/>
  <c r="H213" i="10"/>
  <c r="H215" i="10"/>
  <c r="H887" i="10"/>
  <c r="H885" i="10"/>
  <c r="H371" i="10"/>
  <c r="H997" i="10"/>
  <c r="H325" i="10"/>
  <c r="H327" i="10" s="1"/>
  <c r="H599" i="10"/>
  <c r="H594" i="10"/>
  <c r="H604" i="10"/>
  <c r="K1050" i="10"/>
  <c r="L1050" i="10" s="1"/>
  <c r="K1048" i="10"/>
  <c r="L1047" i="10"/>
  <c r="M1047" i="10" s="1"/>
  <c r="K546" i="10" l="1"/>
  <c r="L546" i="10" s="1"/>
  <c r="M546" i="10" s="1"/>
  <c r="K376" i="10"/>
  <c r="L376" i="10" s="1"/>
  <c r="M376" i="10" s="1"/>
  <c r="L375" i="10"/>
  <c r="M375" i="10" s="1"/>
  <c r="K875" i="10"/>
  <c r="L875" i="10" s="1"/>
  <c r="M875" i="10" s="1"/>
  <c r="L874" i="10"/>
  <c r="M874" i="10" s="1"/>
  <c r="M1050" i="10"/>
  <c r="H101" i="10"/>
  <c r="H103" i="10"/>
  <c r="L821" i="10"/>
  <c r="M821" i="10" s="1"/>
  <c r="H605" i="10"/>
  <c r="H607" i="10" s="1"/>
  <c r="M539" i="10"/>
  <c r="L370" i="10"/>
  <c r="M370" i="10" s="1"/>
  <c r="K371" i="10"/>
  <c r="L371" i="10" s="1"/>
  <c r="M371" i="10" s="1"/>
  <c r="K259" i="10"/>
  <c r="L259" i="10" s="1"/>
  <c r="M259" i="10" s="1"/>
  <c r="L258" i="10"/>
  <c r="M258" i="10" s="1"/>
  <c r="H989" i="10"/>
  <c r="H432" i="10"/>
  <c r="L101" i="10"/>
  <c r="M770" i="10"/>
  <c r="K432" i="10"/>
  <c r="L431" i="10"/>
  <c r="M431" i="10" s="1"/>
  <c r="L322" i="10"/>
  <c r="L763" i="10"/>
  <c r="M943" i="10"/>
  <c r="H596" i="10"/>
  <c r="H597" i="10" s="1"/>
  <c r="H595" i="10"/>
  <c r="K661" i="10"/>
  <c r="L661" i="10" s="1"/>
  <c r="M661" i="10" s="1"/>
  <c r="L660" i="10"/>
  <c r="M660" i="10" s="1"/>
  <c r="K159" i="10"/>
  <c r="L159" i="10" s="1"/>
  <c r="M159" i="10" s="1"/>
  <c r="K1045" i="10"/>
  <c r="L1045" i="10" s="1"/>
  <c r="M1045" i="10" s="1"/>
  <c r="K154" i="10"/>
  <c r="L154" i="10" s="1"/>
  <c r="M154" i="10" s="1"/>
  <c r="K709" i="10"/>
  <c r="L709" i="10" s="1"/>
  <c r="M709" i="10" s="1"/>
  <c r="L483" i="10"/>
  <c r="M483" i="10" s="1"/>
  <c r="K149" i="10"/>
  <c r="L149" i="10" s="1"/>
  <c r="M149" i="10" s="1"/>
  <c r="H719" i="10"/>
  <c r="L719" i="10" s="1"/>
  <c r="H437" i="10"/>
  <c r="L1048" i="10"/>
  <c r="M1048" i="10" s="1"/>
  <c r="H600" i="10"/>
  <c r="K658" i="10"/>
  <c r="L658" i="10" s="1"/>
  <c r="M658" i="10" s="1"/>
  <c r="L655" i="10"/>
  <c r="M655" i="10" s="1"/>
  <c r="K656" i="10"/>
  <c r="L656" i="10" s="1"/>
  <c r="M656" i="10" s="1"/>
  <c r="H994" i="10"/>
  <c r="H877" i="10"/>
  <c r="L380" i="10"/>
  <c r="M380" i="10" s="1"/>
  <c r="K381" i="10"/>
  <c r="L381" i="10" s="1"/>
  <c r="K485" i="10"/>
  <c r="H490" i="10"/>
  <c r="L490" i="10" s="1"/>
  <c r="K600" i="10"/>
  <c r="L600" i="10" s="1"/>
  <c r="L599" i="10"/>
  <c r="M599" i="10" s="1"/>
  <c r="K1055" i="10"/>
  <c r="L1055" i="10" s="1"/>
  <c r="M1055" i="10" s="1"/>
  <c r="M544" i="10"/>
  <c r="L829" i="10"/>
  <c r="H322" i="10"/>
  <c r="H427" i="10"/>
  <c r="K103" i="10"/>
  <c r="L540" i="10"/>
  <c r="K885" i="10"/>
  <c r="L885" i="10" s="1"/>
  <c r="M885" i="10" s="1"/>
  <c r="L884" i="10"/>
  <c r="M884" i="10" s="1"/>
  <c r="K987" i="10"/>
  <c r="L987" i="10" s="1"/>
  <c r="M987" i="10" s="1"/>
  <c r="L986" i="10"/>
  <c r="M986" i="10" s="1"/>
  <c r="M1043" i="10"/>
  <c r="L712" i="10"/>
  <c r="M712" i="10" s="1"/>
  <c r="M936" i="10"/>
  <c r="K933" i="10"/>
  <c r="L933" i="10" s="1"/>
  <c r="M933" i="10" s="1"/>
  <c r="L202" i="10"/>
  <c r="M202" i="10" s="1"/>
  <c r="K203" i="10"/>
  <c r="L203" i="10" s="1"/>
  <c r="M203" i="10" s="1"/>
  <c r="M315" i="10"/>
  <c r="L320" i="10"/>
  <c r="M320" i="10" s="1"/>
  <c r="H96" i="10"/>
  <c r="K775" i="10"/>
  <c r="L775" i="10" s="1"/>
  <c r="M775" i="10" s="1"/>
  <c r="M707" i="10"/>
  <c r="L95" i="10"/>
  <c r="M95" i="10" s="1"/>
  <c r="L764" i="10"/>
  <c r="M824" i="10"/>
  <c r="M829" i="10"/>
  <c r="K595" i="10"/>
  <c r="L595" i="10" s="1"/>
  <c r="L594" i="10"/>
  <c r="M594" i="10" s="1"/>
  <c r="K596" i="10"/>
  <c r="K264" i="10"/>
  <c r="L264" i="10" s="1"/>
  <c r="M264" i="10" s="1"/>
  <c r="L263" i="10"/>
  <c r="M263" i="10" s="1"/>
  <c r="L831" i="10"/>
  <c r="M831" i="10" s="1"/>
  <c r="L327" i="10"/>
  <c r="M327" i="10" s="1"/>
  <c r="K992" i="10"/>
  <c r="L992" i="10" s="1"/>
  <c r="M992" i="10" s="1"/>
  <c r="L991" i="10"/>
  <c r="M991" i="10" s="1"/>
  <c r="K213" i="10"/>
  <c r="L213" i="10" s="1"/>
  <c r="M213" i="10" s="1"/>
  <c r="L212" i="10"/>
  <c r="M212" i="10" s="1"/>
  <c r="K427" i="10"/>
  <c r="L426" i="10"/>
  <c r="M426" i="10" s="1"/>
  <c r="H373" i="10"/>
  <c r="L650" i="10"/>
  <c r="M650" i="10" s="1"/>
  <c r="K651" i="10"/>
  <c r="L651" i="10" s="1"/>
  <c r="M651" i="10" s="1"/>
  <c r="K652" i="10"/>
  <c r="L652" i="10" s="1"/>
  <c r="K93" i="10"/>
  <c r="M381" i="10"/>
  <c r="M763" i="10"/>
  <c r="K880" i="10"/>
  <c r="L880" i="10" s="1"/>
  <c r="M880" i="10" s="1"/>
  <c r="L879" i="10"/>
  <c r="M879" i="10" s="1"/>
  <c r="M819" i="10"/>
  <c r="K317" i="10"/>
  <c r="L317" i="10" s="1"/>
  <c r="M317" i="10" s="1"/>
  <c r="M551" i="10"/>
  <c r="M773" i="10"/>
  <c r="H999" i="10"/>
  <c r="K826" i="10"/>
  <c r="L826" i="10" s="1"/>
  <c r="M826" i="10" s="1"/>
  <c r="L493" i="10"/>
  <c r="M493" i="10" s="1"/>
  <c r="K938" i="10"/>
  <c r="L938" i="10" s="1"/>
  <c r="M938" i="10" s="1"/>
  <c r="K605" i="10"/>
  <c r="L605" i="10" s="1"/>
  <c r="L604" i="10"/>
  <c r="M604" i="10" s="1"/>
  <c r="K269" i="10"/>
  <c r="L269" i="10" s="1"/>
  <c r="M269" i="10" s="1"/>
  <c r="L268" i="10"/>
  <c r="M268" i="10" s="1"/>
  <c r="L100" i="10"/>
  <c r="M100" i="10" s="1"/>
  <c r="K541" i="10"/>
  <c r="L541" i="10" s="1"/>
  <c r="M541" i="10" s="1"/>
  <c r="L325" i="10"/>
  <c r="M325" i="10" s="1"/>
  <c r="K997" i="10"/>
  <c r="L997" i="10" s="1"/>
  <c r="M997" i="10" s="1"/>
  <c r="L996" i="10"/>
  <c r="M996" i="10" s="1"/>
  <c r="H495" i="10"/>
  <c r="K208" i="10"/>
  <c r="L208" i="10" s="1"/>
  <c r="M208" i="10" s="1"/>
  <c r="L207" i="10"/>
  <c r="M207" i="10" s="1"/>
  <c r="L488" i="10"/>
  <c r="M488" i="10" s="1"/>
  <c r="L768" i="10"/>
  <c r="M768" i="10" s="1"/>
  <c r="L717" i="10"/>
  <c r="M717" i="10" s="1"/>
  <c r="H714" i="10"/>
  <c r="M549" i="10"/>
  <c r="K437" i="10"/>
  <c r="L437" i="10" s="1"/>
  <c r="L436" i="10"/>
  <c r="M436" i="10" s="1"/>
  <c r="H93" i="10"/>
  <c r="M90" i="10"/>
  <c r="H92" i="10"/>
  <c r="L92" i="10" s="1"/>
  <c r="H91" i="10"/>
  <c r="H271" i="10"/>
  <c r="H485" i="10"/>
  <c r="M931" i="10"/>
  <c r="L819" i="10"/>
  <c r="K98" i="10"/>
  <c r="K765" i="10"/>
  <c r="L765" i="10" s="1"/>
  <c r="M765" i="10" s="1"/>
  <c r="M1053" i="10"/>
  <c r="M941" i="10"/>
  <c r="K999" i="10" l="1"/>
  <c r="L999" i="10" s="1"/>
  <c r="M999" i="10" s="1"/>
  <c r="K994" i="10"/>
  <c r="L994" i="10" s="1"/>
  <c r="K887" i="10"/>
  <c r="L887" i="10" s="1"/>
  <c r="M887" i="10" s="1"/>
  <c r="K877" i="10"/>
  <c r="K383" i="10"/>
  <c r="L383" i="10" s="1"/>
  <c r="M383" i="10" s="1"/>
  <c r="K378" i="10"/>
  <c r="L378" i="10" s="1"/>
  <c r="M378" i="10" s="1"/>
  <c r="K373" i="10"/>
  <c r="K261" i="10"/>
  <c r="L261" i="10" s="1"/>
  <c r="M261" i="10" s="1"/>
  <c r="K271" i="10"/>
  <c r="L271" i="10" s="1"/>
  <c r="M271" i="10" s="1"/>
  <c r="K215" i="10"/>
  <c r="L215" i="10" s="1"/>
  <c r="M215" i="10" s="1"/>
  <c r="K205" i="10"/>
  <c r="L205" i="10" s="1"/>
  <c r="M205" i="10" s="1"/>
  <c r="L877" i="10"/>
  <c r="M877" i="10" s="1"/>
  <c r="K607" i="10"/>
  <c r="L607" i="10" s="1"/>
  <c r="M607" i="10" s="1"/>
  <c r="M101" i="10"/>
  <c r="L427" i="10"/>
  <c r="M427" i="10" s="1"/>
  <c r="L596" i="10"/>
  <c r="H98" i="10"/>
  <c r="K989" i="10"/>
  <c r="L989" i="10" s="1"/>
  <c r="M989" i="10" s="1"/>
  <c r="L103" i="10"/>
  <c r="M103" i="10" s="1"/>
  <c r="M322" i="10"/>
  <c r="L485" i="10"/>
  <c r="M485" i="10" s="1"/>
  <c r="M437" i="10"/>
  <c r="K663" i="10"/>
  <c r="L663" i="10" s="1"/>
  <c r="M663" i="10" s="1"/>
  <c r="L432" i="10"/>
  <c r="M432" i="10" s="1"/>
  <c r="L373" i="10"/>
  <c r="M373" i="10" s="1"/>
  <c r="M600" i="10"/>
  <c r="L98" i="10"/>
  <c r="M490" i="10"/>
  <c r="M994" i="10"/>
  <c r="M719" i="10"/>
  <c r="K439" i="10"/>
  <c r="L439" i="10" s="1"/>
  <c r="L96" i="10"/>
  <c r="M96" i="10" s="1"/>
  <c r="K210" i="10"/>
  <c r="L210" i="10" s="1"/>
  <c r="M210" i="10" s="1"/>
  <c r="L714" i="10"/>
  <c r="M714" i="10" s="1"/>
  <c r="K882" i="10"/>
  <c r="L882" i="10" s="1"/>
  <c r="M882" i="10" s="1"/>
  <c r="L93" i="10"/>
  <c r="M93" i="10" s="1"/>
  <c r="K653" i="10"/>
  <c r="L653" i="10" s="1"/>
  <c r="M653" i="10" s="1"/>
  <c r="K429" i="10"/>
  <c r="L429" i="10" s="1"/>
  <c r="K266" i="10"/>
  <c r="L266" i="10" s="1"/>
  <c r="M266" i="10" s="1"/>
  <c r="K597" i="10"/>
  <c r="L597" i="10" s="1"/>
  <c r="M597" i="10" s="1"/>
  <c r="H429" i="10"/>
  <c r="K602" i="10"/>
  <c r="L602" i="10" s="1"/>
  <c r="L91" i="10"/>
  <c r="M91" i="10" s="1"/>
  <c r="H602" i="10"/>
  <c r="H439" i="10"/>
  <c r="M595" i="10"/>
  <c r="K434" i="10"/>
  <c r="L434" i="10" s="1"/>
  <c r="H434" i="10"/>
  <c r="M605" i="10"/>
  <c r="L495" i="10"/>
  <c r="M495" i="10" s="1"/>
  <c r="M439" i="10" l="1"/>
  <c r="M429" i="10"/>
  <c r="M98" i="10"/>
  <c r="M434" i="10"/>
  <c r="M602" i="10"/>
  <c r="C1045" i="8" l="1"/>
  <c r="L1044" i="8"/>
  <c r="I1040" i="8"/>
  <c r="I1039" i="8"/>
  <c r="I1038" i="8"/>
  <c r="F1038" i="8"/>
  <c r="I1037" i="8"/>
  <c r="F1037" i="8"/>
  <c r="I1036" i="8"/>
  <c r="F1036" i="8"/>
  <c r="I1034" i="8"/>
  <c r="K1034" i="8" s="1"/>
  <c r="L1034" i="8" s="1"/>
  <c r="M1034" i="8" s="1"/>
  <c r="H1034" i="8"/>
  <c r="F1033" i="8"/>
  <c r="C1031" i="8"/>
  <c r="J1030" i="8"/>
  <c r="K1030" i="8" s="1"/>
  <c r="G1029" i="8"/>
  <c r="H1029" i="8" s="1"/>
  <c r="C1028" i="8"/>
  <c r="J1027" i="8"/>
  <c r="K1027" i="8" s="1"/>
  <c r="M1026" i="8"/>
  <c r="L1026" i="8"/>
  <c r="K1026" i="8"/>
  <c r="H1026" i="8"/>
  <c r="A1026" i="8"/>
  <c r="A1027" i="8" s="1"/>
  <c r="A1028" i="8" s="1"/>
  <c r="A1029" i="8" s="1"/>
  <c r="A1030" i="8" s="1"/>
  <c r="A1031" i="8" s="1"/>
  <c r="A1032" i="8" s="1"/>
  <c r="A1033" i="8" s="1"/>
  <c r="A1034" i="8" s="1"/>
  <c r="A1035" i="8" s="1"/>
  <c r="A1036" i="8" s="1"/>
  <c r="A1037" i="8" s="1"/>
  <c r="A1038" i="8" s="1"/>
  <c r="A1039" i="8" s="1"/>
  <c r="A1040" i="8" s="1"/>
  <c r="A1041" i="8" s="1"/>
  <c r="A1042" i="8" s="1"/>
  <c r="A1043" i="8" s="1"/>
  <c r="A1044" i="8" s="1"/>
  <c r="A1045" i="8" s="1"/>
  <c r="A1046" i="8" s="1"/>
  <c r="A1047" i="8" s="1"/>
  <c r="A1048" i="8" s="1"/>
  <c r="A1049" i="8" s="1"/>
  <c r="A1050" i="8" s="1"/>
  <c r="A1051" i="8" s="1"/>
  <c r="A1052" i="8" s="1"/>
  <c r="A1053" i="8" s="1"/>
  <c r="A1054" i="8" s="1"/>
  <c r="A1055" i="8" s="1"/>
  <c r="A1056" i="8" s="1"/>
  <c r="I1025" i="8"/>
  <c r="K1025" i="8" s="1"/>
  <c r="G1024" i="8"/>
  <c r="H1024" i="8" s="1"/>
  <c r="K1022" i="8"/>
  <c r="J1022" i="8"/>
  <c r="J1021" i="8"/>
  <c r="K1021" i="8" s="1"/>
  <c r="C1019" i="8"/>
  <c r="K1018" i="8"/>
  <c r="L1018" i="8" s="1"/>
  <c r="M1018" i="8" s="1"/>
  <c r="J1018" i="8"/>
  <c r="G1018" i="8"/>
  <c r="H1018" i="8" s="1"/>
  <c r="J1017" i="8"/>
  <c r="K1017" i="8" s="1"/>
  <c r="L1017" i="8" s="1"/>
  <c r="M1017" i="8" s="1"/>
  <c r="H1017" i="8"/>
  <c r="L1016" i="8"/>
  <c r="M1016" i="8" s="1"/>
  <c r="J1016" i="8"/>
  <c r="J1015" i="8"/>
  <c r="G1015" i="8"/>
  <c r="G1014" i="8"/>
  <c r="H1014" i="8" s="1"/>
  <c r="H1019" i="8" s="1"/>
  <c r="L1013" i="8"/>
  <c r="M1013" i="8" s="1"/>
  <c r="K1013" i="8"/>
  <c r="J1013" i="8"/>
  <c r="H1013" i="8"/>
  <c r="A1013" i="8"/>
  <c r="A1014" i="8" s="1"/>
  <c r="A1015" i="8" s="1"/>
  <c r="A1016" i="8" s="1"/>
  <c r="A1017" i="8" s="1"/>
  <c r="A1018" i="8" s="1"/>
  <c r="A1019" i="8" s="1"/>
  <c r="A1020" i="8" s="1"/>
  <c r="A1021" i="8" s="1"/>
  <c r="A1022" i="8" s="1"/>
  <c r="A1023" i="8" s="1"/>
  <c r="A1024" i="8" s="1"/>
  <c r="A1025" i="8" s="1"/>
  <c r="E1007" i="8"/>
  <c r="E1006" i="8"/>
  <c r="G1030" i="8" s="1"/>
  <c r="H1030" i="8" s="1"/>
  <c r="E1005" i="8"/>
  <c r="E1004" i="8"/>
  <c r="K1003" i="8"/>
  <c r="E1003" i="8"/>
  <c r="F1025" i="8" s="1"/>
  <c r="H1025" i="8" s="1"/>
  <c r="C999" i="8"/>
  <c r="L988" i="8"/>
  <c r="I984" i="8"/>
  <c r="G984" i="8"/>
  <c r="H984" i="8" s="1"/>
  <c r="I983" i="8"/>
  <c r="I982" i="8"/>
  <c r="F982" i="8"/>
  <c r="I981" i="8"/>
  <c r="F981" i="8"/>
  <c r="I980" i="8"/>
  <c r="F980" i="8"/>
  <c r="K978" i="8"/>
  <c r="L978" i="8" s="1"/>
  <c r="M978" i="8" s="1"/>
  <c r="I978" i="8"/>
  <c r="H978" i="8"/>
  <c r="F977" i="8"/>
  <c r="C975" i="8"/>
  <c r="G974" i="8"/>
  <c r="H974" i="8" s="1"/>
  <c r="H973" i="8"/>
  <c r="G973" i="8"/>
  <c r="C972" i="8"/>
  <c r="H971" i="8"/>
  <c r="G971" i="8"/>
  <c r="K970" i="8"/>
  <c r="L970" i="8" s="1"/>
  <c r="M970" i="8" s="1"/>
  <c r="H970" i="8"/>
  <c r="F969" i="8"/>
  <c r="H969" i="8" s="1"/>
  <c r="G968" i="8"/>
  <c r="H968" i="8" s="1"/>
  <c r="K967" i="8"/>
  <c r="J967" i="8"/>
  <c r="J966" i="8"/>
  <c r="K966" i="8" s="1"/>
  <c r="H965" i="8"/>
  <c r="G965" i="8"/>
  <c r="C963" i="8"/>
  <c r="J962" i="8"/>
  <c r="K962" i="8" s="1"/>
  <c r="J961" i="8"/>
  <c r="K961" i="8" s="1"/>
  <c r="H961" i="8"/>
  <c r="L960" i="8"/>
  <c r="M960" i="8" s="1"/>
  <c r="J960" i="8"/>
  <c r="J959" i="8"/>
  <c r="G959" i="8"/>
  <c r="G958" i="8"/>
  <c r="H958" i="8" s="1"/>
  <c r="K957" i="8"/>
  <c r="J957" i="8"/>
  <c r="H957" i="8"/>
  <c r="E951" i="8"/>
  <c r="E950" i="8"/>
  <c r="J973" i="8" s="1"/>
  <c r="K973" i="8" s="1"/>
  <c r="E949" i="8"/>
  <c r="E948" i="8"/>
  <c r="K947" i="8"/>
  <c r="E947" i="8"/>
  <c r="I969" i="8" s="1"/>
  <c r="K969" i="8" s="1"/>
  <c r="C943" i="8"/>
  <c r="L932" i="8"/>
  <c r="I928" i="8"/>
  <c r="I927" i="8"/>
  <c r="I926" i="8"/>
  <c r="F926" i="8"/>
  <c r="I925" i="8"/>
  <c r="G925" i="8"/>
  <c r="F925" i="8"/>
  <c r="I924" i="8"/>
  <c r="F924" i="8"/>
  <c r="K922" i="8"/>
  <c r="L922" i="8" s="1"/>
  <c r="M922" i="8" s="1"/>
  <c r="I922" i="8"/>
  <c r="H922" i="8"/>
  <c r="F921" i="8"/>
  <c r="C919" i="8"/>
  <c r="J918" i="8"/>
  <c r="K918" i="8" s="1"/>
  <c r="L917" i="8"/>
  <c r="M917" i="8" s="1"/>
  <c r="H917" i="8"/>
  <c r="G917" i="8"/>
  <c r="C916" i="8"/>
  <c r="J915" i="8"/>
  <c r="K915" i="8" s="1"/>
  <c r="L914" i="8"/>
  <c r="M914" i="8" s="1"/>
  <c r="K914" i="8"/>
  <c r="H914" i="8"/>
  <c r="I913" i="8"/>
  <c r="K913" i="8" s="1"/>
  <c r="H912" i="8"/>
  <c r="G912" i="8"/>
  <c r="J910" i="8"/>
  <c r="K910" i="8" s="1"/>
  <c r="J909" i="8"/>
  <c r="K909" i="8" s="1"/>
  <c r="C907" i="8"/>
  <c r="G906" i="8"/>
  <c r="H906" i="8" s="1"/>
  <c r="A906" i="8"/>
  <c r="A907" i="8" s="1"/>
  <c r="A908" i="8" s="1"/>
  <c r="A909" i="8" s="1"/>
  <c r="A910" i="8" s="1"/>
  <c r="A911" i="8" s="1"/>
  <c r="A912" i="8" s="1"/>
  <c r="A913" i="8" s="1"/>
  <c r="A914" i="8" s="1"/>
  <c r="A915" i="8" s="1"/>
  <c r="A916" i="8" s="1"/>
  <c r="A917" i="8" s="1"/>
  <c r="A918" i="8" s="1"/>
  <c r="A919" i="8" s="1"/>
  <c r="A920" i="8" s="1"/>
  <c r="A921" i="8" s="1"/>
  <c r="A922" i="8" s="1"/>
  <c r="A923" i="8" s="1"/>
  <c r="A924" i="8" s="1"/>
  <c r="A925" i="8" s="1"/>
  <c r="A926" i="8" s="1"/>
  <c r="A927" i="8" s="1"/>
  <c r="A928" i="8" s="1"/>
  <c r="A929" i="8" s="1"/>
  <c r="A930" i="8" s="1"/>
  <c r="A931" i="8" s="1"/>
  <c r="A932" i="8" s="1"/>
  <c r="A933" i="8" s="1"/>
  <c r="A934" i="8" s="1"/>
  <c r="A935" i="8" s="1"/>
  <c r="A936" i="8" s="1"/>
  <c r="A937" i="8" s="1"/>
  <c r="A938" i="8" s="1"/>
  <c r="A939" i="8" s="1"/>
  <c r="A940" i="8" s="1"/>
  <c r="A941" i="8" s="1"/>
  <c r="A942" i="8" s="1"/>
  <c r="A943" i="8" s="1"/>
  <c r="A944" i="8" s="1"/>
  <c r="K905" i="8"/>
  <c r="L905" i="8" s="1"/>
  <c r="M905" i="8" s="1"/>
  <c r="J905" i="8"/>
  <c r="H905" i="8"/>
  <c r="M904" i="8"/>
  <c r="L904" i="8"/>
  <c r="J903" i="8"/>
  <c r="H902" i="8"/>
  <c r="H907" i="8" s="1"/>
  <c r="G902" i="8"/>
  <c r="K901" i="8"/>
  <c r="J901" i="8"/>
  <c r="H901" i="8"/>
  <c r="A901" i="8"/>
  <c r="A902" i="8" s="1"/>
  <c r="A903" i="8" s="1"/>
  <c r="A904" i="8" s="1"/>
  <c r="A905" i="8" s="1"/>
  <c r="E895" i="8"/>
  <c r="E894" i="8"/>
  <c r="J917" i="8" s="1"/>
  <c r="K917" i="8" s="1"/>
  <c r="E893" i="8"/>
  <c r="E892" i="8"/>
  <c r="K891" i="8"/>
  <c r="E891" i="8"/>
  <c r="F913" i="8" s="1"/>
  <c r="H913" i="8" s="1"/>
  <c r="C887" i="8"/>
  <c r="A878" i="8"/>
  <c r="A879" i="8" s="1"/>
  <c r="A880" i="8" s="1"/>
  <c r="A881" i="8" s="1"/>
  <c r="A882" i="8" s="1"/>
  <c r="A883" i="8" s="1"/>
  <c r="A884" i="8" s="1"/>
  <c r="A885" i="8" s="1"/>
  <c r="A886" i="8" s="1"/>
  <c r="A887" i="8" s="1"/>
  <c r="A888" i="8" s="1"/>
  <c r="L876" i="8"/>
  <c r="I872" i="8"/>
  <c r="G872" i="8"/>
  <c r="H872" i="8" s="1"/>
  <c r="I871" i="8"/>
  <c r="I870" i="8"/>
  <c r="F870" i="8"/>
  <c r="I869" i="8"/>
  <c r="G869" i="8"/>
  <c r="F869" i="8"/>
  <c r="I868" i="8"/>
  <c r="F868" i="8"/>
  <c r="L866" i="8"/>
  <c r="M866" i="8" s="1"/>
  <c r="K866" i="8"/>
  <c r="I866" i="8"/>
  <c r="H866" i="8"/>
  <c r="F865" i="8"/>
  <c r="C863" i="8"/>
  <c r="J862" i="8"/>
  <c r="K862" i="8" s="1"/>
  <c r="L861" i="8"/>
  <c r="M861" i="8" s="1"/>
  <c r="J861" i="8"/>
  <c r="K861" i="8" s="1"/>
  <c r="G861" i="8"/>
  <c r="H861" i="8" s="1"/>
  <c r="C860" i="8"/>
  <c r="J859" i="8"/>
  <c r="K859" i="8" s="1"/>
  <c r="K858" i="8"/>
  <c r="H858" i="8"/>
  <c r="L858" i="8" s="1"/>
  <c r="M858" i="8" s="1"/>
  <c r="I857" i="8"/>
  <c r="K857" i="8" s="1"/>
  <c r="G856" i="8"/>
  <c r="H856" i="8" s="1"/>
  <c r="G855" i="8"/>
  <c r="H855" i="8" s="1"/>
  <c r="J854" i="8"/>
  <c r="K854" i="8" s="1"/>
  <c r="I852" i="8"/>
  <c r="J852" i="8" s="1"/>
  <c r="K852" i="8" s="1"/>
  <c r="C851" i="8"/>
  <c r="G850" i="8"/>
  <c r="H850" i="8" s="1"/>
  <c r="A850" i="8"/>
  <c r="A851" i="8" s="1"/>
  <c r="A852" i="8" s="1"/>
  <c r="A853" i="8" s="1"/>
  <c r="A854" i="8" s="1"/>
  <c r="A855" i="8" s="1"/>
  <c r="A856" i="8" s="1"/>
  <c r="A857" i="8" s="1"/>
  <c r="A858" i="8" s="1"/>
  <c r="A859" i="8" s="1"/>
  <c r="A860" i="8" s="1"/>
  <c r="A861" i="8" s="1"/>
  <c r="A862" i="8" s="1"/>
  <c r="A863" i="8" s="1"/>
  <c r="A864" i="8" s="1"/>
  <c r="A865" i="8" s="1"/>
  <c r="A866" i="8" s="1"/>
  <c r="A867" i="8" s="1"/>
  <c r="A868" i="8" s="1"/>
  <c r="A869" i="8" s="1"/>
  <c r="A870" i="8" s="1"/>
  <c r="A871" i="8" s="1"/>
  <c r="A872" i="8" s="1"/>
  <c r="A873" i="8" s="1"/>
  <c r="A874" i="8" s="1"/>
  <c r="A875" i="8" s="1"/>
  <c r="A876" i="8" s="1"/>
  <c r="A877" i="8" s="1"/>
  <c r="J849" i="8"/>
  <c r="K849" i="8" s="1"/>
  <c r="L849" i="8" s="1"/>
  <c r="M849" i="8" s="1"/>
  <c r="H849" i="8"/>
  <c r="L848" i="8"/>
  <c r="M848" i="8" s="1"/>
  <c r="G848" i="8"/>
  <c r="J847" i="8"/>
  <c r="A847" i="8"/>
  <c r="A848" i="8" s="1"/>
  <c r="A849" i="8" s="1"/>
  <c r="J846" i="8"/>
  <c r="K846" i="8" s="1"/>
  <c r="H846" i="8"/>
  <c r="G846" i="8"/>
  <c r="K845" i="8"/>
  <c r="L845" i="8" s="1"/>
  <c r="M845" i="8" s="1"/>
  <c r="J845" i="8"/>
  <c r="H845" i="8"/>
  <c r="H851" i="8" s="1"/>
  <c r="A845" i="8"/>
  <c r="A846" i="8" s="1"/>
  <c r="E839" i="8"/>
  <c r="E838" i="8"/>
  <c r="E837" i="8"/>
  <c r="E836" i="8"/>
  <c r="K835" i="8"/>
  <c r="E835" i="8"/>
  <c r="F857" i="8" s="1"/>
  <c r="H857" i="8" s="1"/>
  <c r="C831" i="8"/>
  <c r="L820" i="8"/>
  <c r="I816" i="8"/>
  <c r="I815" i="8"/>
  <c r="I814" i="8"/>
  <c r="F814" i="8"/>
  <c r="I813" i="8"/>
  <c r="G813" i="8"/>
  <c r="F813" i="8"/>
  <c r="I812" i="8"/>
  <c r="G812" i="8"/>
  <c r="H812" i="8" s="1"/>
  <c r="F812" i="8"/>
  <c r="I810" i="8"/>
  <c r="K810" i="8" s="1"/>
  <c r="H810" i="8"/>
  <c r="G809" i="8"/>
  <c r="F809" i="8"/>
  <c r="G808" i="8"/>
  <c r="H808" i="8" s="1"/>
  <c r="C807" i="8"/>
  <c r="G806" i="8"/>
  <c r="H806" i="8" s="1"/>
  <c r="L805" i="8"/>
  <c r="M805" i="8" s="1"/>
  <c r="K805" i="8"/>
  <c r="G805" i="8"/>
  <c r="H805" i="8" s="1"/>
  <c r="C804" i="8"/>
  <c r="H803" i="8"/>
  <c r="G803" i="8"/>
  <c r="K802" i="8"/>
  <c r="L802" i="8" s="1"/>
  <c r="M802" i="8" s="1"/>
  <c r="H802" i="8"/>
  <c r="F801" i="8"/>
  <c r="H801" i="8" s="1"/>
  <c r="G800" i="8"/>
  <c r="H800" i="8" s="1"/>
  <c r="J799" i="8"/>
  <c r="K799" i="8" s="1"/>
  <c r="J798" i="8"/>
  <c r="K798" i="8" s="1"/>
  <c r="G797" i="8"/>
  <c r="H797" i="8" s="1"/>
  <c r="C795" i="8"/>
  <c r="K794" i="8"/>
  <c r="J794" i="8"/>
  <c r="J793" i="8"/>
  <c r="K793" i="8" s="1"/>
  <c r="H793" i="8"/>
  <c r="L792" i="8"/>
  <c r="M792" i="8" s="1"/>
  <c r="J792" i="8"/>
  <c r="J791" i="8"/>
  <c r="G791" i="8"/>
  <c r="G790" i="8"/>
  <c r="H790" i="8" s="1"/>
  <c r="J789" i="8"/>
  <c r="K789" i="8" s="1"/>
  <c r="H789" i="8"/>
  <c r="E783" i="8"/>
  <c r="E782" i="8"/>
  <c r="J805" i="8" s="1"/>
  <c r="E781" i="8"/>
  <c r="E780" i="8"/>
  <c r="K779" i="8"/>
  <c r="E779" i="8"/>
  <c r="I801" i="8" s="1"/>
  <c r="K801" i="8" s="1"/>
  <c r="C765" i="8"/>
  <c r="I760" i="8"/>
  <c r="I759" i="8"/>
  <c r="I758" i="8"/>
  <c r="F758" i="8"/>
  <c r="I757" i="8"/>
  <c r="F757" i="8"/>
  <c r="I756" i="8"/>
  <c r="F756" i="8"/>
  <c r="K754" i="8"/>
  <c r="L754" i="8" s="1"/>
  <c r="M754" i="8" s="1"/>
  <c r="I754" i="8"/>
  <c r="H754" i="8"/>
  <c r="F753" i="8"/>
  <c r="C751" i="8"/>
  <c r="C748" i="8"/>
  <c r="J747" i="8"/>
  <c r="K747" i="8" s="1"/>
  <c r="L746" i="8"/>
  <c r="M746" i="8" s="1"/>
  <c r="K746" i="8"/>
  <c r="H746" i="8"/>
  <c r="I745" i="8"/>
  <c r="K745" i="8" s="1"/>
  <c r="F745" i="8"/>
  <c r="H745" i="8" s="1"/>
  <c r="L745" i="8" s="1"/>
  <c r="M745" i="8" s="1"/>
  <c r="A740" i="8"/>
  <c r="A741" i="8" s="1"/>
  <c r="A742" i="8" s="1"/>
  <c r="A743" i="8" s="1"/>
  <c r="A744" i="8" s="1"/>
  <c r="A745" i="8" s="1"/>
  <c r="A746" i="8" s="1"/>
  <c r="A747" i="8" s="1"/>
  <c r="A748" i="8" s="1"/>
  <c r="A749" i="8" s="1"/>
  <c r="A750" i="8" s="1"/>
  <c r="A751" i="8" s="1"/>
  <c r="A752" i="8" s="1"/>
  <c r="A753" i="8" s="1"/>
  <c r="A754" i="8" s="1"/>
  <c r="A755" i="8" s="1"/>
  <c r="A756" i="8" s="1"/>
  <c r="A757" i="8" s="1"/>
  <c r="A758" i="8" s="1"/>
  <c r="A759" i="8" s="1"/>
  <c r="A760" i="8" s="1"/>
  <c r="A761" i="8" s="1"/>
  <c r="A762" i="8" s="1"/>
  <c r="A763" i="8" s="1"/>
  <c r="A764" i="8" s="1"/>
  <c r="A765" i="8" s="1"/>
  <c r="A766" i="8" s="1"/>
  <c r="A767" i="8" s="1"/>
  <c r="A768" i="8" s="1"/>
  <c r="A769" i="8" s="1"/>
  <c r="A770" i="8" s="1"/>
  <c r="A771" i="8" s="1"/>
  <c r="A772" i="8" s="1"/>
  <c r="A773" i="8" s="1"/>
  <c r="A774" i="8" s="1"/>
  <c r="A775" i="8" s="1"/>
  <c r="A776" i="8" s="1"/>
  <c r="C739" i="8"/>
  <c r="J738" i="8"/>
  <c r="K738" i="8" s="1"/>
  <c r="M737" i="8"/>
  <c r="K737" i="8"/>
  <c r="L737" i="8" s="1"/>
  <c r="J737" i="8"/>
  <c r="H737" i="8"/>
  <c r="M736" i="8"/>
  <c r="L736" i="8"/>
  <c r="G735" i="8"/>
  <c r="K733" i="8"/>
  <c r="J733" i="8"/>
  <c r="H733" i="8"/>
  <c r="A733" i="8"/>
  <c r="A734" i="8" s="1"/>
  <c r="A735" i="8" s="1"/>
  <c r="A736" i="8" s="1"/>
  <c r="A737" i="8" s="1"/>
  <c r="A738" i="8" s="1"/>
  <c r="A739" i="8" s="1"/>
  <c r="E727" i="8"/>
  <c r="E726" i="8"/>
  <c r="E725" i="8"/>
  <c r="E724" i="8"/>
  <c r="K723" i="8"/>
  <c r="E723" i="8"/>
  <c r="C709" i="8"/>
  <c r="I704" i="8"/>
  <c r="G704" i="8"/>
  <c r="H704" i="8" s="1"/>
  <c r="I703" i="8"/>
  <c r="H703" i="8"/>
  <c r="G703" i="8"/>
  <c r="I702" i="8"/>
  <c r="G702" i="8"/>
  <c r="F702" i="8"/>
  <c r="J701" i="8"/>
  <c r="I701" i="8"/>
  <c r="F701" i="8"/>
  <c r="J700" i="8"/>
  <c r="I700" i="8"/>
  <c r="G700" i="8"/>
  <c r="F700" i="8"/>
  <c r="M698" i="8"/>
  <c r="K698" i="8"/>
  <c r="I698" i="8"/>
  <c r="H698" i="8"/>
  <c r="L698" i="8" s="1"/>
  <c r="F697" i="8"/>
  <c r="C695" i="8"/>
  <c r="C692" i="8"/>
  <c r="J691" i="8"/>
  <c r="K691" i="8" s="1"/>
  <c r="L691" i="8" s="1"/>
  <c r="M691" i="8" s="1"/>
  <c r="G691" i="8"/>
  <c r="H691" i="8" s="1"/>
  <c r="K690" i="8"/>
  <c r="L690" i="8" s="1"/>
  <c r="M690" i="8" s="1"/>
  <c r="H690" i="8"/>
  <c r="I689" i="8"/>
  <c r="K689" i="8" s="1"/>
  <c r="G687" i="8"/>
  <c r="H687" i="8" s="1"/>
  <c r="C683" i="8"/>
  <c r="G682" i="8"/>
  <c r="H682" i="8" s="1"/>
  <c r="K681" i="8"/>
  <c r="L681" i="8" s="1"/>
  <c r="M681" i="8" s="1"/>
  <c r="J681" i="8"/>
  <c r="H681" i="8"/>
  <c r="M680" i="8"/>
  <c r="L680" i="8"/>
  <c r="G679" i="8"/>
  <c r="J678" i="8"/>
  <c r="K678" i="8" s="1"/>
  <c r="M677" i="8"/>
  <c r="L677" i="8"/>
  <c r="J677" i="8"/>
  <c r="K677" i="8" s="1"/>
  <c r="H677" i="8"/>
  <c r="A677" i="8"/>
  <c r="A678" i="8" s="1"/>
  <c r="A679" i="8" s="1"/>
  <c r="A680" i="8" s="1"/>
  <c r="A681" i="8" s="1"/>
  <c r="A682" i="8" s="1"/>
  <c r="A683" i="8" s="1"/>
  <c r="A684" i="8" s="1"/>
  <c r="A685" i="8" s="1"/>
  <c r="A686" i="8" s="1"/>
  <c r="A687" i="8" s="1"/>
  <c r="A688" i="8" s="1"/>
  <c r="A689" i="8" s="1"/>
  <c r="A690" i="8" s="1"/>
  <c r="A691" i="8" s="1"/>
  <c r="A692" i="8" s="1"/>
  <c r="A693" i="8" s="1"/>
  <c r="A694" i="8" s="1"/>
  <c r="A695" i="8" s="1"/>
  <c r="A696" i="8" s="1"/>
  <c r="A697" i="8" s="1"/>
  <c r="A698" i="8" s="1"/>
  <c r="A699" i="8" s="1"/>
  <c r="A700" i="8" s="1"/>
  <c r="A701" i="8" s="1"/>
  <c r="A702" i="8" s="1"/>
  <c r="A703" i="8" s="1"/>
  <c r="A704" i="8" s="1"/>
  <c r="A705" i="8" s="1"/>
  <c r="A706" i="8" s="1"/>
  <c r="A707" i="8" s="1"/>
  <c r="A708" i="8" s="1"/>
  <c r="A709" i="8" s="1"/>
  <c r="A710" i="8" s="1"/>
  <c r="A711" i="8" s="1"/>
  <c r="A712" i="8" s="1"/>
  <c r="A713" i="8" s="1"/>
  <c r="A714" i="8" s="1"/>
  <c r="A715" i="8" s="1"/>
  <c r="A716" i="8" s="1"/>
  <c r="A717" i="8" s="1"/>
  <c r="A718" i="8" s="1"/>
  <c r="A719" i="8" s="1"/>
  <c r="A720" i="8" s="1"/>
  <c r="E671" i="8"/>
  <c r="E670" i="8"/>
  <c r="E669" i="8"/>
  <c r="E668" i="8"/>
  <c r="K667" i="8"/>
  <c r="E667" i="8"/>
  <c r="F689" i="8" s="1"/>
  <c r="H689" i="8" s="1"/>
  <c r="C653" i="8"/>
  <c r="J648" i="8"/>
  <c r="I648" i="8"/>
  <c r="J647" i="8"/>
  <c r="I647" i="8"/>
  <c r="J646" i="8"/>
  <c r="I646" i="8"/>
  <c r="F646" i="8"/>
  <c r="J645" i="8"/>
  <c r="I645" i="8"/>
  <c r="G645" i="8"/>
  <c r="H645" i="8" s="1"/>
  <c r="F645" i="8"/>
  <c r="J644" i="8"/>
  <c r="I644" i="8"/>
  <c r="K644" i="8" s="1"/>
  <c r="G644" i="8"/>
  <c r="H644" i="8" s="1"/>
  <c r="L644" i="8" s="1"/>
  <c r="M644" i="8" s="1"/>
  <c r="F644" i="8"/>
  <c r="I642" i="8"/>
  <c r="K642" i="8" s="1"/>
  <c r="L642" i="8" s="1"/>
  <c r="M642" i="8" s="1"/>
  <c r="H642" i="8"/>
  <c r="F641" i="8"/>
  <c r="C639" i="8"/>
  <c r="C636" i="8"/>
  <c r="G635" i="8"/>
  <c r="H635" i="8" s="1"/>
  <c r="L634" i="8"/>
  <c r="M634" i="8" s="1"/>
  <c r="K634" i="8"/>
  <c r="H634" i="8"/>
  <c r="F633" i="8"/>
  <c r="H633" i="8" s="1"/>
  <c r="G632" i="8"/>
  <c r="H632" i="8" s="1"/>
  <c r="J631" i="8"/>
  <c r="K631" i="8" s="1"/>
  <c r="J630" i="8"/>
  <c r="K630" i="8" s="1"/>
  <c r="G629" i="8"/>
  <c r="H629" i="8" s="1"/>
  <c r="C627" i="8"/>
  <c r="K626" i="8"/>
  <c r="J626" i="8"/>
  <c r="M625" i="8"/>
  <c r="J625" i="8"/>
  <c r="K625" i="8" s="1"/>
  <c r="L625" i="8" s="1"/>
  <c r="H625" i="8"/>
  <c r="L624" i="8"/>
  <c r="M624" i="8" s="1"/>
  <c r="J624" i="8"/>
  <c r="J623" i="8"/>
  <c r="G623" i="8"/>
  <c r="G622" i="8"/>
  <c r="H622" i="8" s="1"/>
  <c r="K621" i="8"/>
  <c r="J621" i="8"/>
  <c r="H621" i="8"/>
  <c r="E615" i="8"/>
  <c r="E614" i="8"/>
  <c r="E613" i="8"/>
  <c r="G648" i="8" s="1"/>
  <c r="H648" i="8" s="1"/>
  <c r="E612" i="8"/>
  <c r="K611" i="8"/>
  <c r="E611" i="8"/>
  <c r="I633" i="8" s="1"/>
  <c r="K633" i="8" s="1"/>
  <c r="L633" i="8" s="1"/>
  <c r="M633" i="8" s="1"/>
  <c r="C597" i="8"/>
  <c r="I592" i="8"/>
  <c r="I591" i="8"/>
  <c r="I590" i="8"/>
  <c r="G590" i="8"/>
  <c r="H590" i="8" s="1"/>
  <c r="F590" i="8"/>
  <c r="I589" i="8"/>
  <c r="F589" i="8"/>
  <c r="J588" i="8"/>
  <c r="K588" i="8" s="1"/>
  <c r="I588" i="8"/>
  <c r="F588" i="8"/>
  <c r="L586" i="8"/>
  <c r="M586" i="8" s="1"/>
  <c r="K586" i="8"/>
  <c r="I586" i="8"/>
  <c r="H586" i="8"/>
  <c r="J585" i="8"/>
  <c r="K585" i="8" s="1"/>
  <c r="F585" i="8"/>
  <c r="C583" i="8"/>
  <c r="J582" i="8"/>
  <c r="K582" i="8" s="1"/>
  <c r="C580" i="8"/>
  <c r="K578" i="8"/>
  <c r="H578" i="8"/>
  <c r="L578" i="8" s="1"/>
  <c r="M578" i="8" s="1"/>
  <c r="J576" i="8"/>
  <c r="K576" i="8" s="1"/>
  <c r="H575" i="8"/>
  <c r="G575" i="8"/>
  <c r="C571" i="8"/>
  <c r="L569" i="8"/>
  <c r="M569" i="8" s="1"/>
  <c r="K569" i="8"/>
  <c r="J569" i="8"/>
  <c r="H569" i="8"/>
  <c r="M568" i="8"/>
  <c r="L568" i="8"/>
  <c r="K565" i="8"/>
  <c r="J565" i="8"/>
  <c r="H565" i="8"/>
  <c r="E559" i="8"/>
  <c r="E558" i="8"/>
  <c r="E557" i="8"/>
  <c r="E556" i="8"/>
  <c r="K555" i="8"/>
  <c r="E555" i="8"/>
  <c r="C541" i="8"/>
  <c r="J536" i="8"/>
  <c r="I536" i="8"/>
  <c r="J535" i="8"/>
  <c r="I535" i="8"/>
  <c r="J534" i="8"/>
  <c r="I534" i="8"/>
  <c r="F534" i="8"/>
  <c r="J533" i="8"/>
  <c r="I533" i="8"/>
  <c r="G533" i="8"/>
  <c r="F533" i="8"/>
  <c r="J532" i="8"/>
  <c r="I532" i="8"/>
  <c r="K532" i="8" s="1"/>
  <c r="G532" i="8"/>
  <c r="H532" i="8" s="1"/>
  <c r="F532" i="8"/>
  <c r="I530" i="8"/>
  <c r="K530" i="8" s="1"/>
  <c r="L530" i="8" s="1"/>
  <c r="M530" i="8" s="1"/>
  <c r="H530" i="8"/>
  <c r="F529" i="8"/>
  <c r="C527" i="8"/>
  <c r="C524" i="8"/>
  <c r="G523" i="8"/>
  <c r="H523" i="8" s="1"/>
  <c r="L522" i="8"/>
  <c r="M522" i="8" s="1"/>
  <c r="K522" i="8"/>
  <c r="H522" i="8"/>
  <c r="G520" i="8"/>
  <c r="H520" i="8" s="1"/>
  <c r="J519" i="8"/>
  <c r="K519" i="8" s="1"/>
  <c r="J518" i="8"/>
  <c r="K518" i="8" s="1"/>
  <c r="H517" i="8"/>
  <c r="G517" i="8"/>
  <c r="C515" i="8"/>
  <c r="J513" i="8"/>
  <c r="K513" i="8" s="1"/>
  <c r="L513" i="8" s="1"/>
  <c r="M513" i="8" s="1"/>
  <c r="H513" i="8"/>
  <c r="L512" i="8"/>
  <c r="M512" i="8" s="1"/>
  <c r="G512" i="8"/>
  <c r="G511" i="8"/>
  <c r="J510" i="8"/>
  <c r="K510" i="8" s="1"/>
  <c r="G510" i="8"/>
  <c r="H510" i="8" s="1"/>
  <c r="J509" i="8"/>
  <c r="K509" i="8" s="1"/>
  <c r="H509" i="8"/>
  <c r="E503" i="8"/>
  <c r="E502" i="8"/>
  <c r="E501" i="8"/>
  <c r="G536" i="8" s="1"/>
  <c r="H536" i="8" s="1"/>
  <c r="E500" i="8"/>
  <c r="K499" i="8"/>
  <c r="E499" i="8"/>
  <c r="C485" i="8"/>
  <c r="K480" i="8"/>
  <c r="J480" i="8"/>
  <c r="I480" i="8"/>
  <c r="G480" i="8"/>
  <c r="H480" i="8" s="1"/>
  <c r="I479" i="8"/>
  <c r="G479" i="8"/>
  <c r="H479" i="8" s="1"/>
  <c r="J478" i="8"/>
  <c r="I478" i="8"/>
  <c r="F478" i="8"/>
  <c r="I477" i="8"/>
  <c r="G477" i="8"/>
  <c r="F477" i="8"/>
  <c r="I476" i="8"/>
  <c r="I460" i="8" s="1"/>
  <c r="F476" i="8"/>
  <c r="L474" i="8"/>
  <c r="M474" i="8" s="1"/>
  <c r="K474" i="8"/>
  <c r="I474" i="8"/>
  <c r="H474" i="8"/>
  <c r="H473" i="8"/>
  <c r="G473" i="8"/>
  <c r="F473" i="8"/>
  <c r="C471" i="8"/>
  <c r="C468" i="8"/>
  <c r="J467" i="8"/>
  <c r="K467" i="8" s="1"/>
  <c r="K466" i="8"/>
  <c r="H466" i="8"/>
  <c r="L466" i="8" s="1"/>
  <c r="M466" i="8" s="1"/>
  <c r="I465" i="8"/>
  <c r="K465" i="8" s="1"/>
  <c r="L465" i="8" s="1"/>
  <c r="M465" i="8" s="1"/>
  <c r="A465" i="8"/>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H464" i="8"/>
  <c r="G464" i="8"/>
  <c r="G463" i="8"/>
  <c r="H463" i="8" s="1"/>
  <c r="J462" i="8"/>
  <c r="K462" i="8" s="1"/>
  <c r="A461" i="8"/>
  <c r="A462" i="8" s="1"/>
  <c r="A463" i="8" s="1"/>
  <c r="A464" i="8" s="1"/>
  <c r="C459" i="8"/>
  <c r="H458" i="8"/>
  <c r="G458" i="8"/>
  <c r="J457" i="8"/>
  <c r="K457" i="8" s="1"/>
  <c r="L457" i="8" s="1"/>
  <c r="M457" i="8" s="1"/>
  <c r="H457" i="8"/>
  <c r="L456" i="8"/>
  <c r="M456" i="8" s="1"/>
  <c r="G456" i="8"/>
  <c r="J455" i="8"/>
  <c r="J454" i="8"/>
  <c r="K454" i="8" s="1"/>
  <c r="K453" i="8"/>
  <c r="L453" i="8" s="1"/>
  <c r="M453" i="8" s="1"/>
  <c r="J453" i="8"/>
  <c r="H453" i="8"/>
  <c r="A453" i="8"/>
  <c r="A454" i="8" s="1"/>
  <c r="A455" i="8" s="1"/>
  <c r="A456" i="8" s="1"/>
  <c r="A457" i="8" s="1"/>
  <c r="A458" i="8" s="1"/>
  <c r="A459" i="8" s="1"/>
  <c r="A460" i="8" s="1"/>
  <c r="E447" i="8"/>
  <c r="E446" i="8"/>
  <c r="E445" i="8"/>
  <c r="G469" i="8" s="1"/>
  <c r="H469" i="8" s="1"/>
  <c r="E444" i="8"/>
  <c r="K443" i="8"/>
  <c r="E443" i="8"/>
  <c r="F465" i="8" s="1"/>
  <c r="H465" i="8" s="1"/>
  <c r="C439" i="8"/>
  <c r="L428" i="8"/>
  <c r="I424" i="8"/>
  <c r="I423" i="8"/>
  <c r="I422" i="8"/>
  <c r="G422" i="8"/>
  <c r="F422" i="8"/>
  <c r="I421" i="8"/>
  <c r="G421" i="8"/>
  <c r="F421" i="8"/>
  <c r="I420" i="8"/>
  <c r="F420" i="8"/>
  <c r="K418" i="8"/>
  <c r="L418" i="8" s="1"/>
  <c r="M418" i="8" s="1"/>
  <c r="I418" i="8"/>
  <c r="H418" i="8"/>
  <c r="G417" i="8"/>
  <c r="H417" i="8" s="1"/>
  <c r="F417" i="8"/>
  <c r="C415" i="8"/>
  <c r="J413" i="8"/>
  <c r="K413" i="8" s="1"/>
  <c r="C412" i="8"/>
  <c r="M410" i="8"/>
  <c r="K410" i="8"/>
  <c r="L410" i="8" s="1"/>
  <c r="H410" i="8"/>
  <c r="A410" i="8"/>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I409" i="8"/>
  <c r="K409" i="8" s="1"/>
  <c r="J408" i="8"/>
  <c r="K408" i="8" s="1"/>
  <c r="H407" i="8"/>
  <c r="G407" i="8"/>
  <c r="G406" i="8"/>
  <c r="H406" i="8" s="1"/>
  <c r="J405" i="8"/>
  <c r="K405" i="8" s="1"/>
  <c r="A405" i="8"/>
  <c r="A406" i="8" s="1"/>
  <c r="A407" i="8" s="1"/>
  <c r="A408" i="8" s="1"/>
  <c r="A409" i="8" s="1"/>
  <c r="I404" i="8"/>
  <c r="J404" i="8" s="1"/>
  <c r="K404" i="8" s="1"/>
  <c r="F404" i="8"/>
  <c r="G404" i="8" s="1"/>
  <c r="H404" i="8" s="1"/>
  <c r="C403" i="8"/>
  <c r="H402" i="8"/>
  <c r="G402" i="8"/>
  <c r="L401" i="8"/>
  <c r="M401" i="8" s="1"/>
  <c r="K401" i="8"/>
  <c r="J401" i="8"/>
  <c r="H401" i="8"/>
  <c r="M400" i="8"/>
  <c r="L400" i="8"/>
  <c r="G400" i="8"/>
  <c r="A400" i="8"/>
  <c r="A401" i="8" s="1"/>
  <c r="A402" i="8" s="1"/>
  <c r="A403" i="8" s="1"/>
  <c r="A404" i="8" s="1"/>
  <c r="H398" i="8"/>
  <c r="H403" i="8" s="1"/>
  <c r="G398" i="8"/>
  <c r="K397" i="8"/>
  <c r="J397" i="8"/>
  <c r="H397" i="8"/>
  <c r="A397" i="8"/>
  <c r="A398" i="8" s="1"/>
  <c r="A399" i="8" s="1"/>
  <c r="E392" i="8"/>
  <c r="J420" i="8" s="1"/>
  <c r="K420" i="8" s="1"/>
  <c r="E391" i="8"/>
  <c r="E390" i="8"/>
  <c r="G413" i="8" s="1"/>
  <c r="H413" i="8" s="1"/>
  <c r="E389" i="8"/>
  <c r="E388" i="8"/>
  <c r="K387" i="8"/>
  <c r="E387" i="8"/>
  <c r="F409" i="8" s="1"/>
  <c r="H409" i="8" s="1"/>
  <c r="C373" i="8"/>
  <c r="L372" i="8"/>
  <c r="J368" i="8"/>
  <c r="K368" i="8" s="1"/>
  <c r="I368" i="8"/>
  <c r="G368" i="8"/>
  <c r="H368" i="8" s="1"/>
  <c r="K367" i="8"/>
  <c r="J367" i="8"/>
  <c r="I367" i="8"/>
  <c r="G367" i="8"/>
  <c r="H367" i="8" s="1"/>
  <c r="J366" i="8"/>
  <c r="I366" i="8"/>
  <c r="K366" i="8" s="1"/>
  <c r="G366" i="8"/>
  <c r="F366" i="8"/>
  <c r="I365" i="8"/>
  <c r="G365" i="8"/>
  <c r="H365" i="8" s="1"/>
  <c r="F365" i="8"/>
  <c r="I364" i="8"/>
  <c r="F364" i="8"/>
  <c r="I362" i="8"/>
  <c r="K362" i="8" s="1"/>
  <c r="L362" i="8" s="1"/>
  <c r="M362" i="8" s="1"/>
  <c r="H362" i="8"/>
  <c r="H361" i="8"/>
  <c r="G361" i="8"/>
  <c r="F361" i="8"/>
  <c r="C359" i="8"/>
  <c r="J358" i="8"/>
  <c r="K358" i="8" s="1"/>
  <c r="H357" i="8"/>
  <c r="G357" i="8"/>
  <c r="C356" i="8"/>
  <c r="J355" i="8"/>
  <c r="K355" i="8" s="1"/>
  <c r="M354" i="8"/>
  <c r="L354" i="8"/>
  <c r="K354" i="8"/>
  <c r="H354" i="8"/>
  <c r="I353" i="8"/>
  <c r="K353" i="8" s="1"/>
  <c r="G352" i="8"/>
  <c r="H352" i="8" s="1"/>
  <c r="G351" i="8"/>
  <c r="H351" i="8" s="1"/>
  <c r="K350" i="8"/>
  <c r="J350" i="8"/>
  <c r="J349" i="8"/>
  <c r="K349" i="8" s="1"/>
  <c r="C347" i="8"/>
  <c r="G346" i="8"/>
  <c r="H346" i="8" s="1"/>
  <c r="J345" i="8"/>
  <c r="K345" i="8" s="1"/>
  <c r="L345" i="8" s="1"/>
  <c r="M345" i="8" s="1"/>
  <c r="H345" i="8"/>
  <c r="L344" i="8"/>
  <c r="M344" i="8" s="1"/>
  <c r="A344" i="8"/>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J343" i="8"/>
  <c r="G342" i="8"/>
  <c r="H342" i="8" s="1"/>
  <c r="H347" i="8" s="1"/>
  <c r="J341" i="8"/>
  <c r="K341" i="8" s="1"/>
  <c r="H341" i="8"/>
  <c r="E335" i="8"/>
  <c r="G360" i="8" s="1"/>
  <c r="H360" i="8" s="1"/>
  <c r="E334" i="8"/>
  <c r="J357" i="8" s="1"/>
  <c r="K357" i="8" s="1"/>
  <c r="L357" i="8" s="1"/>
  <c r="M357" i="8" s="1"/>
  <c r="E333" i="8"/>
  <c r="J364" i="8" s="1"/>
  <c r="E332" i="8"/>
  <c r="K331" i="8"/>
  <c r="E331" i="8"/>
  <c r="A341" i="8" s="1"/>
  <c r="A342" i="8" s="1"/>
  <c r="A343" i="8" s="1"/>
  <c r="C317" i="8"/>
  <c r="L316" i="8"/>
  <c r="J312" i="8"/>
  <c r="K312" i="8" s="1"/>
  <c r="I312" i="8"/>
  <c r="J311" i="8"/>
  <c r="K311" i="8" s="1"/>
  <c r="I311" i="8"/>
  <c r="J310" i="8"/>
  <c r="I310" i="8"/>
  <c r="F310" i="8"/>
  <c r="I309" i="8"/>
  <c r="G309" i="8"/>
  <c r="H309" i="8" s="1"/>
  <c r="F309" i="8"/>
  <c r="I308" i="8"/>
  <c r="F308" i="8"/>
  <c r="I306" i="8"/>
  <c r="K306" i="8" s="1"/>
  <c r="H306" i="8"/>
  <c r="F305" i="8"/>
  <c r="C303" i="8"/>
  <c r="C300" i="8"/>
  <c r="K298" i="8"/>
  <c r="L298" i="8" s="1"/>
  <c r="M298" i="8" s="1"/>
  <c r="H298" i="8"/>
  <c r="F297" i="8"/>
  <c r="H297" i="8" s="1"/>
  <c r="G296" i="8"/>
  <c r="H296" i="8" s="1"/>
  <c r="C291" i="8"/>
  <c r="J290" i="8"/>
  <c r="K290" i="8" s="1"/>
  <c r="J289" i="8"/>
  <c r="K289" i="8" s="1"/>
  <c r="L289" i="8" s="1"/>
  <c r="M289" i="8" s="1"/>
  <c r="H289" i="8"/>
  <c r="L288" i="8"/>
  <c r="M288" i="8" s="1"/>
  <c r="J287" i="8"/>
  <c r="K285" i="8"/>
  <c r="H285" i="8"/>
  <c r="A285" i="8"/>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E279" i="8"/>
  <c r="E278" i="8"/>
  <c r="G302" i="8" s="1"/>
  <c r="H302" i="8" s="1"/>
  <c r="E277" i="8"/>
  <c r="E276" i="8"/>
  <c r="K275" i="8"/>
  <c r="E275" i="8"/>
  <c r="I297" i="8" s="1"/>
  <c r="K297" i="8" s="1"/>
  <c r="C271" i="8"/>
  <c r="L260" i="8"/>
  <c r="I256" i="8"/>
  <c r="G256" i="8"/>
  <c r="H256" i="8" s="1"/>
  <c r="I255" i="8"/>
  <c r="G255" i="8"/>
  <c r="H255" i="8" s="1"/>
  <c r="I254" i="8"/>
  <c r="G254" i="8"/>
  <c r="H254" i="8" s="1"/>
  <c r="F254" i="8"/>
  <c r="I253" i="8"/>
  <c r="F253" i="8"/>
  <c r="I252" i="8"/>
  <c r="F252" i="8"/>
  <c r="K250" i="8"/>
  <c r="L250" i="8" s="1"/>
  <c r="M250" i="8" s="1"/>
  <c r="I250" i="8"/>
  <c r="H250" i="8"/>
  <c r="F249" i="8"/>
  <c r="C247" i="8"/>
  <c r="J246" i="8"/>
  <c r="K246" i="8" s="1"/>
  <c r="J245" i="8"/>
  <c r="K245" i="8" s="1"/>
  <c r="C244" i="8"/>
  <c r="M242" i="8"/>
  <c r="K242" i="8"/>
  <c r="H242" i="8"/>
  <c r="L242" i="8" s="1"/>
  <c r="J240" i="8"/>
  <c r="K240" i="8" s="1"/>
  <c r="H239" i="8"/>
  <c r="G239" i="8"/>
  <c r="G238" i="8"/>
  <c r="H238" i="8" s="1"/>
  <c r="J237" i="8"/>
  <c r="K237" i="8" s="1"/>
  <c r="I236" i="8"/>
  <c r="J236" i="8" s="1"/>
  <c r="K236" i="8" s="1"/>
  <c r="F236" i="8"/>
  <c r="G236" i="8" s="1"/>
  <c r="H236" i="8" s="1"/>
  <c r="C235" i="8"/>
  <c r="G234" i="8"/>
  <c r="H234" i="8" s="1"/>
  <c r="L233" i="8"/>
  <c r="M233" i="8" s="1"/>
  <c r="K233" i="8"/>
  <c r="J233" i="8"/>
  <c r="H233" i="8"/>
  <c r="M232" i="8"/>
  <c r="L232" i="8"/>
  <c r="G232" i="8"/>
  <c r="J230" i="8"/>
  <c r="K230" i="8" s="1"/>
  <c r="L229" i="8"/>
  <c r="M229" i="8" s="1"/>
  <c r="K229" i="8"/>
  <c r="J229" i="8"/>
  <c r="H229" i="8"/>
  <c r="A229" i="8"/>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E223" i="8"/>
  <c r="E222" i="8"/>
  <c r="J243" i="8" s="1"/>
  <c r="K243" i="8" s="1"/>
  <c r="E221" i="8"/>
  <c r="E220" i="8"/>
  <c r="K219" i="8"/>
  <c r="E219" i="8"/>
  <c r="F241" i="8" s="1"/>
  <c r="H241" i="8" s="1"/>
  <c r="C215" i="8"/>
  <c r="L204" i="8"/>
  <c r="I200" i="8"/>
  <c r="G200" i="8"/>
  <c r="H200" i="8" s="1"/>
  <c r="I199" i="8"/>
  <c r="G199" i="8"/>
  <c r="H199" i="8" s="1"/>
  <c r="I198" i="8"/>
  <c r="F198" i="8"/>
  <c r="I197" i="8"/>
  <c r="F197" i="8"/>
  <c r="I196" i="8"/>
  <c r="F196" i="8"/>
  <c r="K194" i="8"/>
  <c r="L194" i="8" s="1"/>
  <c r="M194" i="8" s="1"/>
  <c r="I194" i="8"/>
  <c r="H194" i="8"/>
  <c r="F193" i="8"/>
  <c r="C191" i="8"/>
  <c r="K190" i="8"/>
  <c r="J190" i="8"/>
  <c r="J189" i="8"/>
  <c r="K189" i="8" s="1"/>
  <c r="C188" i="8"/>
  <c r="M186" i="8"/>
  <c r="K186" i="8"/>
  <c r="H186" i="8"/>
  <c r="L186" i="8" s="1"/>
  <c r="I185" i="8"/>
  <c r="K185" i="8" s="1"/>
  <c r="J184" i="8"/>
  <c r="K184" i="8" s="1"/>
  <c r="G184" i="8"/>
  <c r="H184" i="8" s="1"/>
  <c r="L184" i="8" s="1"/>
  <c r="M184" i="8" s="1"/>
  <c r="G183" i="8"/>
  <c r="H183" i="8" s="1"/>
  <c r="K182" i="8"/>
  <c r="J182" i="8"/>
  <c r="J181" i="8"/>
  <c r="K181" i="8" s="1"/>
  <c r="L181" i="8" s="1"/>
  <c r="M181" i="8" s="1"/>
  <c r="H181" i="8"/>
  <c r="G181" i="8"/>
  <c r="C179" i="8"/>
  <c r="K178" i="8"/>
  <c r="L178" i="8" s="1"/>
  <c r="M178" i="8" s="1"/>
  <c r="J178" i="8"/>
  <c r="G178" i="8"/>
  <c r="H178" i="8" s="1"/>
  <c r="A178" i="8"/>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K177" i="8"/>
  <c r="L177" i="8" s="1"/>
  <c r="M177" i="8" s="1"/>
  <c r="J177" i="8"/>
  <c r="H177" i="8"/>
  <c r="L176" i="8"/>
  <c r="M176" i="8" s="1"/>
  <c r="J176" i="8"/>
  <c r="A176" i="8"/>
  <c r="A177" i="8" s="1"/>
  <c r="J175" i="8"/>
  <c r="G175" i="8"/>
  <c r="G174" i="8"/>
  <c r="H174" i="8" s="1"/>
  <c r="H179" i="8" s="1"/>
  <c r="K173" i="8"/>
  <c r="L173" i="8" s="1"/>
  <c r="M173" i="8" s="1"/>
  <c r="J173" i="8"/>
  <c r="H173" i="8"/>
  <c r="A173" i="8"/>
  <c r="A174" i="8" s="1"/>
  <c r="A175" i="8" s="1"/>
  <c r="E168" i="8"/>
  <c r="E167" i="8"/>
  <c r="E166" i="8"/>
  <c r="E165" i="8"/>
  <c r="E164" i="8"/>
  <c r="K163" i="8"/>
  <c r="E163" i="8"/>
  <c r="F185" i="8" s="1"/>
  <c r="H185" i="8" s="1"/>
  <c r="C149" i="8"/>
  <c r="I144" i="8"/>
  <c r="I143" i="8"/>
  <c r="I142" i="8"/>
  <c r="F142" i="8"/>
  <c r="J141" i="8"/>
  <c r="I141" i="8"/>
  <c r="F141" i="8"/>
  <c r="J140" i="8"/>
  <c r="I140" i="8"/>
  <c r="G140" i="8"/>
  <c r="F140" i="8"/>
  <c r="L138" i="8"/>
  <c r="M138" i="8" s="1"/>
  <c r="K138" i="8"/>
  <c r="I138" i="8"/>
  <c r="H138" i="8"/>
  <c r="F137" i="8"/>
  <c r="C135" i="8"/>
  <c r="G134" i="8"/>
  <c r="H134" i="8" s="1"/>
  <c r="C132" i="8"/>
  <c r="K130" i="8"/>
  <c r="L130" i="8" s="1"/>
  <c r="M130" i="8" s="1"/>
  <c r="H130" i="8"/>
  <c r="F129" i="8"/>
  <c r="H129" i="8" s="1"/>
  <c r="J128" i="8"/>
  <c r="K128" i="8" s="1"/>
  <c r="J127" i="8"/>
  <c r="K127" i="8" s="1"/>
  <c r="G126" i="8"/>
  <c r="H126" i="8" s="1"/>
  <c r="C123" i="8"/>
  <c r="L121" i="8"/>
  <c r="M121" i="8" s="1"/>
  <c r="K121" i="8"/>
  <c r="J121" i="8"/>
  <c r="H121" i="8"/>
  <c r="M120" i="8"/>
  <c r="L120" i="8"/>
  <c r="J120" i="8"/>
  <c r="G120" i="8"/>
  <c r="J118" i="8"/>
  <c r="K118" i="8" s="1"/>
  <c r="J117" i="8"/>
  <c r="K117" i="8" s="1"/>
  <c r="H117" i="8"/>
  <c r="E111" i="8"/>
  <c r="E110" i="8"/>
  <c r="J122" i="8" s="1"/>
  <c r="K122" i="8" s="1"/>
  <c r="E109" i="8"/>
  <c r="G144" i="8" s="1"/>
  <c r="H144" i="8" s="1"/>
  <c r="E108" i="8"/>
  <c r="K107" i="8"/>
  <c r="E107" i="8"/>
  <c r="C93" i="8"/>
  <c r="I88" i="8"/>
  <c r="I87" i="8"/>
  <c r="I86" i="8"/>
  <c r="F86" i="8"/>
  <c r="I85" i="8"/>
  <c r="F85" i="8"/>
  <c r="I84" i="8"/>
  <c r="F84" i="8"/>
  <c r="I82" i="8"/>
  <c r="K82" i="8" s="1"/>
  <c r="L82" i="8" s="1"/>
  <c r="M82" i="8" s="1"/>
  <c r="H82" i="8"/>
  <c r="F81" i="8"/>
  <c r="C79" i="8"/>
  <c r="C76" i="8"/>
  <c r="L74" i="8"/>
  <c r="M74" i="8" s="1"/>
  <c r="K74" i="8"/>
  <c r="H74" i="8"/>
  <c r="I73" i="8"/>
  <c r="K73" i="8" s="1"/>
  <c r="F73" i="8"/>
  <c r="H73" i="8" s="1"/>
  <c r="C67" i="8"/>
  <c r="J65" i="8"/>
  <c r="K65" i="8" s="1"/>
  <c r="L65" i="8" s="1"/>
  <c r="M65" i="8" s="1"/>
  <c r="H65" i="8"/>
  <c r="M64" i="8"/>
  <c r="L64" i="8"/>
  <c r="J61" i="8"/>
  <c r="K61" i="8" s="1"/>
  <c r="H61" i="8"/>
  <c r="A61" i="8"/>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E56" i="8"/>
  <c r="E55" i="8"/>
  <c r="E54" i="8"/>
  <c r="E53" i="8"/>
  <c r="E52" i="8"/>
  <c r="K51" i="8"/>
  <c r="E51" i="8"/>
  <c r="D47" i="8"/>
  <c r="B47" i="8"/>
  <c r="J46" i="8"/>
  <c r="D46" i="8"/>
  <c r="B46" i="8"/>
  <c r="K45" i="8"/>
  <c r="G45" i="8"/>
  <c r="D45" i="8"/>
  <c r="B45" i="8"/>
  <c r="G44" i="8"/>
  <c r="K44" i="8" s="1"/>
  <c r="D44" i="8"/>
  <c r="B44" i="8"/>
  <c r="D43" i="8"/>
  <c r="B43" i="8"/>
  <c r="N42" i="8"/>
  <c r="I42" i="8"/>
  <c r="D42" i="8"/>
  <c r="B42" i="8"/>
  <c r="O41" i="8"/>
  <c r="K41" i="8"/>
  <c r="I41" i="8"/>
  <c r="G41" i="8"/>
  <c r="M41" i="8" s="1"/>
  <c r="D41" i="8"/>
  <c r="B41" i="8"/>
  <c r="K40" i="8"/>
  <c r="G40" i="8"/>
  <c r="D40" i="8"/>
  <c r="B40" i="8"/>
  <c r="D39" i="8"/>
  <c r="B39" i="8"/>
  <c r="M38" i="8"/>
  <c r="H38" i="8"/>
  <c r="D38" i="8"/>
  <c r="B38" i="8"/>
  <c r="O37" i="8"/>
  <c r="M37" i="8"/>
  <c r="K37" i="8"/>
  <c r="I37" i="8"/>
  <c r="H37" i="8"/>
  <c r="G37" i="8"/>
  <c r="D37" i="8"/>
  <c r="B37" i="8"/>
  <c r="D36" i="8"/>
  <c r="B36" i="8"/>
  <c r="D35" i="8"/>
  <c r="B35" i="8"/>
  <c r="L34" i="8"/>
  <c r="D34" i="8"/>
  <c r="B34" i="8"/>
  <c r="G33" i="8"/>
  <c r="K33" i="8" s="1"/>
  <c r="D33" i="8"/>
  <c r="B33" i="8"/>
  <c r="D32" i="8"/>
  <c r="B32" i="8"/>
  <c r="D31" i="8"/>
  <c r="B31" i="8"/>
  <c r="J30" i="8"/>
  <c r="D30" i="8"/>
  <c r="B30" i="8"/>
  <c r="K29" i="8"/>
  <c r="G29" i="8"/>
  <c r="O29" i="8" s="1"/>
  <c r="D29" i="8"/>
  <c r="B29" i="8"/>
  <c r="G28" i="8"/>
  <c r="K28" i="8" s="1"/>
  <c r="D28" i="8"/>
  <c r="B28" i="8"/>
  <c r="J22" i="8"/>
  <c r="G22" i="8"/>
  <c r="G47" i="8" s="1"/>
  <c r="C22" i="8"/>
  <c r="J21" i="8"/>
  <c r="G21" i="8"/>
  <c r="G46" i="8" s="1"/>
  <c r="N46" i="8" s="1"/>
  <c r="C21" i="8"/>
  <c r="J20" i="8"/>
  <c r="E1008" i="8" s="1"/>
  <c r="J1039" i="8" s="1"/>
  <c r="K1039" i="8" s="1"/>
  <c r="G20" i="8"/>
  <c r="C20" i="8"/>
  <c r="J19" i="8"/>
  <c r="E952" i="8" s="1"/>
  <c r="J982" i="8" s="1"/>
  <c r="G19" i="8"/>
  <c r="C19" i="8"/>
  <c r="J18" i="8"/>
  <c r="E896" i="8" s="1"/>
  <c r="G18" i="8"/>
  <c r="G43" i="8" s="1"/>
  <c r="C18" i="8"/>
  <c r="J17" i="8"/>
  <c r="E840" i="8" s="1"/>
  <c r="G17" i="8"/>
  <c r="G42" i="8" s="1"/>
  <c r="C17" i="8"/>
  <c r="J16" i="8"/>
  <c r="E784" i="8" s="1"/>
  <c r="G16" i="8"/>
  <c r="C16" i="8"/>
  <c r="J15" i="8"/>
  <c r="E728" i="8" s="1"/>
  <c r="G15" i="8"/>
  <c r="C15" i="8"/>
  <c r="J14" i="8"/>
  <c r="E672" i="8" s="1"/>
  <c r="G14" i="8"/>
  <c r="G39" i="8" s="1"/>
  <c r="C14" i="8"/>
  <c r="J13" i="8"/>
  <c r="E616" i="8" s="1"/>
  <c r="G13" i="8"/>
  <c r="G38" i="8" s="1"/>
  <c r="C13" i="8"/>
  <c r="J12" i="8"/>
  <c r="E560" i="8" s="1"/>
  <c r="J584" i="8" s="1"/>
  <c r="K584" i="8" s="1"/>
  <c r="G12" i="8"/>
  <c r="C12" i="8"/>
  <c r="J11" i="8"/>
  <c r="E504" i="8" s="1"/>
  <c r="G11" i="8"/>
  <c r="G36" i="8" s="1"/>
  <c r="C11" i="8"/>
  <c r="J10" i="8"/>
  <c r="E448" i="8" s="1"/>
  <c r="J470" i="8" s="1"/>
  <c r="K470" i="8" s="1"/>
  <c r="G10" i="8"/>
  <c r="G35" i="8" s="1"/>
  <c r="C10" i="8"/>
  <c r="J9" i="8"/>
  <c r="G9" i="8"/>
  <c r="G34" i="8" s="1"/>
  <c r="J8" i="8"/>
  <c r="E336" i="8" s="1"/>
  <c r="G8" i="8"/>
  <c r="J7" i="8"/>
  <c r="E280" i="8" s="1"/>
  <c r="G7" i="8"/>
  <c r="G32" i="8" s="1"/>
  <c r="J6" i="8"/>
  <c r="E224" i="8" s="1"/>
  <c r="J248" i="8" s="1"/>
  <c r="K248" i="8" s="1"/>
  <c r="G6" i="8"/>
  <c r="G31" i="8" s="1"/>
  <c r="J5" i="8"/>
  <c r="G5" i="8"/>
  <c r="G30" i="8" s="1"/>
  <c r="J4" i="8"/>
  <c r="E112" i="8" s="1"/>
  <c r="J133" i="8" s="1"/>
  <c r="K133" i="8" s="1"/>
  <c r="G4" i="8"/>
  <c r="J3" i="8"/>
  <c r="G3" i="8"/>
  <c r="L969" i="8" l="1"/>
  <c r="M969" i="8" s="1"/>
  <c r="K478" i="8"/>
  <c r="L185" i="8"/>
  <c r="M185" i="8" s="1"/>
  <c r="K310" i="8"/>
  <c r="L310" i="8" s="1"/>
  <c r="M310" i="8" s="1"/>
  <c r="K140" i="8"/>
  <c r="H422" i="8"/>
  <c r="H477" i="8"/>
  <c r="F124" i="8"/>
  <c r="G124" i="8" s="1"/>
  <c r="H124" i="8" s="1"/>
  <c r="L409" i="8"/>
  <c r="M409" i="8" s="1"/>
  <c r="I684" i="8"/>
  <c r="K701" i="8"/>
  <c r="I348" i="8"/>
  <c r="J348" i="8" s="1"/>
  <c r="K348" i="8" s="1"/>
  <c r="L348" i="8" s="1"/>
  <c r="M348" i="8" s="1"/>
  <c r="L404" i="8"/>
  <c r="M404" i="8" s="1"/>
  <c r="H533" i="8"/>
  <c r="H925" i="8"/>
  <c r="H140" i="8"/>
  <c r="L140" i="8" s="1"/>
  <c r="M140" i="8" s="1"/>
  <c r="H366" i="8"/>
  <c r="L366" i="8" s="1"/>
  <c r="M366" i="8" s="1"/>
  <c r="K533" i="8"/>
  <c r="L533" i="8" s="1"/>
  <c r="M533" i="8" s="1"/>
  <c r="H700" i="8"/>
  <c r="H813" i="8"/>
  <c r="H869" i="8"/>
  <c r="L532" i="8"/>
  <c r="M532" i="8" s="1"/>
  <c r="K982" i="8"/>
  <c r="H421" i="8"/>
  <c r="K364" i="8"/>
  <c r="F572" i="8"/>
  <c r="G572" i="8" s="1"/>
  <c r="H572" i="8" s="1"/>
  <c r="K645" i="8"/>
  <c r="L645" i="8" s="1"/>
  <c r="M645" i="8" s="1"/>
  <c r="F684" i="8"/>
  <c r="G684" i="8" s="1"/>
  <c r="H684" i="8" s="1"/>
  <c r="H702" i="8"/>
  <c r="L913" i="8"/>
  <c r="M913" i="8" s="1"/>
  <c r="L31" i="8"/>
  <c r="H31" i="8"/>
  <c r="M31" i="8"/>
  <c r="J31" i="8"/>
  <c r="N31" i="8"/>
  <c r="I31" i="8"/>
  <c r="K31" i="8"/>
  <c r="O31" i="8"/>
  <c r="M36" i="8"/>
  <c r="I36" i="8"/>
  <c r="L36" i="8"/>
  <c r="K36" i="8"/>
  <c r="N36" i="8"/>
  <c r="H36" i="8"/>
  <c r="O36" i="8"/>
  <c r="J36" i="8"/>
  <c r="L584" i="8"/>
  <c r="M584" i="8" s="1"/>
  <c r="K459" i="8"/>
  <c r="L368" i="8"/>
  <c r="M368" i="8" s="1"/>
  <c r="M32" i="8"/>
  <c r="I32" i="8"/>
  <c r="K32" i="8"/>
  <c r="J32" i="8"/>
  <c r="L32" i="8"/>
  <c r="O32" i="8"/>
  <c r="N32" i="8"/>
  <c r="H32" i="8"/>
  <c r="L61" i="8"/>
  <c r="M61" i="8" s="1"/>
  <c r="L290" i="8"/>
  <c r="M290" i="8" s="1"/>
  <c r="L35" i="8"/>
  <c r="H35" i="8"/>
  <c r="N35" i="8"/>
  <c r="I35" i="8"/>
  <c r="O35" i="8"/>
  <c r="J35" i="8"/>
  <c r="M35" i="8"/>
  <c r="K35" i="8"/>
  <c r="L39" i="8"/>
  <c r="H39" i="8"/>
  <c r="O39" i="8"/>
  <c r="J39" i="8"/>
  <c r="N39" i="8"/>
  <c r="I39" i="8"/>
  <c r="M39" i="8"/>
  <c r="K39" i="8"/>
  <c r="L43" i="8"/>
  <c r="H43" i="8"/>
  <c r="K43" i="8"/>
  <c r="M43" i="8"/>
  <c r="O43" i="8"/>
  <c r="J43" i="8"/>
  <c r="N43" i="8"/>
  <c r="I43" i="8"/>
  <c r="L47" i="8"/>
  <c r="H47" i="8"/>
  <c r="M47" i="8"/>
  <c r="J47" i="8"/>
  <c r="N47" i="8"/>
  <c r="I47" i="8"/>
  <c r="K47" i="8"/>
  <c r="O47" i="8"/>
  <c r="K123" i="8"/>
  <c r="L248" i="8"/>
  <c r="M248" i="8" s="1"/>
  <c r="J529" i="8"/>
  <c r="K529" i="8" s="1"/>
  <c r="L529" i="8" s="1"/>
  <c r="M529" i="8" s="1"/>
  <c r="J528" i="8"/>
  <c r="K528" i="8" s="1"/>
  <c r="L28" i="8"/>
  <c r="J85" i="8"/>
  <c r="K85" i="8" s="1"/>
  <c r="G84" i="8"/>
  <c r="H84" i="8" s="1"/>
  <c r="G78" i="8"/>
  <c r="H78" i="8" s="1"/>
  <c r="G75" i="8"/>
  <c r="H75" i="8" s="1"/>
  <c r="J84" i="8"/>
  <c r="K84" i="8" s="1"/>
  <c r="J81" i="8"/>
  <c r="K81" i="8" s="1"/>
  <c r="J80" i="8"/>
  <c r="K80" i="8" s="1"/>
  <c r="F68" i="8"/>
  <c r="G68" i="8" s="1"/>
  <c r="H68" i="8" s="1"/>
  <c r="J69" i="8"/>
  <c r="K69" i="8" s="1"/>
  <c r="L237" i="8"/>
  <c r="M237" i="8" s="1"/>
  <c r="L518" i="8"/>
  <c r="M518" i="8" s="1"/>
  <c r="L582" i="8"/>
  <c r="M582" i="8" s="1"/>
  <c r="O30" i="8"/>
  <c r="K30" i="8"/>
  <c r="O34" i="8"/>
  <c r="K34" i="8"/>
  <c r="O38" i="8"/>
  <c r="K38" i="8"/>
  <c r="J697" i="8"/>
  <c r="K697" i="8" s="1"/>
  <c r="J694" i="8"/>
  <c r="K694" i="8" s="1"/>
  <c r="L694" i="8" s="1"/>
  <c r="M694" i="8" s="1"/>
  <c r="O42" i="8"/>
  <c r="K42" i="8"/>
  <c r="H28" i="8"/>
  <c r="N28" i="8"/>
  <c r="L29" i="8"/>
  <c r="H33" i="8"/>
  <c r="M33" i="8"/>
  <c r="H34" i="8"/>
  <c r="M34" i="8"/>
  <c r="I38" i="8"/>
  <c r="M40" i="8"/>
  <c r="I40" i="8"/>
  <c r="L40" i="8"/>
  <c r="H44" i="8"/>
  <c r="N45" i="8"/>
  <c r="J45" i="8"/>
  <c r="L45" i="8"/>
  <c r="L46" i="8"/>
  <c r="J77" i="8"/>
  <c r="K77" i="8" s="1"/>
  <c r="J70" i="8"/>
  <c r="K70" i="8" s="1"/>
  <c r="L70" i="8" s="1"/>
  <c r="M70" i="8" s="1"/>
  <c r="G71" i="8"/>
  <c r="H71" i="8" s="1"/>
  <c r="J75" i="8"/>
  <c r="K75" i="8" s="1"/>
  <c r="L245" i="8"/>
  <c r="M245" i="8" s="1"/>
  <c r="L297" i="8"/>
  <c r="M297" i="8" s="1"/>
  <c r="L341" i="8"/>
  <c r="M341" i="8" s="1"/>
  <c r="J813" i="8"/>
  <c r="K813" i="8" s="1"/>
  <c r="J816" i="8"/>
  <c r="K816" i="8" s="1"/>
  <c r="J815" i="8"/>
  <c r="K815" i="8" s="1"/>
  <c r="J814" i="8"/>
  <c r="K814" i="8" s="1"/>
  <c r="I29" i="8"/>
  <c r="I30" i="8"/>
  <c r="N30" i="8"/>
  <c r="J34" i="8"/>
  <c r="N37" i="8"/>
  <c r="J37" i="8"/>
  <c r="L37" i="8"/>
  <c r="L38" i="8"/>
  <c r="J40" i="8"/>
  <c r="O40" i="8"/>
  <c r="H41" i="8"/>
  <c r="H42" i="8"/>
  <c r="M42" i="8"/>
  <c r="I45" i="8"/>
  <c r="O45" i="8"/>
  <c r="I46" i="8"/>
  <c r="G63" i="8"/>
  <c r="J66" i="8"/>
  <c r="K66" i="8" s="1"/>
  <c r="L66" i="8" s="1"/>
  <c r="M66" i="8" s="1"/>
  <c r="G77" i="8"/>
  <c r="H77" i="8" s="1"/>
  <c r="G81" i="8"/>
  <c r="H81" i="8" s="1"/>
  <c r="J87" i="8"/>
  <c r="K87" i="8" s="1"/>
  <c r="G119" i="8"/>
  <c r="J136" i="8"/>
  <c r="K136" i="8" s="1"/>
  <c r="J137" i="8"/>
  <c r="K137" i="8" s="1"/>
  <c r="K141" i="8"/>
  <c r="J197" i="8"/>
  <c r="K197" i="8" s="1"/>
  <c r="G196" i="8"/>
  <c r="H196" i="8" s="1"/>
  <c r="J183" i="8"/>
  <c r="K183" i="8" s="1"/>
  <c r="L183" i="8" s="1"/>
  <c r="M183" i="8" s="1"/>
  <c r="J200" i="8"/>
  <c r="K200" i="8" s="1"/>
  <c r="J199" i="8"/>
  <c r="K199" i="8" s="1"/>
  <c r="J198" i="8"/>
  <c r="K198" i="8" s="1"/>
  <c r="G197" i="8"/>
  <c r="H197" i="8" s="1"/>
  <c r="G193" i="8"/>
  <c r="H193" i="8" s="1"/>
  <c r="G192" i="8"/>
  <c r="H192" i="8" s="1"/>
  <c r="G198" i="8"/>
  <c r="H198" i="8" s="1"/>
  <c r="J192" i="8"/>
  <c r="K192" i="8" s="1"/>
  <c r="J196" i="8"/>
  <c r="K196" i="8" s="1"/>
  <c r="F180" i="8"/>
  <c r="G180" i="8" s="1"/>
  <c r="H180" i="8" s="1"/>
  <c r="H188" i="8" s="1"/>
  <c r="I180" i="8"/>
  <c r="J180" i="8" s="1"/>
  <c r="K180" i="8" s="1"/>
  <c r="J193" i="8"/>
  <c r="K193" i="8" s="1"/>
  <c r="L193" i="8" s="1"/>
  <c r="M193" i="8" s="1"/>
  <c r="L397" i="8"/>
  <c r="M397" i="8" s="1"/>
  <c r="L413" i="8"/>
  <c r="M413" i="8" s="1"/>
  <c r="J416" i="8"/>
  <c r="K416" i="8" s="1"/>
  <c r="J469" i="8"/>
  <c r="K469" i="8" s="1"/>
  <c r="L469" i="8" s="1"/>
  <c r="M469" i="8" s="1"/>
  <c r="G529" i="8"/>
  <c r="H529" i="8" s="1"/>
  <c r="G528" i="8"/>
  <c r="H528" i="8" s="1"/>
  <c r="G526" i="8"/>
  <c r="H526" i="8" s="1"/>
  <c r="J684" i="8"/>
  <c r="K684" i="8" s="1"/>
  <c r="J749" i="8"/>
  <c r="K749" i="8" s="1"/>
  <c r="J756" i="8"/>
  <c r="K756" i="8" s="1"/>
  <c r="M28" i="8"/>
  <c r="I28" i="8"/>
  <c r="N33" i="8"/>
  <c r="J33" i="8"/>
  <c r="L33" i="8"/>
  <c r="M44" i="8"/>
  <c r="I44" i="8"/>
  <c r="L44" i="8"/>
  <c r="J63" i="8"/>
  <c r="J78" i="8"/>
  <c r="K78" i="8" s="1"/>
  <c r="L78" i="8" s="1"/>
  <c r="M78" i="8" s="1"/>
  <c r="G86" i="8"/>
  <c r="H86" i="8" s="1"/>
  <c r="J88" i="8"/>
  <c r="K88" i="8" s="1"/>
  <c r="L367" i="8"/>
  <c r="M367" i="8" s="1"/>
  <c r="L576" i="8"/>
  <c r="M576" i="8" s="1"/>
  <c r="G641" i="8"/>
  <c r="H641" i="8" s="1"/>
  <c r="G637" i="8"/>
  <c r="H637" i="8" s="1"/>
  <c r="G640" i="8"/>
  <c r="H640" i="8" s="1"/>
  <c r="G638" i="8"/>
  <c r="H638" i="8" s="1"/>
  <c r="L738" i="8"/>
  <c r="M738" i="8" s="1"/>
  <c r="O46" i="8"/>
  <c r="K46" i="8"/>
  <c r="N29" i="8"/>
  <c r="J29" i="8"/>
  <c r="L30" i="8"/>
  <c r="N38" i="8"/>
  <c r="J42" i="8"/>
  <c r="N44" i="8"/>
  <c r="L73" i="8"/>
  <c r="M73" i="8" s="1"/>
  <c r="G87" i="8"/>
  <c r="H87" i="8" s="1"/>
  <c r="L117" i="8"/>
  <c r="M117" i="8" s="1"/>
  <c r="L467" i="8"/>
  <c r="M467" i="8" s="1"/>
  <c r="L585" i="8"/>
  <c r="M585" i="8" s="1"/>
  <c r="J28" i="8"/>
  <c r="O28" i="8"/>
  <c r="H29" i="8"/>
  <c r="M29" i="8"/>
  <c r="H30" i="8"/>
  <c r="M30" i="8"/>
  <c r="I33" i="8"/>
  <c r="O33" i="8"/>
  <c r="I34" i="8"/>
  <c r="N34" i="8"/>
  <c r="J38" i="8"/>
  <c r="H40" i="8"/>
  <c r="N40" i="8"/>
  <c r="N41" i="8"/>
  <c r="J41" i="8"/>
  <c r="L41" i="8"/>
  <c r="L42" i="8"/>
  <c r="J44" i="8"/>
  <c r="O44" i="8"/>
  <c r="H45" i="8"/>
  <c r="M45" i="8"/>
  <c r="H46" i="8"/>
  <c r="M46" i="8"/>
  <c r="G62" i="8"/>
  <c r="H62" i="8" s="1"/>
  <c r="H67" i="8" s="1"/>
  <c r="J64" i="8"/>
  <c r="G66" i="8"/>
  <c r="H66" i="8" s="1"/>
  <c r="I68" i="8"/>
  <c r="J68" i="8" s="1"/>
  <c r="K68" i="8" s="1"/>
  <c r="G69" i="8"/>
  <c r="H69" i="8" s="1"/>
  <c r="J71" i="8"/>
  <c r="K71" i="8" s="1"/>
  <c r="L71" i="8" s="1"/>
  <c r="M71" i="8" s="1"/>
  <c r="G72" i="8"/>
  <c r="H72" i="8" s="1"/>
  <c r="G80" i="8"/>
  <c r="H80" i="8" s="1"/>
  <c r="G85" i="8"/>
  <c r="H85" i="8" s="1"/>
  <c r="J86" i="8"/>
  <c r="K86" i="8" s="1"/>
  <c r="G88" i="8"/>
  <c r="H88" i="8" s="1"/>
  <c r="I129" i="8"/>
  <c r="K129" i="8" s="1"/>
  <c r="L129" i="8" s="1"/>
  <c r="M129" i="8" s="1"/>
  <c r="A117" i="8"/>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J134" i="8"/>
  <c r="K134" i="8" s="1"/>
  <c r="L134" i="8" s="1"/>
  <c r="M134" i="8" s="1"/>
  <c r="J131" i="8"/>
  <c r="K131" i="8" s="1"/>
  <c r="J125" i="8"/>
  <c r="K125" i="8" s="1"/>
  <c r="L125" i="8" s="1"/>
  <c r="M125" i="8" s="1"/>
  <c r="G122" i="8"/>
  <c r="H122" i="8" s="1"/>
  <c r="H123" i="8" s="1"/>
  <c r="G133" i="8"/>
  <c r="H133" i="8" s="1"/>
  <c r="L133" i="8" s="1"/>
  <c r="M133" i="8" s="1"/>
  <c r="G128" i="8"/>
  <c r="H128" i="8" s="1"/>
  <c r="L128" i="8" s="1"/>
  <c r="M128" i="8" s="1"/>
  <c r="J126" i="8"/>
  <c r="K126" i="8" s="1"/>
  <c r="L126" i="8" s="1"/>
  <c r="M126" i="8" s="1"/>
  <c r="J119" i="8"/>
  <c r="G118" i="8"/>
  <c r="H118" i="8" s="1"/>
  <c r="L118" i="8" s="1"/>
  <c r="M118" i="8" s="1"/>
  <c r="G125" i="8"/>
  <c r="H125" i="8" s="1"/>
  <c r="L127" i="8"/>
  <c r="M127" i="8" s="1"/>
  <c r="G131" i="8"/>
  <c r="H131" i="8" s="1"/>
  <c r="L236" i="8"/>
  <c r="M236" i="8" s="1"/>
  <c r="L240" i="8"/>
  <c r="M240" i="8" s="1"/>
  <c r="J249" i="8"/>
  <c r="K249" i="8" s="1"/>
  <c r="L355" i="8"/>
  <c r="M355" i="8" s="1"/>
  <c r="F577" i="8"/>
  <c r="H577" i="8" s="1"/>
  <c r="A565" i="8"/>
  <c r="A566" i="8" s="1"/>
  <c r="A567" i="8" s="1"/>
  <c r="A568" i="8" s="1"/>
  <c r="A569" i="8" s="1"/>
  <c r="A570" i="8" s="1"/>
  <c r="A571" i="8" s="1"/>
  <c r="A572" i="8" s="1"/>
  <c r="A573" i="8" s="1"/>
  <c r="A574" i="8" s="1"/>
  <c r="A575" i="8" s="1"/>
  <c r="A576" i="8" s="1"/>
  <c r="A577" i="8" s="1"/>
  <c r="A578" i="8" s="1"/>
  <c r="A579" i="8" s="1"/>
  <c r="A580" i="8" s="1"/>
  <c r="A581" i="8" s="1"/>
  <c r="A582" i="8" s="1"/>
  <c r="A583" i="8" s="1"/>
  <c r="A584" i="8" s="1"/>
  <c r="A585" i="8" s="1"/>
  <c r="A586" i="8" s="1"/>
  <c r="A587" i="8" s="1"/>
  <c r="A588" i="8" s="1"/>
  <c r="A589" i="8" s="1"/>
  <c r="A590" i="8" s="1"/>
  <c r="A591" i="8" s="1"/>
  <c r="A592" i="8" s="1"/>
  <c r="A593" i="8" s="1"/>
  <c r="A594" i="8" s="1"/>
  <c r="A595" i="8" s="1"/>
  <c r="A596" i="8" s="1"/>
  <c r="A597" i="8" s="1"/>
  <c r="A598" i="8" s="1"/>
  <c r="A599" i="8" s="1"/>
  <c r="A600" i="8" s="1"/>
  <c r="A601" i="8" s="1"/>
  <c r="A602" i="8" s="1"/>
  <c r="A603" i="8" s="1"/>
  <c r="A604" i="8" s="1"/>
  <c r="A605" i="8" s="1"/>
  <c r="A606" i="8" s="1"/>
  <c r="A607" i="8" s="1"/>
  <c r="A608" i="8" s="1"/>
  <c r="I577" i="8"/>
  <c r="K577" i="8" s="1"/>
  <c r="G582" i="8"/>
  <c r="H582" i="8" s="1"/>
  <c r="G579" i="8"/>
  <c r="H579" i="8" s="1"/>
  <c r="G573" i="8"/>
  <c r="H573" i="8" s="1"/>
  <c r="J570" i="8"/>
  <c r="K570" i="8" s="1"/>
  <c r="J568" i="8"/>
  <c r="G567" i="8"/>
  <c r="G581" i="8"/>
  <c r="H581" i="8" s="1"/>
  <c r="G576" i="8"/>
  <c r="H576" i="8" s="1"/>
  <c r="J574" i="8"/>
  <c r="K574" i="8" s="1"/>
  <c r="J567" i="8"/>
  <c r="G566" i="8"/>
  <c r="H566" i="8" s="1"/>
  <c r="J581" i="8"/>
  <c r="K581" i="8" s="1"/>
  <c r="J573" i="8"/>
  <c r="K573" i="8" s="1"/>
  <c r="L573" i="8" s="1"/>
  <c r="M573" i="8" s="1"/>
  <c r="G574" i="8"/>
  <c r="H574" i="8" s="1"/>
  <c r="G570" i="8"/>
  <c r="H570" i="8" s="1"/>
  <c r="G568" i="8"/>
  <c r="J579" i="8"/>
  <c r="K579" i="8" s="1"/>
  <c r="J566" i="8"/>
  <c r="K566" i="8" s="1"/>
  <c r="J641" i="8"/>
  <c r="K641" i="8" s="1"/>
  <c r="L641" i="8" s="1"/>
  <c r="M641" i="8" s="1"/>
  <c r="J640" i="8"/>
  <c r="K640" i="8" s="1"/>
  <c r="J872" i="8"/>
  <c r="K872" i="8" s="1"/>
  <c r="J871" i="8"/>
  <c r="K871" i="8" s="1"/>
  <c r="J62" i="8"/>
  <c r="K62" i="8" s="1"/>
  <c r="L62" i="8" s="1"/>
  <c r="M62" i="8" s="1"/>
  <c r="G64" i="8"/>
  <c r="G70" i="8"/>
  <c r="H70" i="8" s="1"/>
  <c r="J72" i="8"/>
  <c r="K72" i="8" s="1"/>
  <c r="L72" i="8" s="1"/>
  <c r="M72" i="8" s="1"/>
  <c r="G136" i="8"/>
  <c r="H136" i="8" s="1"/>
  <c r="G137" i="8"/>
  <c r="H137" i="8" s="1"/>
  <c r="G141" i="8"/>
  <c r="H141" i="8" s="1"/>
  <c r="J142" i="8"/>
  <c r="K142" i="8" s="1"/>
  <c r="J143" i="8"/>
  <c r="K143" i="8" s="1"/>
  <c r="J144" i="8"/>
  <c r="K144" i="8" s="1"/>
  <c r="G190" i="8"/>
  <c r="H190" i="8" s="1"/>
  <c r="L190" i="8" s="1"/>
  <c r="M190" i="8" s="1"/>
  <c r="G187" i="8"/>
  <c r="H187" i="8" s="1"/>
  <c r="G189" i="8"/>
  <c r="H189" i="8" s="1"/>
  <c r="L189" i="8" s="1"/>
  <c r="M189" i="8" s="1"/>
  <c r="J174" i="8"/>
  <c r="K174" i="8" s="1"/>
  <c r="L174" i="8" s="1"/>
  <c r="M174" i="8" s="1"/>
  <c r="G176" i="8"/>
  <c r="G182" i="8"/>
  <c r="H182" i="8" s="1"/>
  <c r="L182" i="8" s="1"/>
  <c r="M182" i="8" s="1"/>
  <c r="J187" i="8"/>
  <c r="K187" i="8" s="1"/>
  <c r="L187" i="8" s="1"/>
  <c r="M187" i="8" s="1"/>
  <c r="J253" i="8"/>
  <c r="K253" i="8" s="1"/>
  <c r="G252" i="8"/>
  <c r="H252" i="8" s="1"/>
  <c r="J239" i="8"/>
  <c r="K239" i="8" s="1"/>
  <c r="L239" i="8" s="1"/>
  <c r="M239" i="8" s="1"/>
  <c r="J256" i="8"/>
  <c r="K256" i="8" s="1"/>
  <c r="J255" i="8"/>
  <c r="K255" i="8" s="1"/>
  <c r="J254" i="8"/>
  <c r="K254" i="8" s="1"/>
  <c r="L254" i="8" s="1"/>
  <c r="M254" i="8" s="1"/>
  <c r="G253" i="8"/>
  <c r="H253" i="8" s="1"/>
  <c r="G249" i="8"/>
  <c r="H249" i="8" s="1"/>
  <c r="G248" i="8"/>
  <c r="H248" i="8" s="1"/>
  <c r="J252" i="8"/>
  <c r="K252" i="8" s="1"/>
  <c r="L252" i="8" s="1"/>
  <c r="M252" i="8" s="1"/>
  <c r="G312" i="8"/>
  <c r="H312" i="8" s="1"/>
  <c r="G311" i="8"/>
  <c r="H311" i="8" s="1"/>
  <c r="G310" i="8"/>
  <c r="H310" i="8" s="1"/>
  <c r="G295" i="8"/>
  <c r="H295" i="8" s="1"/>
  <c r="I292" i="8"/>
  <c r="J292" i="8" s="1"/>
  <c r="K292" i="8" s="1"/>
  <c r="J308" i="8"/>
  <c r="K308" i="8" s="1"/>
  <c r="J305" i="8"/>
  <c r="K305" i="8" s="1"/>
  <c r="J304" i="8"/>
  <c r="K304" i="8" s="1"/>
  <c r="F292" i="8"/>
  <c r="G292" i="8" s="1"/>
  <c r="H292" i="8" s="1"/>
  <c r="L285" i="8"/>
  <c r="M285" i="8" s="1"/>
  <c r="J286" i="8"/>
  <c r="K286" i="8" s="1"/>
  <c r="J288" i="8"/>
  <c r="G293" i="8"/>
  <c r="H293" i="8" s="1"/>
  <c r="J295" i="8"/>
  <c r="K295" i="8" s="1"/>
  <c r="L295" i="8" s="1"/>
  <c r="M295" i="8" s="1"/>
  <c r="G304" i="8"/>
  <c r="H304" i="8" s="1"/>
  <c r="G305" i="8"/>
  <c r="H305" i="8" s="1"/>
  <c r="L306" i="8"/>
  <c r="M306" i="8" s="1"/>
  <c r="G308" i="8"/>
  <c r="H308" i="8" s="1"/>
  <c r="J309" i="8"/>
  <c r="K309" i="8" s="1"/>
  <c r="L309" i="8" s="1"/>
  <c r="M309" i="8" s="1"/>
  <c r="J421" i="8"/>
  <c r="K421" i="8" s="1"/>
  <c r="G420" i="8"/>
  <c r="H420" i="8" s="1"/>
  <c r="L420" i="8" s="1"/>
  <c r="M420" i="8" s="1"/>
  <c r="G424" i="8"/>
  <c r="H424" i="8" s="1"/>
  <c r="J423" i="8"/>
  <c r="K423" i="8" s="1"/>
  <c r="G416" i="8"/>
  <c r="H416" i="8" s="1"/>
  <c r="J407" i="8"/>
  <c r="K407" i="8" s="1"/>
  <c r="L407" i="8" s="1"/>
  <c r="M407" i="8" s="1"/>
  <c r="G423" i="8"/>
  <c r="H423" i="8" s="1"/>
  <c r="J422" i="8"/>
  <c r="K422" i="8" s="1"/>
  <c r="L422" i="8" s="1"/>
  <c r="M422" i="8" s="1"/>
  <c r="J417" i="8"/>
  <c r="K417" i="8" s="1"/>
  <c r="L417" i="8" s="1"/>
  <c r="M417" i="8" s="1"/>
  <c r="J424" i="8"/>
  <c r="K424" i="8" s="1"/>
  <c r="L510" i="8"/>
  <c r="M510" i="8" s="1"/>
  <c r="L519" i="8"/>
  <c r="M519" i="8" s="1"/>
  <c r="K700" i="8"/>
  <c r="L700" i="8" s="1"/>
  <c r="M700" i="8" s="1"/>
  <c r="I124" i="8"/>
  <c r="J124" i="8" s="1"/>
  <c r="K124" i="8" s="1"/>
  <c r="G127" i="8"/>
  <c r="H127" i="8" s="1"/>
  <c r="G142" i="8"/>
  <c r="H142" i="8" s="1"/>
  <c r="G143" i="8"/>
  <c r="H143" i="8" s="1"/>
  <c r="G246" i="8"/>
  <c r="H246" i="8" s="1"/>
  <c r="L246" i="8" s="1"/>
  <c r="M246" i="8" s="1"/>
  <c r="G243" i="8"/>
  <c r="H243" i="8" s="1"/>
  <c r="L243" i="8" s="1"/>
  <c r="M243" i="8" s="1"/>
  <c r="G237" i="8"/>
  <c r="H237" i="8" s="1"/>
  <c r="J234" i="8"/>
  <c r="K234" i="8" s="1"/>
  <c r="L234" i="8" s="1"/>
  <c r="M234" i="8" s="1"/>
  <c r="J232" i="8"/>
  <c r="G231" i="8"/>
  <c r="G245" i="8"/>
  <c r="H245" i="8" s="1"/>
  <c r="G240" i="8"/>
  <c r="H240" i="8" s="1"/>
  <c r="J238" i="8"/>
  <c r="K238" i="8" s="1"/>
  <c r="L238" i="8" s="1"/>
  <c r="M238" i="8" s="1"/>
  <c r="J231" i="8"/>
  <c r="G230" i="8"/>
  <c r="H230" i="8" s="1"/>
  <c r="H235" i="8" s="1"/>
  <c r="I241" i="8"/>
  <c r="K241" i="8" s="1"/>
  <c r="L241" i="8" s="1"/>
  <c r="M241" i="8" s="1"/>
  <c r="J302" i="8"/>
  <c r="K302" i="8" s="1"/>
  <c r="L302" i="8" s="1"/>
  <c r="M302" i="8" s="1"/>
  <c r="J299" i="8"/>
  <c r="K299" i="8" s="1"/>
  <c r="J293" i="8"/>
  <c r="K293" i="8" s="1"/>
  <c r="G290" i="8"/>
  <c r="H290" i="8" s="1"/>
  <c r="G286" i="8"/>
  <c r="H286" i="8" s="1"/>
  <c r="H291" i="8" s="1"/>
  <c r="J301" i="8"/>
  <c r="K301" i="8" s="1"/>
  <c r="J296" i="8"/>
  <c r="K296" i="8" s="1"/>
  <c r="L296" i="8" s="1"/>
  <c r="M296" i="8" s="1"/>
  <c r="G294" i="8"/>
  <c r="H294" i="8" s="1"/>
  <c r="G288" i="8"/>
  <c r="K291" i="8"/>
  <c r="J294" i="8"/>
  <c r="K294" i="8" s="1"/>
  <c r="G299" i="8"/>
  <c r="H299" i="8" s="1"/>
  <c r="G301" i="8"/>
  <c r="H301" i="8" s="1"/>
  <c r="L312" i="8"/>
  <c r="M312" i="8" s="1"/>
  <c r="J460" i="8"/>
  <c r="K460" i="8" s="1"/>
  <c r="L480" i="8"/>
  <c r="M480" i="8" s="1"/>
  <c r="L509" i="8"/>
  <c r="M509" i="8" s="1"/>
  <c r="J638" i="8"/>
  <c r="K638" i="8" s="1"/>
  <c r="L638" i="8" s="1"/>
  <c r="M638" i="8" s="1"/>
  <c r="L621" i="8"/>
  <c r="M621" i="8" s="1"/>
  <c r="K739" i="8"/>
  <c r="L733" i="8"/>
  <c r="M733" i="8" s="1"/>
  <c r="J342" i="8"/>
  <c r="K342" i="8" s="1"/>
  <c r="L342" i="8" s="1"/>
  <c r="M342" i="8" s="1"/>
  <c r="J344" i="8"/>
  <c r="J346" i="8"/>
  <c r="K346" i="8" s="1"/>
  <c r="L346" i="8" s="1"/>
  <c r="M346" i="8" s="1"/>
  <c r="G349" i="8"/>
  <c r="H349" i="8" s="1"/>
  <c r="L349" i="8" s="1"/>
  <c r="M349" i="8" s="1"/>
  <c r="J351" i="8"/>
  <c r="K351" i="8" s="1"/>
  <c r="L351" i="8" s="1"/>
  <c r="M351" i="8" s="1"/>
  <c r="F353" i="8"/>
  <c r="H353" i="8" s="1"/>
  <c r="L353" i="8" s="1"/>
  <c r="M353" i="8" s="1"/>
  <c r="G355" i="8"/>
  <c r="H355" i="8" s="1"/>
  <c r="G358" i="8"/>
  <c r="H358" i="8" s="1"/>
  <c r="L358" i="8" s="1"/>
  <c r="M358" i="8" s="1"/>
  <c r="G364" i="8"/>
  <c r="H364" i="8" s="1"/>
  <c r="J365" i="8"/>
  <c r="K365" i="8" s="1"/>
  <c r="L365" i="8" s="1"/>
  <c r="M365" i="8" s="1"/>
  <c r="J399" i="8"/>
  <c r="J406" i="8"/>
  <c r="K406" i="8" s="1"/>
  <c r="L406" i="8" s="1"/>
  <c r="M406" i="8" s="1"/>
  <c r="G408" i="8"/>
  <c r="H408" i="8" s="1"/>
  <c r="L408" i="8" s="1"/>
  <c r="M408" i="8" s="1"/>
  <c r="J411" i="8"/>
  <c r="K411" i="8" s="1"/>
  <c r="G454" i="8"/>
  <c r="H454" i="8" s="1"/>
  <c r="L454" i="8" s="1"/>
  <c r="M454" i="8" s="1"/>
  <c r="I521" i="8"/>
  <c r="K521" i="8" s="1"/>
  <c r="A509" i="8"/>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F521" i="8"/>
  <c r="H521" i="8" s="1"/>
  <c r="J526" i="8"/>
  <c r="K526" i="8" s="1"/>
  <c r="L526" i="8" s="1"/>
  <c r="M526" i="8" s="1"/>
  <c r="J523" i="8"/>
  <c r="K523" i="8" s="1"/>
  <c r="L523" i="8" s="1"/>
  <c r="M523" i="8" s="1"/>
  <c r="J517" i="8"/>
  <c r="K517" i="8" s="1"/>
  <c r="L517" i="8" s="1"/>
  <c r="M517" i="8" s="1"/>
  <c r="G514" i="8"/>
  <c r="H514" i="8" s="1"/>
  <c r="H515" i="8" s="1"/>
  <c r="J525" i="8"/>
  <c r="K525" i="8" s="1"/>
  <c r="L525" i="8" s="1"/>
  <c r="M525" i="8" s="1"/>
  <c r="J520" i="8"/>
  <c r="K520" i="8" s="1"/>
  <c r="L520" i="8" s="1"/>
  <c r="M520" i="8" s="1"/>
  <c r="G518" i="8"/>
  <c r="H518" i="8" s="1"/>
  <c r="J514" i="8"/>
  <c r="K514" i="8" s="1"/>
  <c r="L514" i="8" s="1"/>
  <c r="M514" i="8" s="1"/>
  <c r="J511" i="8"/>
  <c r="J512" i="8"/>
  <c r="G525" i="8"/>
  <c r="H525" i="8" s="1"/>
  <c r="J589" i="8"/>
  <c r="K589" i="8" s="1"/>
  <c r="G588" i="8"/>
  <c r="H588" i="8" s="1"/>
  <c r="L588" i="8" s="1"/>
  <c r="M588" i="8" s="1"/>
  <c r="J575" i="8"/>
  <c r="K575" i="8" s="1"/>
  <c r="L575" i="8" s="1"/>
  <c r="M575" i="8" s="1"/>
  <c r="J592" i="8"/>
  <c r="K592" i="8" s="1"/>
  <c r="J591" i="8"/>
  <c r="K591" i="8" s="1"/>
  <c r="J590" i="8"/>
  <c r="K590" i="8" s="1"/>
  <c r="L590" i="8" s="1"/>
  <c r="M590" i="8" s="1"/>
  <c r="G589" i="8"/>
  <c r="H589" i="8" s="1"/>
  <c r="G585" i="8"/>
  <c r="H585" i="8" s="1"/>
  <c r="G584" i="8"/>
  <c r="H584" i="8" s="1"/>
  <c r="G592" i="8"/>
  <c r="H592" i="8" s="1"/>
  <c r="I572" i="8"/>
  <c r="J572" i="8" s="1"/>
  <c r="K572" i="8" s="1"/>
  <c r="L572" i="8" s="1"/>
  <c r="M572" i="8" s="1"/>
  <c r="G591" i="8"/>
  <c r="H591" i="8" s="1"/>
  <c r="L846" i="8"/>
  <c r="M846" i="8" s="1"/>
  <c r="G344" i="8"/>
  <c r="F348" i="8"/>
  <c r="G348" i="8" s="1"/>
  <c r="H348" i="8" s="1"/>
  <c r="G350" i="8"/>
  <c r="H350" i="8" s="1"/>
  <c r="L350" i="8" s="1"/>
  <c r="M350" i="8" s="1"/>
  <c r="J352" i="8"/>
  <c r="K352" i="8" s="1"/>
  <c r="L352" i="8" s="1"/>
  <c r="M352" i="8" s="1"/>
  <c r="J360" i="8"/>
  <c r="K360" i="8" s="1"/>
  <c r="J361" i="8"/>
  <c r="K361" i="8" s="1"/>
  <c r="L361" i="8" s="1"/>
  <c r="M361" i="8" s="1"/>
  <c r="G414" i="8"/>
  <c r="H414" i="8" s="1"/>
  <c r="G411" i="8"/>
  <c r="H411" i="8" s="1"/>
  <c r="J398" i="8"/>
  <c r="K398" i="8" s="1"/>
  <c r="L398" i="8" s="1"/>
  <c r="M398" i="8" s="1"/>
  <c r="J400" i="8"/>
  <c r="J402" i="8"/>
  <c r="K402" i="8" s="1"/>
  <c r="L402" i="8" s="1"/>
  <c r="M402" i="8" s="1"/>
  <c r="G405" i="8"/>
  <c r="H405" i="8" s="1"/>
  <c r="H412" i="8" s="1"/>
  <c r="J414" i="8"/>
  <c r="K414" i="8" s="1"/>
  <c r="L414" i="8" s="1"/>
  <c r="M414" i="8" s="1"/>
  <c r="J477" i="8"/>
  <c r="K477" i="8" s="1"/>
  <c r="G476" i="8"/>
  <c r="H476" i="8" s="1"/>
  <c r="J463" i="8"/>
  <c r="K463" i="8" s="1"/>
  <c r="L463" i="8" s="1"/>
  <c r="M463" i="8" s="1"/>
  <c r="G478" i="8"/>
  <c r="H478" i="8" s="1"/>
  <c r="L478" i="8" s="1"/>
  <c r="M478" i="8" s="1"/>
  <c r="J476" i="8"/>
  <c r="K476" i="8" s="1"/>
  <c r="J472" i="8"/>
  <c r="K472" i="8" s="1"/>
  <c r="F460" i="8"/>
  <c r="G460" i="8" s="1"/>
  <c r="H460" i="8" s="1"/>
  <c r="G472" i="8"/>
  <c r="H472" i="8" s="1"/>
  <c r="J473" i="8"/>
  <c r="K473" i="8" s="1"/>
  <c r="L473" i="8" s="1"/>
  <c r="M473" i="8" s="1"/>
  <c r="J479" i="8"/>
  <c r="K479" i="8" s="1"/>
  <c r="H571" i="8"/>
  <c r="L565" i="8"/>
  <c r="M565" i="8" s="1"/>
  <c r="L854" i="8"/>
  <c r="M854" i="8" s="1"/>
  <c r="L901" i="8"/>
  <c r="M901" i="8" s="1"/>
  <c r="G470" i="8"/>
  <c r="H470" i="8" s="1"/>
  <c r="L470" i="8" s="1"/>
  <c r="M470" i="8" s="1"/>
  <c r="G467" i="8"/>
  <c r="H467" i="8" s="1"/>
  <c r="G461" i="8"/>
  <c r="H461" i="8" s="1"/>
  <c r="J458" i="8"/>
  <c r="K458" i="8" s="1"/>
  <c r="L458" i="8" s="1"/>
  <c r="M458" i="8" s="1"/>
  <c r="J456" i="8"/>
  <c r="G455" i="8"/>
  <c r="J461" i="8"/>
  <c r="K461" i="8" s="1"/>
  <c r="L461" i="8" s="1"/>
  <c r="M461" i="8" s="1"/>
  <c r="G462" i="8"/>
  <c r="H462" i="8" s="1"/>
  <c r="L462" i="8" s="1"/>
  <c r="M462" i="8" s="1"/>
  <c r="J464" i="8"/>
  <c r="K464" i="8" s="1"/>
  <c r="L464" i="8" s="1"/>
  <c r="M464" i="8" s="1"/>
  <c r="F516" i="8"/>
  <c r="G516" i="8" s="1"/>
  <c r="H516" i="8" s="1"/>
  <c r="K534" i="8"/>
  <c r="K535" i="8"/>
  <c r="K536" i="8"/>
  <c r="F628" i="8"/>
  <c r="G628" i="8" s="1"/>
  <c r="H628" i="8" s="1"/>
  <c r="K646" i="8"/>
  <c r="K647" i="8"/>
  <c r="K648" i="8"/>
  <c r="J760" i="8"/>
  <c r="K760" i="8" s="1"/>
  <c r="J759" i="8"/>
  <c r="K759" i="8" s="1"/>
  <c r="J758" i="8"/>
  <c r="K758" i="8" s="1"/>
  <c r="G757" i="8"/>
  <c r="H757" i="8" s="1"/>
  <c r="G753" i="8"/>
  <c r="H753" i="8" s="1"/>
  <c r="G752" i="8"/>
  <c r="H752" i="8" s="1"/>
  <c r="J757" i="8"/>
  <c r="K757" i="8" s="1"/>
  <c r="G756" i="8"/>
  <c r="H756" i="8" s="1"/>
  <c r="G758" i="8"/>
  <c r="H758" i="8" s="1"/>
  <c r="J752" i="8"/>
  <c r="K752" i="8" s="1"/>
  <c r="G759" i="8"/>
  <c r="H759" i="8" s="1"/>
  <c r="J753" i="8"/>
  <c r="K753" i="8" s="1"/>
  <c r="L753" i="8" s="1"/>
  <c r="M753" i="8" s="1"/>
  <c r="F740" i="8"/>
  <c r="G740" i="8" s="1"/>
  <c r="H740" i="8" s="1"/>
  <c r="G743" i="8"/>
  <c r="H743" i="8" s="1"/>
  <c r="J742" i="8"/>
  <c r="K742" i="8" s="1"/>
  <c r="G760" i="8"/>
  <c r="H760" i="8" s="1"/>
  <c r="G744" i="8"/>
  <c r="H744" i="8" s="1"/>
  <c r="J743" i="8"/>
  <c r="K743" i="8" s="1"/>
  <c r="L743" i="8" s="1"/>
  <c r="M743" i="8" s="1"/>
  <c r="G741" i="8"/>
  <c r="H741" i="8" s="1"/>
  <c r="I740" i="8"/>
  <c r="J740" i="8" s="1"/>
  <c r="K740" i="8" s="1"/>
  <c r="G738" i="8"/>
  <c r="H738" i="8" s="1"/>
  <c r="J736" i="8"/>
  <c r="G734" i="8"/>
  <c r="H734" i="8" s="1"/>
  <c r="H739" i="8" s="1"/>
  <c r="J735" i="8"/>
  <c r="J741" i="8"/>
  <c r="K741" i="8" s="1"/>
  <c r="J924" i="8"/>
  <c r="K924" i="8" s="1"/>
  <c r="J921" i="8"/>
  <c r="K921" i="8" s="1"/>
  <c r="J920" i="8"/>
  <c r="K920" i="8" s="1"/>
  <c r="F908" i="8"/>
  <c r="G908" i="8" s="1"/>
  <c r="H908" i="8" s="1"/>
  <c r="J925" i="8"/>
  <c r="K925" i="8" s="1"/>
  <c r="G924" i="8"/>
  <c r="H924" i="8" s="1"/>
  <c r="J911" i="8"/>
  <c r="K911" i="8" s="1"/>
  <c r="J928" i="8"/>
  <c r="K928" i="8" s="1"/>
  <c r="G926" i="8"/>
  <c r="H926" i="8" s="1"/>
  <c r="J927" i="8"/>
  <c r="K927" i="8" s="1"/>
  <c r="G921" i="8"/>
  <c r="H921" i="8" s="1"/>
  <c r="I908" i="8"/>
  <c r="J908" i="8" s="1"/>
  <c r="K908" i="8" s="1"/>
  <c r="L908" i="8" s="1"/>
  <c r="M908" i="8" s="1"/>
  <c r="G928" i="8"/>
  <c r="H928" i="8" s="1"/>
  <c r="J926" i="8"/>
  <c r="K926" i="8" s="1"/>
  <c r="L926" i="8" s="1"/>
  <c r="M926" i="8" s="1"/>
  <c r="G927" i="8"/>
  <c r="H927" i="8" s="1"/>
  <c r="G920" i="8"/>
  <c r="H920" i="8" s="1"/>
  <c r="G911" i="8"/>
  <c r="H911" i="8" s="1"/>
  <c r="H627" i="8"/>
  <c r="L689" i="8"/>
  <c r="M689" i="8" s="1"/>
  <c r="J812" i="8"/>
  <c r="K812" i="8" s="1"/>
  <c r="L812" i="8" s="1"/>
  <c r="M812" i="8" s="1"/>
  <c r="H795" i="8"/>
  <c r="J622" i="8"/>
  <c r="K622" i="8" s="1"/>
  <c r="L622" i="8" s="1"/>
  <c r="M622" i="8" s="1"/>
  <c r="G624" i="8"/>
  <c r="G630" i="8"/>
  <c r="H630" i="8" s="1"/>
  <c r="L630" i="8" s="1"/>
  <c r="M630" i="8" s="1"/>
  <c r="J632" i="8"/>
  <c r="K632" i="8" s="1"/>
  <c r="L632" i="8" s="1"/>
  <c r="M632" i="8" s="1"/>
  <c r="J637" i="8"/>
  <c r="K637" i="8" s="1"/>
  <c r="L637" i="8" s="1"/>
  <c r="M637" i="8" s="1"/>
  <c r="G693" i="8"/>
  <c r="H693" i="8" s="1"/>
  <c r="G688" i="8"/>
  <c r="H688" i="8" s="1"/>
  <c r="J686" i="8"/>
  <c r="K686" i="8" s="1"/>
  <c r="J679" i="8"/>
  <c r="G678" i="8"/>
  <c r="H678" i="8" s="1"/>
  <c r="H683" i="8" s="1"/>
  <c r="J680" i="8"/>
  <c r="J685" i="8"/>
  <c r="K685" i="8" s="1"/>
  <c r="G686" i="8"/>
  <c r="H686" i="8" s="1"/>
  <c r="J688" i="8"/>
  <c r="K688" i="8" s="1"/>
  <c r="L688" i="8" s="1"/>
  <c r="M688" i="8" s="1"/>
  <c r="J693" i="8"/>
  <c r="K693" i="8" s="1"/>
  <c r="G694" i="8"/>
  <c r="H694" i="8" s="1"/>
  <c r="I516" i="8"/>
  <c r="J516" i="8" s="1"/>
  <c r="K516" i="8" s="1"/>
  <c r="G519" i="8"/>
  <c r="H519" i="8" s="1"/>
  <c r="G534" i="8"/>
  <c r="H534" i="8" s="1"/>
  <c r="G535" i="8"/>
  <c r="H535" i="8" s="1"/>
  <c r="A621" i="8"/>
  <c r="A622" i="8" s="1"/>
  <c r="A623" i="8" s="1"/>
  <c r="A624" i="8" s="1"/>
  <c r="A625" i="8" s="1"/>
  <c r="A626" i="8" s="1"/>
  <c r="A627" i="8" s="1"/>
  <c r="A628" i="8" s="1"/>
  <c r="A629" i="8" s="1"/>
  <c r="A630" i="8" s="1"/>
  <c r="A631" i="8" s="1"/>
  <c r="A632" i="8" s="1"/>
  <c r="A633" i="8" s="1"/>
  <c r="A634" i="8" s="1"/>
  <c r="A635" i="8" s="1"/>
  <c r="A636" i="8" s="1"/>
  <c r="A637" i="8" s="1"/>
  <c r="A638" i="8" s="1"/>
  <c r="A639" i="8" s="1"/>
  <c r="A640" i="8" s="1"/>
  <c r="A641" i="8" s="1"/>
  <c r="A642" i="8" s="1"/>
  <c r="A643" i="8" s="1"/>
  <c r="A644" i="8" s="1"/>
  <c r="A645" i="8" s="1"/>
  <c r="A646" i="8" s="1"/>
  <c r="A647" i="8" s="1"/>
  <c r="A648" i="8" s="1"/>
  <c r="A649" i="8" s="1"/>
  <c r="A650" i="8" s="1"/>
  <c r="A651" i="8" s="1"/>
  <c r="A652" i="8" s="1"/>
  <c r="A653" i="8" s="1"/>
  <c r="A654" i="8" s="1"/>
  <c r="A655" i="8" s="1"/>
  <c r="A656" i="8" s="1"/>
  <c r="A657" i="8" s="1"/>
  <c r="A658" i="8" s="1"/>
  <c r="A659" i="8" s="1"/>
  <c r="A660" i="8" s="1"/>
  <c r="A661" i="8" s="1"/>
  <c r="A662" i="8" s="1"/>
  <c r="A663" i="8" s="1"/>
  <c r="A664" i="8" s="1"/>
  <c r="G626" i="8"/>
  <c r="H626" i="8" s="1"/>
  <c r="L626" i="8" s="1"/>
  <c r="M626" i="8" s="1"/>
  <c r="I628" i="8"/>
  <c r="J628" i="8" s="1"/>
  <c r="K628" i="8" s="1"/>
  <c r="J629" i="8"/>
  <c r="K629" i="8" s="1"/>
  <c r="L629" i="8" s="1"/>
  <c r="M629" i="8" s="1"/>
  <c r="G631" i="8"/>
  <c r="H631" i="8" s="1"/>
  <c r="L631" i="8" s="1"/>
  <c r="M631" i="8" s="1"/>
  <c r="J635" i="8"/>
  <c r="K635" i="8" s="1"/>
  <c r="L635" i="8" s="1"/>
  <c r="M635" i="8" s="1"/>
  <c r="G646" i="8"/>
  <c r="H646" i="8" s="1"/>
  <c r="G647" i="8"/>
  <c r="H647" i="8" s="1"/>
  <c r="J704" i="8"/>
  <c r="K704" i="8" s="1"/>
  <c r="J703" i="8"/>
  <c r="K703" i="8" s="1"/>
  <c r="J702" i="8"/>
  <c r="K702" i="8" s="1"/>
  <c r="L702" i="8" s="1"/>
  <c r="M702" i="8" s="1"/>
  <c r="G701" i="8"/>
  <c r="H701" i="8" s="1"/>
  <c r="G697" i="8"/>
  <c r="H697" i="8" s="1"/>
  <c r="G696" i="8"/>
  <c r="H696" i="8" s="1"/>
  <c r="G680" i="8"/>
  <c r="J682" i="8"/>
  <c r="K682" i="8" s="1"/>
  <c r="L682" i="8" s="1"/>
  <c r="M682" i="8" s="1"/>
  <c r="G685" i="8"/>
  <c r="H685" i="8" s="1"/>
  <c r="J687" i="8"/>
  <c r="K687" i="8" s="1"/>
  <c r="L687" i="8" s="1"/>
  <c r="M687" i="8" s="1"/>
  <c r="J696" i="8"/>
  <c r="K696" i="8" s="1"/>
  <c r="L801" i="8"/>
  <c r="M801" i="8" s="1"/>
  <c r="K795" i="8"/>
  <c r="L789" i="8"/>
  <c r="M789" i="8" s="1"/>
  <c r="L793" i="8"/>
  <c r="M793" i="8" s="1"/>
  <c r="G865" i="8"/>
  <c r="H865" i="8" s="1"/>
  <c r="G864" i="8"/>
  <c r="H864" i="8" s="1"/>
  <c r="L857" i="8"/>
  <c r="M857" i="8" s="1"/>
  <c r="G749" i="8"/>
  <c r="H749" i="8" s="1"/>
  <c r="G750" i="8"/>
  <c r="H750" i="8" s="1"/>
  <c r="G747" i="8"/>
  <c r="H747" i="8" s="1"/>
  <c r="L747" i="8" s="1"/>
  <c r="M747" i="8" s="1"/>
  <c r="J734" i="8"/>
  <c r="K734" i="8" s="1"/>
  <c r="G736" i="8"/>
  <c r="G742" i="8"/>
  <c r="H742" i="8" s="1"/>
  <c r="J744" i="8"/>
  <c r="K744" i="8" s="1"/>
  <c r="L744" i="8" s="1"/>
  <c r="M744" i="8" s="1"/>
  <c r="J750" i="8"/>
  <c r="K750" i="8" s="1"/>
  <c r="H809" i="8"/>
  <c r="L810" i="8"/>
  <c r="M810" i="8" s="1"/>
  <c r="K851" i="8"/>
  <c r="L862" i="8"/>
  <c r="M862" i="8" s="1"/>
  <c r="G981" i="8"/>
  <c r="H981" i="8" s="1"/>
  <c r="G983" i="8"/>
  <c r="H983" i="8" s="1"/>
  <c r="L957" i="8"/>
  <c r="M957" i="8" s="1"/>
  <c r="G976" i="8"/>
  <c r="H976" i="8" s="1"/>
  <c r="L1030" i="8"/>
  <c r="M1030" i="8" s="1"/>
  <c r="A789" i="8"/>
  <c r="A790" i="8" s="1"/>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G794" i="8"/>
  <c r="H794" i="8" s="1"/>
  <c r="L794" i="8" s="1"/>
  <c r="M794" i="8" s="1"/>
  <c r="I796" i="8"/>
  <c r="J796" i="8" s="1"/>
  <c r="K796" i="8" s="1"/>
  <c r="J797" i="8"/>
  <c r="K797" i="8" s="1"/>
  <c r="L797" i="8" s="1"/>
  <c r="M797" i="8" s="1"/>
  <c r="G799" i="8"/>
  <c r="H799" i="8" s="1"/>
  <c r="L799" i="8" s="1"/>
  <c r="M799" i="8" s="1"/>
  <c r="J803" i="8"/>
  <c r="K803" i="8" s="1"/>
  <c r="L803" i="8" s="1"/>
  <c r="M803" i="8" s="1"/>
  <c r="J806" i="8"/>
  <c r="K806" i="8" s="1"/>
  <c r="L806" i="8" s="1"/>
  <c r="M806" i="8" s="1"/>
  <c r="G814" i="8"/>
  <c r="H814" i="8" s="1"/>
  <c r="G815" i="8"/>
  <c r="H815" i="8" s="1"/>
  <c r="G816" i="8"/>
  <c r="H816" i="8" s="1"/>
  <c r="J869" i="8"/>
  <c r="K869" i="8" s="1"/>
  <c r="G868" i="8"/>
  <c r="H868" i="8" s="1"/>
  <c r="J855" i="8"/>
  <c r="K855" i="8" s="1"/>
  <c r="L855" i="8" s="1"/>
  <c r="M855" i="8" s="1"/>
  <c r="J865" i="8"/>
  <c r="K865" i="8" s="1"/>
  <c r="J870" i="8"/>
  <c r="K870" i="8" s="1"/>
  <c r="G871" i="8"/>
  <c r="H871" i="8" s="1"/>
  <c r="J790" i="8"/>
  <c r="K790" i="8" s="1"/>
  <c r="L790" i="8" s="1"/>
  <c r="M790" i="8" s="1"/>
  <c r="G792" i="8"/>
  <c r="F796" i="8"/>
  <c r="G796" i="8" s="1"/>
  <c r="H796" i="8" s="1"/>
  <c r="G798" i="8"/>
  <c r="H798" i="8" s="1"/>
  <c r="L798" i="8" s="1"/>
  <c r="M798" i="8" s="1"/>
  <c r="J800" i="8"/>
  <c r="K800" i="8" s="1"/>
  <c r="L800" i="8" s="1"/>
  <c r="M800" i="8" s="1"/>
  <c r="J808" i="8"/>
  <c r="K808" i="8" s="1"/>
  <c r="J809" i="8"/>
  <c r="K809" i="8" s="1"/>
  <c r="L809" i="8" s="1"/>
  <c r="M809" i="8" s="1"/>
  <c r="G862" i="8"/>
  <c r="H862" i="8" s="1"/>
  <c r="G859" i="8"/>
  <c r="H859" i="8" s="1"/>
  <c r="L859" i="8" s="1"/>
  <c r="M859" i="8" s="1"/>
  <c r="G853" i="8"/>
  <c r="H853" i="8" s="1"/>
  <c r="J850" i="8"/>
  <c r="K850" i="8" s="1"/>
  <c r="L850" i="8" s="1"/>
  <c r="M850" i="8" s="1"/>
  <c r="J848" i="8"/>
  <c r="G847" i="8"/>
  <c r="F852" i="8"/>
  <c r="G852" i="8" s="1"/>
  <c r="H852" i="8" s="1"/>
  <c r="H860" i="8" s="1"/>
  <c r="J853" i="8"/>
  <c r="K853" i="8" s="1"/>
  <c r="G854" i="8"/>
  <c r="H854" i="8" s="1"/>
  <c r="J856" i="8"/>
  <c r="K856" i="8" s="1"/>
  <c r="L856" i="8" s="1"/>
  <c r="M856" i="8" s="1"/>
  <c r="J864" i="8"/>
  <c r="K864" i="8" s="1"/>
  <c r="J868" i="8"/>
  <c r="K868" i="8" s="1"/>
  <c r="G870" i="8"/>
  <c r="H870" i="8" s="1"/>
  <c r="L962" i="8"/>
  <c r="M962" i="8" s="1"/>
  <c r="L966" i="8"/>
  <c r="M966" i="8" s="1"/>
  <c r="J1037" i="8"/>
  <c r="K1037" i="8" s="1"/>
  <c r="G1036" i="8"/>
  <c r="H1036" i="8" s="1"/>
  <c r="J1023" i="8"/>
  <c r="K1023" i="8" s="1"/>
  <c r="L1023" i="8" s="1"/>
  <c r="M1023" i="8" s="1"/>
  <c r="J1036" i="8"/>
  <c r="K1036" i="8" s="1"/>
  <c r="J1033" i="8"/>
  <c r="K1033" i="8" s="1"/>
  <c r="J1032" i="8"/>
  <c r="K1032" i="8" s="1"/>
  <c r="F1020" i="8"/>
  <c r="G1020" i="8" s="1"/>
  <c r="H1020" i="8" s="1"/>
  <c r="H1028" i="8" s="1"/>
  <c r="G1040" i="8"/>
  <c r="H1040" i="8" s="1"/>
  <c r="J1038" i="8"/>
  <c r="K1038" i="8" s="1"/>
  <c r="G1037" i="8"/>
  <c r="H1037" i="8" s="1"/>
  <c r="G1032" i="8"/>
  <c r="H1032" i="8" s="1"/>
  <c r="G1039" i="8"/>
  <c r="H1039" i="8" s="1"/>
  <c r="G1023" i="8"/>
  <c r="H1023" i="8" s="1"/>
  <c r="G1033" i="8"/>
  <c r="H1033" i="8" s="1"/>
  <c r="J1040" i="8"/>
  <c r="K1040" i="8" s="1"/>
  <c r="G1038" i="8"/>
  <c r="H1038" i="8" s="1"/>
  <c r="I1020" i="8"/>
  <c r="J1020" i="8" s="1"/>
  <c r="K1020" i="8" s="1"/>
  <c r="L1020" i="8" s="1"/>
  <c r="M1020" i="8" s="1"/>
  <c r="L1022" i="8"/>
  <c r="M1022" i="8" s="1"/>
  <c r="G903" i="8"/>
  <c r="J904" i="8"/>
  <c r="J906" i="8"/>
  <c r="K906" i="8" s="1"/>
  <c r="L906" i="8" s="1"/>
  <c r="M906" i="8" s="1"/>
  <c r="G909" i="8"/>
  <c r="H909" i="8" s="1"/>
  <c r="L909" i="8" s="1"/>
  <c r="M909" i="8" s="1"/>
  <c r="G915" i="8"/>
  <c r="H915" i="8" s="1"/>
  <c r="L915" i="8" s="1"/>
  <c r="M915" i="8" s="1"/>
  <c r="G918" i="8"/>
  <c r="H918" i="8" s="1"/>
  <c r="L918" i="8" s="1"/>
  <c r="M918" i="8" s="1"/>
  <c r="L973" i="8"/>
  <c r="M973" i="8" s="1"/>
  <c r="J902" i="8"/>
  <c r="K902" i="8" s="1"/>
  <c r="L902" i="8" s="1"/>
  <c r="M902" i="8" s="1"/>
  <c r="G904" i="8"/>
  <c r="G910" i="8"/>
  <c r="H910" i="8" s="1"/>
  <c r="L910" i="8" s="1"/>
  <c r="M910" i="8" s="1"/>
  <c r="J912" i="8"/>
  <c r="K912" i="8" s="1"/>
  <c r="L912" i="8" s="1"/>
  <c r="M912" i="8" s="1"/>
  <c r="L961" i="8"/>
  <c r="M961" i="8" s="1"/>
  <c r="L1021" i="8"/>
  <c r="M1021" i="8" s="1"/>
  <c r="J981" i="8"/>
  <c r="K981" i="8" s="1"/>
  <c r="J980" i="8"/>
  <c r="K980" i="8" s="1"/>
  <c r="J977" i="8"/>
  <c r="K977" i="8" s="1"/>
  <c r="J976" i="8"/>
  <c r="K976" i="8" s="1"/>
  <c r="A957" i="8"/>
  <c r="A958" i="8" s="1"/>
  <c r="A959" i="8" s="1"/>
  <c r="A960" i="8" s="1"/>
  <c r="A961" i="8" s="1"/>
  <c r="A962" i="8" s="1"/>
  <c r="A963" i="8" s="1"/>
  <c r="A964" i="8" s="1"/>
  <c r="A965" i="8" s="1"/>
  <c r="A966" i="8" s="1"/>
  <c r="A967" i="8" s="1"/>
  <c r="A968" i="8" s="1"/>
  <c r="A969" i="8" s="1"/>
  <c r="A970" i="8" s="1"/>
  <c r="A971" i="8" s="1"/>
  <c r="A972" i="8" s="1"/>
  <c r="A973" i="8" s="1"/>
  <c r="A974" i="8" s="1"/>
  <c r="A975" i="8" s="1"/>
  <c r="A976" i="8" s="1"/>
  <c r="A977" i="8" s="1"/>
  <c r="A978" i="8" s="1"/>
  <c r="A979" i="8" s="1"/>
  <c r="A980" i="8" s="1"/>
  <c r="A981" i="8" s="1"/>
  <c r="A982" i="8" s="1"/>
  <c r="A983" i="8" s="1"/>
  <c r="A984" i="8" s="1"/>
  <c r="A985" i="8" s="1"/>
  <c r="A986" i="8" s="1"/>
  <c r="A987" i="8" s="1"/>
  <c r="A988" i="8" s="1"/>
  <c r="A989" i="8" s="1"/>
  <c r="A990" i="8" s="1"/>
  <c r="A991" i="8" s="1"/>
  <c r="A992" i="8" s="1"/>
  <c r="A993" i="8" s="1"/>
  <c r="A994" i="8" s="1"/>
  <c r="A995" i="8" s="1"/>
  <c r="A996" i="8" s="1"/>
  <c r="A997" i="8" s="1"/>
  <c r="A998" i="8" s="1"/>
  <c r="A999" i="8" s="1"/>
  <c r="A1000" i="8" s="1"/>
  <c r="G962" i="8"/>
  <c r="H962" i="8" s="1"/>
  <c r="H963" i="8" s="1"/>
  <c r="I964" i="8"/>
  <c r="J964" i="8" s="1"/>
  <c r="K964" i="8" s="1"/>
  <c r="J965" i="8"/>
  <c r="K965" i="8" s="1"/>
  <c r="L965" i="8" s="1"/>
  <c r="M965" i="8" s="1"/>
  <c r="G967" i="8"/>
  <c r="H967" i="8" s="1"/>
  <c r="L967" i="8" s="1"/>
  <c r="M967" i="8" s="1"/>
  <c r="J971" i="8"/>
  <c r="K971" i="8" s="1"/>
  <c r="L971" i="8" s="1"/>
  <c r="M971" i="8" s="1"/>
  <c r="G977" i="8"/>
  <c r="H977" i="8" s="1"/>
  <c r="G980" i="8"/>
  <c r="H980" i="8" s="1"/>
  <c r="J983" i="8"/>
  <c r="K983" i="8" s="1"/>
  <c r="L1025" i="8"/>
  <c r="M1025" i="8" s="1"/>
  <c r="J958" i="8"/>
  <c r="K958" i="8" s="1"/>
  <c r="L958" i="8" s="1"/>
  <c r="M958" i="8" s="1"/>
  <c r="G960" i="8"/>
  <c r="F964" i="8"/>
  <c r="G964" i="8" s="1"/>
  <c r="H964" i="8" s="1"/>
  <c r="G966" i="8"/>
  <c r="H966" i="8" s="1"/>
  <c r="J968" i="8"/>
  <c r="K968" i="8" s="1"/>
  <c r="L968" i="8" s="1"/>
  <c r="M968" i="8" s="1"/>
  <c r="J974" i="8"/>
  <c r="K974" i="8" s="1"/>
  <c r="L974" i="8" s="1"/>
  <c r="M974" i="8" s="1"/>
  <c r="G982" i="8"/>
  <c r="H982" i="8" s="1"/>
  <c r="L982" i="8" s="1"/>
  <c r="M982" i="8" s="1"/>
  <c r="J984" i="8"/>
  <c r="K984" i="8" s="1"/>
  <c r="J1014" i="8"/>
  <c r="K1014" i="8" s="1"/>
  <c r="L1014" i="8" s="1"/>
  <c r="M1014" i="8" s="1"/>
  <c r="G1016" i="8"/>
  <c r="G1022" i="8"/>
  <c r="H1022" i="8" s="1"/>
  <c r="J1024" i="8"/>
  <c r="K1024" i="8" s="1"/>
  <c r="L1024" i="8" s="1"/>
  <c r="M1024" i="8" s="1"/>
  <c r="J1029" i="8"/>
  <c r="K1029" i="8" s="1"/>
  <c r="L1029" i="8" s="1"/>
  <c r="M1029" i="8" s="1"/>
  <c r="G1021" i="8"/>
  <c r="H1021" i="8" s="1"/>
  <c r="G1027" i="8"/>
  <c r="H1027" i="8" s="1"/>
  <c r="L1027" i="8" s="1"/>
  <c r="M1027" i="8" s="1"/>
  <c r="K88" i="5"/>
  <c r="C1072" i="5"/>
  <c r="L1071" i="5"/>
  <c r="F1065" i="5"/>
  <c r="G1064" i="5"/>
  <c r="F1064" i="5"/>
  <c r="F1063" i="5"/>
  <c r="L1061" i="5"/>
  <c r="M1061" i="5" s="1"/>
  <c r="K1061" i="5"/>
  <c r="H1061" i="5"/>
  <c r="G1060" i="5"/>
  <c r="H1060" i="5" s="1"/>
  <c r="F1060" i="5"/>
  <c r="G1059" i="5"/>
  <c r="H1059" i="5" s="1"/>
  <c r="C1058" i="5"/>
  <c r="J1056" i="5"/>
  <c r="K1056" i="5" s="1"/>
  <c r="C1055" i="5"/>
  <c r="K1053" i="5"/>
  <c r="H1053" i="5"/>
  <c r="J1049" i="5"/>
  <c r="K1049" i="5" s="1"/>
  <c r="F1047" i="5"/>
  <c r="G1047" i="5" s="1"/>
  <c r="H1047" i="5" s="1"/>
  <c r="C1046" i="5"/>
  <c r="J1044" i="5"/>
  <c r="H1044" i="5"/>
  <c r="L1043" i="5"/>
  <c r="M1043" i="5" s="1"/>
  <c r="J1042" i="5"/>
  <c r="G1041" i="5"/>
  <c r="H1041" i="5" s="1"/>
  <c r="K1040" i="5"/>
  <c r="J1040" i="5"/>
  <c r="H1040" i="5"/>
  <c r="E1034" i="5"/>
  <c r="E1033" i="5"/>
  <c r="G1056" i="5" s="1"/>
  <c r="H1056" i="5" s="1"/>
  <c r="E1032" i="5"/>
  <c r="G1067" i="5" s="1"/>
  <c r="H1067" i="5" s="1"/>
  <c r="E1031" i="5"/>
  <c r="K1030" i="5"/>
  <c r="E1030" i="5"/>
  <c r="C1026" i="5"/>
  <c r="L1015" i="5"/>
  <c r="F1009" i="5"/>
  <c r="F1008" i="5"/>
  <c r="F1007" i="5"/>
  <c r="K1005" i="5"/>
  <c r="L1005" i="5" s="1"/>
  <c r="M1005" i="5" s="1"/>
  <c r="H1005" i="5"/>
  <c r="F1004" i="5"/>
  <c r="C1002" i="5"/>
  <c r="G1001" i="5"/>
  <c r="H1001" i="5" s="1"/>
  <c r="J1000" i="5"/>
  <c r="K1000" i="5" s="1"/>
  <c r="C999" i="5"/>
  <c r="K997" i="5"/>
  <c r="L997" i="5" s="1"/>
  <c r="M997" i="5" s="1"/>
  <c r="H997" i="5"/>
  <c r="F996" i="5"/>
  <c r="H996" i="5" s="1"/>
  <c r="J995" i="5"/>
  <c r="K995" i="5" s="1"/>
  <c r="J994" i="5"/>
  <c r="K994" i="5" s="1"/>
  <c r="G993" i="5"/>
  <c r="H993" i="5" s="1"/>
  <c r="F991" i="5"/>
  <c r="G991" i="5" s="1"/>
  <c r="H991" i="5" s="1"/>
  <c r="C990" i="5"/>
  <c r="J989" i="5"/>
  <c r="J988" i="5"/>
  <c r="H988" i="5"/>
  <c r="M987" i="5"/>
  <c r="L987" i="5"/>
  <c r="J987" i="5"/>
  <c r="G987" i="5"/>
  <c r="G986" i="5"/>
  <c r="J985" i="5"/>
  <c r="K985" i="5" s="1"/>
  <c r="J984" i="5"/>
  <c r="K984" i="5" s="1"/>
  <c r="H984" i="5"/>
  <c r="E978" i="5"/>
  <c r="G1008" i="5" s="1"/>
  <c r="H1008" i="5" s="1"/>
  <c r="E977" i="5"/>
  <c r="E976" i="5"/>
  <c r="E975" i="5"/>
  <c r="K974" i="5"/>
  <c r="E974" i="5"/>
  <c r="C970" i="5"/>
  <c r="L959" i="5"/>
  <c r="G954" i="5"/>
  <c r="H954" i="5" s="1"/>
  <c r="G953" i="5"/>
  <c r="F953" i="5"/>
  <c r="F952" i="5"/>
  <c r="F951" i="5"/>
  <c r="K949" i="5"/>
  <c r="L949" i="5" s="1"/>
  <c r="M949" i="5" s="1"/>
  <c r="H949" i="5"/>
  <c r="H948" i="5"/>
  <c r="G948" i="5"/>
  <c r="F948" i="5"/>
  <c r="C946" i="5"/>
  <c r="J945" i="5"/>
  <c r="K945" i="5" s="1"/>
  <c r="G944" i="5"/>
  <c r="H944" i="5" s="1"/>
  <c r="C943" i="5"/>
  <c r="J942" i="5"/>
  <c r="K942" i="5" s="1"/>
  <c r="L941" i="5"/>
  <c r="M941" i="5" s="1"/>
  <c r="K941" i="5"/>
  <c r="H941" i="5"/>
  <c r="K940" i="5"/>
  <c r="G939" i="5"/>
  <c r="H939" i="5" s="1"/>
  <c r="G938" i="5"/>
  <c r="H938" i="5" s="1"/>
  <c r="A938" i="5"/>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K937" i="5"/>
  <c r="J937" i="5"/>
  <c r="J936" i="5"/>
  <c r="K936" i="5" s="1"/>
  <c r="J935" i="5"/>
  <c r="K935" i="5" s="1"/>
  <c r="C934" i="5"/>
  <c r="G933" i="5"/>
  <c r="H933" i="5" s="1"/>
  <c r="J932" i="5"/>
  <c r="H932" i="5"/>
  <c r="L931" i="5"/>
  <c r="M931" i="5" s="1"/>
  <c r="A931" i="5"/>
  <c r="A932" i="5" s="1"/>
  <c r="A933" i="5" s="1"/>
  <c r="A934" i="5" s="1"/>
  <c r="A935" i="5" s="1"/>
  <c r="A936" i="5" s="1"/>
  <c r="A937" i="5" s="1"/>
  <c r="J930" i="5"/>
  <c r="H929" i="5"/>
  <c r="H934" i="5" s="1"/>
  <c r="G929" i="5"/>
  <c r="K928" i="5"/>
  <c r="J928" i="5"/>
  <c r="H928" i="5"/>
  <c r="A928" i="5"/>
  <c r="A929" i="5" s="1"/>
  <c r="A930" i="5" s="1"/>
  <c r="E922" i="5"/>
  <c r="E921" i="5"/>
  <c r="G945" i="5" s="1"/>
  <c r="H945" i="5" s="1"/>
  <c r="E920" i="5"/>
  <c r="E919" i="5"/>
  <c r="K918" i="5"/>
  <c r="E918" i="5"/>
  <c r="F940" i="5" s="1"/>
  <c r="H940" i="5" s="1"/>
  <c r="C914" i="5"/>
  <c r="L903" i="5"/>
  <c r="H899" i="5"/>
  <c r="F897" i="5"/>
  <c r="F896" i="5"/>
  <c r="G895" i="5"/>
  <c r="F895" i="5"/>
  <c r="K893" i="5"/>
  <c r="H893" i="5"/>
  <c r="F892" i="5"/>
  <c r="C890" i="5"/>
  <c r="C887" i="5"/>
  <c r="G886" i="5"/>
  <c r="H886" i="5" s="1"/>
  <c r="K885" i="5"/>
  <c r="H885" i="5"/>
  <c r="J882" i="5"/>
  <c r="K882" i="5" s="1"/>
  <c r="G880" i="5"/>
  <c r="H880" i="5" s="1"/>
  <c r="F879" i="5"/>
  <c r="G879" i="5" s="1"/>
  <c r="H879" i="5" s="1"/>
  <c r="C878" i="5"/>
  <c r="J877" i="5"/>
  <c r="J876" i="5"/>
  <c r="H876" i="5"/>
  <c r="L875" i="5"/>
  <c r="M875" i="5" s="1"/>
  <c r="J875" i="5"/>
  <c r="G875" i="5"/>
  <c r="J873" i="5"/>
  <c r="K873" i="5" s="1"/>
  <c r="J872" i="5"/>
  <c r="K872" i="5" s="1"/>
  <c r="H872" i="5"/>
  <c r="E866" i="5"/>
  <c r="E865" i="5"/>
  <c r="E864" i="5"/>
  <c r="G899" i="5" s="1"/>
  <c r="E863" i="5"/>
  <c r="K862" i="5"/>
  <c r="E862" i="5"/>
  <c r="C858" i="5"/>
  <c r="L847" i="5"/>
  <c r="F841" i="5"/>
  <c r="F840" i="5"/>
  <c r="F839" i="5"/>
  <c r="K837" i="5"/>
  <c r="L837" i="5" s="1"/>
  <c r="M837" i="5" s="1"/>
  <c r="H837" i="5"/>
  <c r="F836" i="5"/>
  <c r="C834" i="5"/>
  <c r="G833" i="5"/>
  <c r="H833" i="5" s="1"/>
  <c r="J832" i="5"/>
  <c r="K832" i="5" s="1"/>
  <c r="C831" i="5"/>
  <c r="K829" i="5"/>
  <c r="L829" i="5" s="1"/>
  <c r="M829" i="5" s="1"/>
  <c r="H829" i="5"/>
  <c r="F828" i="5"/>
  <c r="H828" i="5" s="1"/>
  <c r="J827" i="5"/>
  <c r="K827" i="5" s="1"/>
  <c r="J826" i="5"/>
  <c r="K826" i="5" s="1"/>
  <c r="G825" i="5"/>
  <c r="H825" i="5" s="1"/>
  <c r="F823" i="5"/>
  <c r="G823" i="5" s="1"/>
  <c r="H823" i="5" s="1"/>
  <c r="C822" i="5"/>
  <c r="J820" i="5"/>
  <c r="H820" i="5"/>
  <c r="L819" i="5"/>
  <c r="M819" i="5" s="1"/>
  <c r="G819" i="5"/>
  <c r="J818" i="5"/>
  <c r="J816" i="5"/>
  <c r="K816" i="5" s="1"/>
  <c r="L816" i="5" s="1"/>
  <c r="M816" i="5" s="1"/>
  <c r="H816" i="5"/>
  <c r="E810" i="5"/>
  <c r="E809" i="5"/>
  <c r="E808" i="5"/>
  <c r="G843" i="5" s="1"/>
  <c r="H843" i="5" s="1"/>
  <c r="E807" i="5"/>
  <c r="K806" i="5"/>
  <c r="E806" i="5"/>
  <c r="C792" i="5"/>
  <c r="G787" i="5"/>
  <c r="H787" i="5" s="1"/>
  <c r="F785" i="5"/>
  <c r="F784" i="5"/>
  <c r="F783" i="5"/>
  <c r="K781" i="5"/>
  <c r="L781" i="5" s="1"/>
  <c r="M781" i="5" s="1"/>
  <c r="H781" i="5"/>
  <c r="F780" i="5"/>
  <c r="C778" i="5"/>
  <c r="C775" i="5"/>
  <c r="K773" i="5"/>
  <c r="L773" i="5" s="1"/>
  <c r="M773" i="5" s="1"/>
  <c r="H773" i="5"/>
  <c r="K772" i="5"/>
  <c r="G771" i="5"/>
  <c r="H771" i="5" s="1"/>
  <c r="J769" i="5"/>
  <c r="K769" i="5" s="1"/>
  <c r="C766" i="5"/>
  <c r="J764" i="5"/>
  <c r="H764" i="5"/>
  <c r="M763" i="5"/>
  <c r="L763" i="5"/>
  <c r="A763" i="5"/>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K760" i="5"/>
  <c r="L760" i="5" s="1"/>
  <c r="M760" i="5" s="1"/>
  <c r="J760" i="5"/>
  <c r="H760" i="5"/>
  <c r="A760" i="5"/>
  <c r="A761" i="5" s="1"/>
  <c r="A762" i="5" s="1"/>
  <c r="E754" i="5"/>
  <c r="E753" i="5"/>
  <c r="E752" i="5"/>
  <c r="E751" i="5"/>
  <c r="K750" i="5"/>
  <c r="E750" i="5"/>
  <c r="F772" i="5" s="1"/>
  <c r="H772" i="5" s="1"/>
  <c r="C736" i="5"/>
  <c r="F729" i="5"/>
  <c r="F728" i="5"/>
  <c r="F727" i="5"/>
  <c r="F711" i="5" s="1"/>
  <c r="G711" i="5" s="1"/>
  <c r="H711" i="5" s="1"/>
  <c r="L725" i="5"/>
  <c r="M725" i="5" s="1"/>
  <c r="K725" i="5"/>
  <c r="H725" i="5"/>
  <c r="F724" i="5"/>
  <c r="C722" i="5"/>
  <c r="C719" i="5"/>
  <c r="K717" i="5"/>
  <c r="H717" i="5"/>
  <c r="G713" i="5"/>
  <c r="H713" i="5" s="1"/>
  <c r="C710" i="5"/>
  <c r="G709" i="5"/>
  <c r="H709" i="5" s="1"/>
  <c r="J708" i="5"/>
  <c r="H708" i="5"/>
  <c r="L707" i="5"/>
  <c r="M707" i="5" s="1"/>
  <c r="J706" i="5"/>
  <c r="K704" i="5"/>
  <c r="L704" i="5" s="1"/>
  <c r="M704" i="5" s="1"/>
  <c r="J704" i="5"/>
  <c r="H704" i="5"/>
  <c r="A704" i="5"/>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E698" i="5"/>
  <c r="E697" i="5"/>
  <c r="E696" i="5"/>
  <c r="E695" i="5"/>
  <c r="K694" i="5"/>
  <c r="E694" i="5"/>
  <c r="C680" i="5"/>
  <c r="J675" i="5"/>
  <c r="J674" i="5"/>
  <c r="K674" i="5" s="1"/>
  <c r="J673" i="5"/>
  <c r="F673" i="5"/>
  <c r="K672" i="5"/>
  <c r="J672" i="5"/>
  <c r="G672" i="5"/>
  <c r="F672" i="5"/>
  <c r="J671" i="5"/>
  <c r="K671" i="5" s="1"/>
  <c r="G671" i="5"/>
  <c r="F671" i="5"/>
  <c r="H671" i="5" s="1"/>
  <c r="L669" i="5"/>
  <c r="M669" i="5" s="1"/>
  <c r="K669" i="5"/>
  <c r="H669" i="5"/>
  <c r="G668" i="5"/>
  <c r="H668" i="5" s="1"/>
  <c r="F668" i="5"/>
  <c r="C666" i="5"/>
  <c r="C663" i="5"/>
  <c r="K661" i="5"/>
  <c r="L661" i="5" s="1"/>
  <c r="M661" i="5" s="1"/>
  <c r="H661" i="5"/>
  <c r="F660" i="5"/>
  <c r="H660" i="5" s="1"/>
  <c r="G659" i="5"/>
  <c r="H659" i="5" s="1"/>
  <c r="K658" i="5"/>
  <c r="J658" i="5"/>
  <c r="G657" i="5"/>
  <c r="H657" i="5" s="1"/>
  <c r="G656" i="5"/>
  <c r="H656" i="5" s="1"/>
  <c r="C654" i="5"/>
  <c r="J652" i="5"/>
  <c r="H652" i="5"/>
  <c r="L651" i="5"/>
  <c r="M651" i="5" s="1"/>
  <c r="G651" i="5"/>
  <c r="J650" i="5"/>
  <c r="G650" i="5"/>
  <c r="J649" i="5"/>
  <c r="K649" i="5" s="1"/>
  <c r="K648" i="5"/>
  <c r="J648" i="5"/>
  <c r="H648" i="5"/>
  <c r="E642" i="5"/>
  <c r="E641" i="5"/>
  <c r="E640" i="5"/>
  <c r="G675" i="5" s="1"/>
  <c r="H675" i="5" s="1"/>
  <c r="E639" i="5"/>
  <c r="K638" i="5"/>
  <c r="E638" i="5"/>
  <c r="C624" i="5"/>
  <c r="J619" i="5"/>
  <c r="K619" i="5" s="1"/>
  <c r="G618" i="5"/>
  <c r="H618" i="5" s="1"/>
  <c r="J617" i="5"/>
  <c r="K617" i="5" s="1"/>
  <c r="F617" i="5"/>
  <c r="G616" i="5"/>
  <c r="F616" i="5"/>
  <c r="F615" i="5"/>
  <c r="K613" i="5"/>
  <c r="L613" i="5" s="1"/>
  <c r="M613" i="5" s="1"/>
  <c r="H613" i="5"/>
  <c r="G612" i="5"/>
  <c r="H612" i="5" s="1"/>
  <c r="F612" i="5"/>
  <c r="C610" i="5"/>
  <c r="C607" i="5"/>
  <c r="K605" i="5"/>
  <c r="L605" i="5" s="1"/>
  <c r="M605" i="5" s="1"/>
  <c r="H605" i="5"/>
  <c r="K604" i="5"/>
  <c r="J601" i="5"/>
  <c r="K601" i="5" s="1"/>
  <c r="A599" i="5"/>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C598" i="5"/>
  <c r="J596" i="5"/>
  <c r="H596" i="5"/>
  <c r="M595" i="5"/>
  <c r="L595" i="5"/>
  <c r="J594" i="5"/>
  <c r="J593" i="5"/>
  <c r="K593" i="5" s="1"/>
  <c r="K592" i="5"/>
  <c r="L592" i="5" s="1"/>
  <c r="M592" i="5" s="1"/>
  <c r="J592" i="5"/>
  <c r="H592" i="5"/>
  <c r="A592" i="5"/>
  <c r="A593" i="5" s="1"/>
  <c r="A594" i="5" s="1"/>
  <c r="A595" i="5" s="1"/>
  <c r="A596" i="5" s="1"/>
  <c r="A597" i="5" s="1"/>
  <c r="A598" i="5" s="1"/>
  <c r="E586" i="5"/>
  <c r="E585" i="5"/>
  <c r="E584" i="5"/>
  <c r="E583" i="5"/>
  <c r="K582" i="5"/>
  <c r="E582" i="5"/>
  <c r="F604" i="5" s="1"/>
  <c r="H604" i="5" s="1"/>
  <c r="C568" i="5"/>
  <c r="J563" i="5"/>
  <c r="K563" i="5" s="1"/>
  <c r="H563" i="5"/>
  <c r="J562" i="5"/>
  <c r="J561" i="5"/>
  <c r="K561" i="5" s="1"/>
  <c r="F561" i="5"/>
  <c r="J560" i="5"/>
  <c r="K560" i="5" s="1"/>
  <c r="G560" i="5"/>
  <c r="F560" i="5"/>
  <c r="J559" i="5"/>
  <c r="K559" i="5" s="1"/>
  <c r="G559" i="5"/>
  <c r="F559" i="5"/>
  <c r="H559" i="5" s="1"/>
  <c r="K557" i="5"/>
  <c r="H557" i="5"/>
  <c r="G556" i="5"/>
  <c r="H556" i="5" s="1"/>
  <c r="F556" i="5"/>
  <c r="C554" i="5"/>
  <c r="C551" i="5"/>
  <c r="G550" i="5"/>
  <c r="H550" i="5" s="1"/>
  <c r="K549" i="5"/>
  <c r="L549" i="5" s="1"/>
  <c r="M549" i="5" s="1"/>
  <c r="H549" i="5"/>
  <c r="F548" i="5"/>
  <c r="H548" i="5" s="1"/>
  <c r="J547" i="5"/>
  <c r="K547" i="5" s="1"/>
  <c r="K546" i="5"/>
  <c r="J546" i="5"/>
  <c r="J545" i="5"/>
  <c r="K545" i="5" s="1"/>
  <c r="L545" i="5" s="1"/>
  <c r="M545" i="5" s="1"/>
  <c r="G545" i="5"/>
  <c r="H545" i="5" s="1"/>
  <c r="C542" i="5"/>
  <c r="K541" i="5"/>
  <c r="J541" i="5"/>
  <c r="J540" i="5"/>
  <c r="H540" i="5"/>
  <c r="L539" i="5"/>
  <c r="M539" i="5" s="1"/>
  <c r="G539" i="5"/>
  <c r="J538" i="5"/>
  <c r="G538" i="5"/>
  <c r="J537" i="5"/>
  <c r="K537" i="5" s="1"/>
  <c r="K536" i="5"/>
  <c r="L536" i="5" s="1"/>
  <c r="M536" i="5" s="1"/>
  <c r="J536" i="5"/>
  <c r="H536" i="5"/>
  <c r="E530" i="5"/>
  <c r="G555" i="5" s="1"/>
  <c r="H555" i="5" s="1"/>
  <c r="E529" i="5"/>
  <c r="E528" i="5"/>
  <c r="G563" i="5" s="1"/>
  <c r="E527" i="5"/>
  <c r="K526" i="5"/>
  <c r="E526" i="5"/>
  <c r="C512" i="5"/>
  <c r="J507" i="5"/>
  <c r="K507" i="5" s="1"/>
  <c r="G506" i="5"/>
  <c r="H506" i="5" s="1"/>
  <c r="G505" i="5"/>
  <c r="F505" i="5"/>
  <c r="F504" i="5"/>
  <c r="F503" i="5"/>
  <c r="K501" i="5"/>
  <c r="L501" i="5" s="1"/>
  <c r="M501" i="5" s="1"/>
  <c r="H501" i="5"/>
  <c r="G500" i="5"/>
  <c r="H500" i="5" s="1"/>
  <c r="F500" i="5"/>
  <c r="C498" i="5"/>
  <c r="C495" i="5"/>
  <c r="L493" i="5"/>
  <c r="M493" i="5" s="1"/>
  <c r="K493" i="5"/>
  <c r="H493" i="5"/>
  <c r="H490" i="5"/>
  <c r="G490" i="5"/>
  <c r="G489" i="5"/>
  <c r="H489" i="5" s="1"/>
  <c r="C486" i="5"/>
  <c r="J484" i="5"/>
  <c r="H484" i="5"/>
  <c r="L483" i="5"/>
  <c r="M483" i="5" s="1"/>
  <c r="K480" i="5"/>
  <c r="J480" i="5"/>
  <c r="H480" i="5"/>
  <c r="E474" i="5"/>
  <c r="E473" i="5"/>
  <c r="E472" i="5"/>
  <c r="E471" i="5"/>
  <c r="K470" i="5"/>
  <c r="E470" i="5"/>
  <c r="K492" i="5" s="1"/>
  <c r="C466" i="5"/>
  <c r="L455" i="5"/>
  <c r="F449" i="5"/>
  <c r="F448" i="5"/>
  <c r="F447" i="5"/>
  <c r="K445" i="5"/>
  <c r="L445" i="5" s="1"/>
  <c r="M445" i="5" s="1"/>
  <c r="H445" i="5"/>
  <c r="F444" i="5"/>
  <c r="C442" i="5"/>
  <c r="H441" i="5"/>
  <c r="J440" i="5"/>
  <c r="K440" i="5" s="1"/>
  <c r="G440" i="5"/>
  <c r="H440" i="5" s="1"/>
  <c r="C439" i="5"/>
  <c r="K437" i="5"/>
  <c r="L437" i="5" s="1"/>
  <c r="M437" i="5" s="1"/>
  <c r="H437" i="5"/>
  <c r="J435" i="5"/>
  <c r="K435" i="5" s="1"/>
  <c r="G435" i="5"/>
  <c r="H435" i="5" s="1"/>
  <c r="J433" i="5"/>
  <c r="K433" i="5" s="1"/>
  <c r="G433" i="5"/>
  <c r="H433" i="5" s="1"/>
  <c r="L433" i="5" s="1"/>
  <c r="M433" i="5" s="1"/>
  <c r="A432" i="5"/>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C430" i="5"/>
  <c r="J428" i="5"/>
  <c r="H428" i="5"/>
  <c r="L427" i="5"/>
  <c r="M427" i="5" s="1"/>
  <c r="G427" i="5"/>
  <c r="J426" i="5"/>
  <c r="J424" i="5"/>
  <c r="K424" i="5" s="1"/>
  <c r="H424" i="5"/>
  <c r="A424" i="5"/>
  <c r="A425" i="5" s="1"/>
  <c r="A426" i="5" s="1"/>
  <c r="A427" i="5" s="1"/>
  <c r="A428" i="5" s="1"/>
  <c r="A429" i="5" s="1"/>
  <c r="A430" i="5" s="1"/>
  <c r="A431" i="5" s="1"/>
  <c r="E418" i="5"/>
  <c r="E417" i="5"/>
  <c r="G441" i="5" s="1"/>
  <c r="E416" i="5"/>
  <c r="E415" i="5"/>
  <c r="K414" i="5"/>
  <c r="E414" i="5"/>
  <c r="F436" i="5" s="1"/>
  <c r="H436" i="5" s="1"/>
  <c r="C400" i="5"/>
  <c r="L399" i="5"/>
  <c r="G394" i="5"/>
  <c r="H394" i="5" s="1"/>
  <c r="F393" i="5"/>
  <c r="F392" i="5"/>
  <c r="G391" i="5"/>
  <c r="F391" i="5"/>
  <c r="K389" i="5"/>
  <c r="L389" i="5" s="1"/>
  <c r="M389" i="5" s="1"/>
  <c r="H389" i="5"/>
  <c r="F388" i="5"/>
  <c r="C386" i="5"/>
  <c r="J384" i="5"/>
  <c r="K384" i="5" s="1"/>
  <c r="C383" i="5"/>
  <c r="K381" i="5"/>
  <c r="L381" i="5" s="1"/>
  <c r="M381" i="5" s="1"/>
  <c r="H381" i="5"/>
  <c r="F380" i="5"/>
  <c r="H380" i="5" s="1"/>
  <c r="J378" i="5"/>
  <c r="K378" i="5" s="1"/>
  <c r="G377" i="5"/>
  <c r="H377" i="5" s="1"/>
  <c r="G376" i="5"/>
  <c r="H376" i="5" s="1"/>
  <c r="C374" i="5"/>
  <c r="J373" i="5"/>
  <c r="J372" i="5"/>
  <c r="H372" i="5"/>
  <c r="M371" i="5"/>
  <c r="L371" i="5"/>
  <c r="J371" i="5"/>
  <c r="G369" i="5"/>
  <c r="H369" i="5" s="1"/>
  <c r="K368" i="5"/>
  <c r="J368" i="5"/>
  <c r="H368" i="5"/>
  <c r="L368" i="5" s="1"/>
  <c r="M368" i="5" s="1"/>
  <c r="E362" i="5"/>
  <c r="E361" i="5"/>
  <c r="E360" i="5"/>
  <c r="J392" i="5" s="1"/>
  <c r="K392" i="5" s="1"/>
  <c r="E359" i="5"/>
  <c r="K358" i="5"/>
  <c r="E358" i="5"/>
  <c r="C344" i="5"/>
  <c r="L343" i="5"/>
  <c r="K339" i="5"/>
  <c r="J339" i="5"/>
  <c r="G339" i="5"/>
  <c r="H339" i="5" s="1"/>
  <c r="J338" i="5"/>
  <c r="K338" i="5" s="1"/>
  <c r="F337" i="5"/>
  <c r="G336" i="5"/>
  <c r="F336" i="5"/>
  <c r="F335" i="5"/>
  <c r="K333" i="5"/>
  <c r="L333" i="5" s="1"/>
  <c r="M333" i="5" s="1"/>
  <c r="H333" i="5"/>
  <c r="G332" i="5"/>
  <c r="H332" i="5" s="1"/>
  <c r="F332" i="5"/>
  <c r="G331" i="5"/>
  <c r="H331" i="5" s="1"/>
  <c r="C330" i="5"/>
  <c r="H329" i="5"/>
  <c r="C327" i="5"/>
  <c r="K325" i="5"/>
  <c r="H325" i="5"/>
  <c r="K324" i="5"/>
  <c r="G323" i="5"/>
  <c r="H323" i="5" s="1"/>
  <c r="G322" i="5"/>
  <c r="H322" i="5" s="1"/>
  <c r="J321" i="5"/>
  <c r="K321" i="5" s="1"/>
  <c r="C318" i="5"/>
  <c r="G317" i="5"/>
  <c r="H317" i="5" s="1"/>
  <c r="J316" i="5"/>
  <c r="H316" i="5"/>
  <c r="L315" i="5"/>
  <c r="M315" i="5" s="1"/>
  <c r="G315" i="5"/>
  <c r="G313" i="5"/>
  <c r="H313" i="5" s="1"/>
  <c r="H318" i="5" s="1"/>
  <c r="A313" i="5"/>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J312" i="5"/>
  <c r="K312" i="5" s="1"/>
  <c r="L312" i="5" s="1"/>
  <c r="M312" i="5" s="1"/>
  <c r="H312" i="5"/>
  <c r="A312" i="5"/>
  <c r="E306" i="5"/>
  <c r="E305" i="5"/>
  <c r="G329" i="5" s="1"/>
  <c r="E304" i="5"/>
  <c r="G338" i="5" s="1"/>
  <c r="H338" i="5" s="1"/>
  <c r="E303" i="5"/>
  <c r="K302" i="5"/>
  <c r="E302" i="5"/>
  <c r="F324" i="5" s="1"/>
  <c r="H324" i="5" s="1"/>
  <c r="C298" i="5"/>
  <c r="L287" i="5"/>
  <c r="G282" i="5"/>
  <c r="H282" i="5" s="1"/>
  <c r="F281" i="5"/>
  <c r="F280" i="5"/>
  <c r="F279" i="5"/>
  <c r="K277" i="5"/>
  <c r="H277" i="5"/>
  <c r="F276" i="5"/>
  <c r="G275" i="5"/>
  <c r="H275" i="5" s="1"/>
  <c r="C274" i="5"/>
  <c r="J273" i="5"/>
  <c r="K273" i="5" s="1"/>
  <c r="L273" i="5" s="1"/>
  <c r="M273" i="5" s="1"/>
  <c r="G273" i="5"/>
  <c r="H273" i="5" s="1"/>
  <c r="G272" i="5"/>
  <c r="H272" i="5" s="1"/>
  <c r="C271" i="5"/>
  <c r="J270" i="5"/>
  <c r="K270" i="5" s="1"/>
  <c r="L270" i="5" s="1"/>
  <c r="M270" i="5" s="1"/>
  <c r="G270" i="5"/>
  <c r="H270" i="5" s="1"/>
  <c r="K269" i="5"/>
  <c r="L269" i="5" s="1"/>
  <c r="M269" i="5" s="1"/>
  <c r="H269" i="5"/>
  <c r="A269" i="5"/>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K268" i="5"/>
  <c r="F268" i="5"/>
  <c r="H268" i="5" s="1"/>
  <c r="H267" i="5"/>
  <c r="G267" i="5"/>
  <c r="J265" i="5"/>
  <c r="K265" i="5" s="1"/>
  <c r="J264" i="5"/>
  <c r="K264" i="5" s="1"/>
  <c r="H264" i="5"/>
  <c r="G264" i="5"/>
  <c r="H262" i="5"/>
  <c r="C262" i="5"/>
  <c r="J261" i="5"/>
  <c r="G261" i="5"/>
  <c r="H261" i="5" s="1"/>
  <c r="J260" i="5"/>
  <c r="H260" i="5"/>
  <c r="L259" i="5"/>
  <c r="M259" i="5" s="1"/>
  <c r="J259" i="5"/>
  <c r="J258" i="5"/>
  <c r="G258" i="5"/>
  <c r="H257" i="5"/>
  <c r="G257" i="5"/>
  <c r="K256" i="5"/>
  <c r="J256" i="5"/>
  <c r="H256" i="5"/>
  <c r="A256" i="5"/>
  <c r="A257" i="5" s="1"/>
  <c r="A258" i="5" s="1"/>
  <c r="A259" i="5" s="1"/>
  <c r="A260" i="5" s="1"/>
  <c r="A261" i="5" s="1"/>
  <c r="A262" i="5" s="1"/>
  <c r="A263" i="5" s="1"/>
  <c r="A264" i="5" s="1"/>
  <c r="A265" i="5" s="1"/>
  <c r="A266" i="5" s="1"/>
  <c r="A267" i="5" s="1"/>
  <c r="A268" i="5" s="1"/>
  <c r="E251" i="5"/>
  <c r="J281" i="5" s="1"/>
  <c r="K281" i="5" s="1"/>
  <c r="E250" i="5"/>
  <c r="E249" i="5"/>
  <c r="J272" i="5" s="1"/>
  <c r="K272" i="5" s="1"/>
  <c r="L272" i="5" s="1"/>
  <c r="M272" i="5" s="1"/>
  <c r="E248" i="5"/>
  <c r="E247" i="5"/>
  <c r="K246" i="5"/>
  <c r="E246" i="5"/>
  <c r="C242" i="5"/>
  <c r="L231" i="5"/>
  <c r="F225" i="5"/>
  <c r="F224" i="5"/>
  <c r="F223" i="5"/>
  <c r="L221" i="5"/>
  <c r="M221" i="5" s="1"/>
  <c r="K221" i="5"/>
  <c r="H221" i="5"/>
  <c r="F220" i="5"/>
  <c r="C218" i="5"/>
  <c r="C215" i="5"/>
  <c r="K213" i="5"/>
  <c r="L213" i="5" s="1"/>
  <c r="M213" i="5" s="1"/>
  <c r="H213" i="5"/>
  <c r="J210" i="5"/>
  <c r="K210" i="5" s="1"/>
  <c r="F207" i="5"/>
  <c r="G207" i="5" s="1"/>
  <c r="H207" i="5" s="1"/>
  <c r="C206" i="5"/>
  <c r="J204" i="5"/>
  <c r="H204" i="5"/>
  <c r="L203" i="5"/>
  <c r="M203" i="5" s="1"/>
  <c r="J200" i="5"/>
  <c r="K200" i="5" s="1"/>
  <c r="H200" i="5"/>
  <c r="E194" i="5"/>
  <c r="G227" i="5" s="1"/>
  <c r="H227" i="5" s="1"/>
  <c r="E193" i="5"/>
  <c r="G217" i="5" s="1"/>
  <c r="H217" i="5" s="1"/>
  <c r="E192" i="5"/>
  <c r="E191" i="5"/>
  <c r="K190" i="5"/>
  <c r="E190" i="5"/>
  <c r="C176" i="5"/>
  <c r="F169" i="5"/>
  <c r="F168" i="5"/>
  <c r="F167" i="5"/>
  <c r="K165" i="5"/>
  <c r="L165" i="5" s="1"/>
  <c r="M165" i="5" s="1"/>
  <c r="H165" i="5"/>
  <c r="F164" i="5"/>
  <c r="C162" i="5"/>
  <c r="C159" i="5"/>
  <c r="K157" i="5"/>
  <c r="L157" i="5" s="1"/>
  <c r="M157" i="5" s="1"/>
  <c r="H157" i="5"/>
  <c r="K156" i="5"/>
  <c r="C150" i="5"/>
  <c r="J148" i="5"/>
  <c r="H148" i="5"/>
  <c r="M147" i="5"/>
  <c r="L147" i="5"/>
  <c r="L144" i="5"/>
  <c r="M144" i="5" s="1"/>
  <c r="K144" i="5"/>
  <c r="J144" i="5"/>
  <c r="H144" i="5"/>
  <c r="A144" i="5"/>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E138" i="5"/>
  <c r="E137" i="5"/>
  <c r="E136" i="5"/>
  <c r="G171" i="5" s="1"/>
  <c r="H171" i="5" s="1"/>
  <c r="E135" i="5"/>
  <c r="K134" i="5"/>
  <c r="E134" i="5"/>
  <c r="F156" i="5" s="1"/>
  <c r="H156" i="5" s="1"/>
  <c r="C120" i="5"/>
  <c r="I115" i="5"/>
  <c r="I114" i="5"/>
  <c r="I113" i="5"/>
  <c r="F113" i="5"/>
  <c r="J112" i="5"/>
  <c r="I112" i="5"/>
  <c r="F112" i="5"/>
  <c r="I111" i="5"/>
  <c r="F111" i="5"/>
  <c r="L109" i="5"/>
  <c r="M109" i="5" s="1"/>
  <c r="K109" i="5"/>
  <c r="I109" i="5"/>
  <c r="H109" i="5"/>
  <c r="F108" i="5"/>
  <c r="C106" i="5"/>
  <c r="C103" i="5"/>
  <c r="K101" i="5"/>
  <c r="H101" i="5"/>
  <c r="K100" i="5"/>
  <c r="F100" i="5"/>
  <c r="H100" i="5" s="1"/>
  <c r="C94" i="5"/>
  <c r="K93" i="5"/>
  <c r="J93" i="5"/>
  <c r="A93" i="5"/>
  <c r="A94" i="5" s="1"/>
  <c r="J92" i="5"/>
  <c r="H92" i="5"/>
  <c r="L91" i="5"/>
  <c r="M91" i="5" s="1"/>
  <c r="J91" i="5"/>
  <c r="J90" i="5"/>
  <c r="G90" i="5"/>
  <c r="G89" i="5"/>
  <c r="H89" i="5" s="1"/>
  <c r="A89" i="5"/>
  <c r="A90" i="5" s="1"/>
  <c r="A91" i="5" s="1"/>
  <c r="A92" i="5" s="1"/>
  <c r="J88" i="5"/>
  <c r="H88" i="5"/>
  <c r="A88" i="5"/>
  <c r="E83" i="5"/>
  <c r="J107" i="5" s="1"/>
  <c r="K107" i="5" s="1"/>
  <c r="E82" i="5"/>
  <c r="E81" i="5"/>
  <c r="E80" i="5"/>
  <c r="E79" i="5"/>
  <c r="K78" i="5"/>
  <c r="E78" i="5"/>
  <c r="I100" i="5" s="1"/>
  <c r="D74" i="5"/>
  <c r="B74" i="5"/>
  <c r="D73" i="5"/>
  <c r="B73" i="5"/>
  <c r="D72" i="5"/>
  <c r="B72" i="5"/>
  <c r="D71" i="5"/>
  <c r="B71" i="5"/>
  <c r="D70" i="5"/>
  <c r="B70" i="5"/>
  <c r="D69" i="5"/>
  <c r="B69" i="5"/>
  <c r="D68" i="5"/>
  <c r="B68" i="5"/>
  <c r="D67" i="5"/>
  <c r="B67" i="5"/>
  <c r="D66" i="5"/>
  <c r="B66" i="5"/>
  <c r="D65" i="5"/>
  <c r="B65" i="5"/>
  <c r="D64" i="5"/>
  <c r="B64" i="5"/>
  <c r="D63" i="5"/>
  <c r="B63" i="5"/>
  <c r="D62" i="5"/>
  <c r="B62" i="5"/>
  <c r="D61" i="5"/>
  <c r="B61" i="5"/>
  <c r="D60" i="5"/>
  <c r="B60" i="5"/>
  <c r="D59" i="5"/>
  <c r="B59" i="5"/>
  <c r="D58" i="5"/>
  <c r="B58" i="5"/>
  <c r="D57" i="5"/>
  <c r="B57" i="5"/>
  <c r="D56" i="5"/>
  <c r="B56" i="5"/>
  <c r="D55" i="5"/>
  <c r="B55" i="5"/>
  <c r="J49" i="5"/>
  <c r="G49" i="5"/>
  <c r="G74" i="5" s="1"/>
  <c r="C49" i="5"/>
  <c r="J48" i="5"/>
  <c r="G48" i="5"/>
  <c r="G73" i="5" s="1"/>
  <c r="C48" i="5"/>
  <c r="J47" i="5"/>
  <c r="E1035" i="5" s="1"/>
  <c r="G47" i="5"/>
  <c r="G72" i="5" s="1"/>
  <c r="C47" i="5"/>
  <c r="J46" i="5"/>
  <c r="E979" i="5" s="1"/>
  <c r="G46" i="5"/>
  <c r="G71" i="5" s="1"/>
  <c r="C46" i="5"/>
  <c r="J45" i="5"/>
  <c r="E923" i="5" s="1"/>
  <c r="J954" i="5" s="1"/>
  <c r="K954" i="5" s="1"/>
  <c r="G45" i="5"/>
  <c r="G70" i="5" s="1"/>
  <c r="C45" i="5"/>
  <c r="J44" i="5"/>
  <c r="E867" i="5" s="1"/>
  <c r="G44" i="5"/>
  <c r="G69" i="5" s="1"/>
  <c r="C44" i="5"/>
  <c r="J43" i="5"/>
  <c r="E811" i="5" s="1"/>
  <c r="G43" i="5"/>
  <c r="G68" i="5" s="1"/>
  <c r="C43" i="5"/>
  <c r="J42" i="5"/>
  <c r="E755" i="5" s="1"/>
  <c r="J785" i="5" s="1"/>
  <c r="K785" i="5" s="1"/>
  <c r="G42" i="5"/>
  <c r="G67" i="5" s="1"/>
  <c r="C42" i="5"/>
  <c r="J41" i="5"/>
  <c r="E699" i="5" s="1"/>
  <c r="G41" i="5"/>
  <c r="G66" i="5" s="1"/>
  <c r="C41" i="5"/>
  <c r="J40" i="5"/>
  <c r="E643" i="5" s="1"/>
  <c r="G40" i="5"/>
  <c r="G65" i="5" s="1"/>
  <c r="C40" i="5"/>
  <c r="J39" i="5"/>
  <c r="E587" i="5" s="1"/>
  <c r="G39" i="5"/>
  <c r="G64" i="5" s="1"/>
  <c r="C39" i="5"/>
  <c r="J38" i="5"/>
  <c r="E531" i="5" s="1"/>
  <c r="G38" i="5"/>
  <c r="G63" i="5" s="1"/>
  <c r="C38" i="5"/>
  <c r="J37" i="5"/>
  <c r="E475" i="5" s="1"/>
  <c r="G37" i="5"/>
  <c r="G62" i="5" s="1"/>
  <c r="C37" i="5"/>
  <c r="J36" i="5"/>
  <c r="E419" i="5" s="1"/>
  <c r="G36" i="5"/>
  <c r="G61" i="5" s="1"/>
  <c r="J35" i="5"/>
  <c r="E363" i="5" s="1"/>
  <c r="J387" i="5" s="1"/>
  <c r="K387" i="5" s="1"/>
  <c r="G35" i="5"/>
  <c r="G60" i="5" s="1"/>
  <c r="J34" i="5"/>
  <c r="E307" i="5" s="1"/>
  <c r="G34" i="5"/>
  <c r="G59" i="5" s="1"/>
  <c r="J33" i="5"/>
  <c r="G33" i="5"/>
  <c r="G58" i="5" s="1"/>
  <c r="J32" i="5"/>
  <c r="E195" i="5" s="1"/>
  <c r="G32" i="5"/>
  <c r="G57" i="5" s="1"/>
  <c r="J31" i="5"/>
  <c r="E139" i="5" s="1"/>
  <c r="G31" i="5"/>
  <c r="G56" i="5" s="1"/>
  <c r="J30" i="5"/>
  <c r="G30" i="5"/>
  <c r="G55" i="5" s="1"/>
  <c r="C1072" i="6"/>
  <c r="L1071" i="6"/>
  <c r="I1067" i="6"/>
  <c r="I1066" i="6"/>
  <c r="I1065" i="6"/>
  <c r="F1065" i="6"/>
  <c r="I1064" i="6"/>
  <c r="F1064" i="6"/>
  <c r="I1063" i="6"/>
  <c r="F1063" i="6"/>
  <c r="K1061" i="6"/>
  <c r="L1061" i="6" s="1"/>
  <c r="M1061" i="6" s="1"/>
  <c r="I1061" i="6"/>
  <c r="H1061" i="6"/>
  <c r="F1060" i="6"/>
  <c r="C1058" i="6"/>
  <c r="J1057" i="6"/>
  <c r="K1057" i="6" s="1"/>
  <c r="C1055" i="6"/>
  <c r="J1054" i="6"/>
  <c r="K1054" i="6" s="1"/>
  <c r="K1053" i="6"/>
  <c r="L1053" i="6" s="1"/>
  <c r="M1053" i="6" s="1"/>
  <c r="H1053" i="6"/>
  <c r="I1052" i="6"/>
  <c r="K1052" i="6" s="1"/>
  <c r="G1050" i="6"/>
  <c r="H1050" i="6" s="1"/>
  <c r="J1048" i="6"/>
  <c r="K1048" i="6" s="1"/>
  <c r="C1046" i="6"/>
  <c r="G1045" i="6"/>
  <c r="H1045" i="6" s="1"/>
  <c r="J1044" i="6"/>
  <c r="H1044" i="6"/>
  <c r="M1043" i="6"/>
  <c r="L1043" i="6"/>
  <c r="A1043" i="6"/>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L1040" i="6"/>
  <c r="M1040" i="6" s="1"/>
  <c r="J1040" i="6"/>
  <c r="K1040" i="6" s="1"/>
  <c r="H1040" i="6"/>
  <c r="A1040" i="6"/>
  <c r="A1041" i="6" s="1"/>
  <c r="A1042" i="6" s="1"/>
  <c r="E1034" i="6"/>
  <c r="E1033" i="6"/>
  <c r="G1056" i="6" s="1"/>
  <c r="H1056" i="6" s="1"/>
  <c r="E1032" i="6"/>
  <c r="G1067" i="6" s="1"/>
  <c r="H1067" i="6" s="1"/>
  <c r="E1031" i="6"/>
  <c r="K1030" i="6"/>
  <c r="E1030" i="6"/>
  <c r="F1052" i="6" s="1"/>
  <c r="H1052" i="6" s="1"/>
  <c r="C1026" i="6"/>
  <c r="L1015" i="6"/>
  <c r="I1011" i="6"/>
  <c r="I1010" i="6"/>
  <c r="I1009" i="6"/>
  <c r="F1009" i="6"/>
  <c r="I1008" i="6"/>
  <c r="F1008" i="6"/>
  <c r="I1007" i="6"/>
  <c r="F1007" i="6"/>
  <c r="K1005" i="6"/>
  <c r="L1005" i="6" s="1"/>
  <c r="M1005" i="6" s="1"/>
  <c r="I1005" i="6"/>
  <c r="H1005" i="6"/>
  <c r="F1004" i="6"/>
  <c r="C1002" i="6"/>
  <c r="K1001" i="6"/>
  <c r="J1001" i="6"/>
  <c r="G1000" i="6"/>
  <c r="H1000" i="6" s="1"/>
  <c r="C999" i="6"/>
  <c r="G998" i="6"/>
  <c r="H998" i="6" s="1"/>
  <c r="L997" i="6"/>
  <c r="M997" i="6" s="1"/>
  <c r="K997" i="6"/>
  <c r="H997" i="6"/>
  <c r="F996" i="6"/>
  <c r="H996" i="6" s="1"/>
  <c r="G995" i="6"/>
  <c r="H995" i="6" s="1"/>
  <c r="K994" i="6"/>
  <c r="J994" i="6"/>
  <c r="J993" i="6"/>
  <c r="K993" i="6" s="1"/>
  <c r="H992" i="6"/>
  <c r="G992" i="6"/>
  <c r="C990" i="6"/>
  <c r="J989" i="6"/>
  <c r="G989" i="6"/>
  <c r="H989" i="6" s="1"/>
  <c r="J988" i="6"/>
  <c r="H988" i="6"/>
  <c r="L987" i="6"/>
  <c r="M987" i="6" s="1"/>
  <c r="J987" i="6"/>
  <c r="J986" i="6"/>
  <c r="G986" i="6"/>
  <c r="G985" i="6"/>
  <c r="H985" i="6" s="1"/>
  <c r="A985" i="6"/>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K984" i="6"/>
  <c r="J984" i="6"/>
  <c r="H984" i="6"/>
  <c r="A984" i="6"/>
  <c r="E978" i="6"/>
  <c r="G1011" i="6" s="1"/>
  <c r="H1011" i="6" s="1"/>
  <c r="E977" i="6"/>
  <c r="G1001" i="6" s="1"/>
  <c r="H1001" i="6" s="1"/>
  <c r="E976" i="6"/>
  <c r="E975" i="6"/>
  <c r="K974" i="6"/>
  <c r="E974" i="6"/>
  <c r="I996" i="6" s="1"/>
  <c r="K996" i="6" s="1"/>
  <c r="C970" i="6"/>
  <c r="L959" i="6"/>
  <c r="I955" i="6"/>
  <c r="I954" i="6"/>
  <c r="I953" i="6"/>
  <c r="F953" i="6"/>
  <c r="I952" i="6"/>
  <c r="G952" i="6"/>
  <c r="F952" i="6"/>
  <c r="I951" i="6"/>
  <c r="F951" i="6"/>
  <c r="M949" i="6"/>
  <c r="I949" i="6"/>
  <c r="K949" i="6" s="1"/>
  <c r="L949" i="6" s="1"/>
  <c r="H949" i="6"/>
  <c r="F948" i="6"/>
  <c r="C946" i="6"/>
  <c r="G944" i="6"/>
  <c r="H944" i="6" s="1"/>
  <c r="C943" i="6"/>
  <c r="H942" i="6"/>
  <c r="G942" i="6"/>
  <c r="L941" i="6"/>
  <c r="M941" i="6" s="1"/>
  <c r="K941" i="6"/>
  <c r="H941" i="6"/>
  <c r="F940" i="6"/>
  <c r="H940" i="6" s="1"/>
  <c r="G939" i="6"/>
  <c r="H939" i="6" s="1"/>
  <c r="J938" i="6"/>
  <c r="K938" i="6" s="1"/>
  <c r="J937" i="6"/>
  <c r="K937" i="6" s="1"/>
  <c r="G936" i="6"/>
  <c r="H936" i="6" s="1"/>
  <c r="C934" i="6"/>
  <c r="J933" i="6"/>
  <c r="J932" i="6"/>
  <c r="H932" i="6"/>
  <c r="L931" i="6"/>
  <c r="M931" i="6" s="1"/>
  <c r="J931" i="6"/>
  <c r="J930" i="6"/>
  <c r="G930" i="6"/>
  <c r="G929" i="6"/>
  <c r="H929" i="6" s="1"/>
  <c r="J928" i="6"/>
  <c r="K928" i="6" s="1"/>
  <c r="H928" i="6"/>
  <c r="E922" i="6"/>
  <c r="E921" i="6"/>
  <c r="J942" i="6" s="1"/>
  <c r="K942" i="6" s="1"/>
  <c r="L942" i="6" s="1"/>
  <c r="M942" i="6" s="1"/>
  <c r="E920" i="6"/>
  <c r="E919" i="6"/>
  <c r="K918" i="6"/>
  <c r="E918" i="6"/>
  <c r="I940" i="6" s="1"/>
  <c r="K940" i="6" s="1"/>
  <c r="L940" i="6" s="1"/>
  <c r="M940" i="6" s="1"/>
  <c r="C914" i="6"/>
  <c r="L903" i="6"/>
  <c r="I899" i="6"/>
  <c r="I898" i="6"/>
  <c r="I897" i="6"/>
  <c r="F897" i="6"/>
  <c r="I896" i="6"/>
  <c r="F896" i="6"/>
  <c r="I895" i="6"/>
  <c r="F895" i="6"/>
  <c r="I893" i="6"/>
  <c r="K893" i="6" s="1"/>
  <c r="L893" i="6" s="1"/>
  <c r="M893" i="6" s="1"/>
  <c r="H893" i="6"/>
  <c r="F892" i="6"/>
  <c r="G891" i="6"/>
  <c r="H891" i="6" s="1"/>
  <c r="C890" i="6"/>
  <c r="G889" i="6"/>
  <c r="H889" i="6" s="1"/>
  <c r="C887" i="6"/>
  <c r="K885" i="6"/>
  <c r="L885" i="6" s="1"/>
  <c r="M885" i="6" s="1"/>
  <c r="H885" i="6"/>
  <c r="I884" i="6"/>
  <c r="K884" i="6" s="1"/>
  <c r="F884" i="6"/>
  <c r="H884" i="6" s="1"/>
  <c r="J880" i="6"/>
  <c r="K880" i="6" s="1"/>
  <c r="L880" i="6" s="1"/>
  <c r="M880" i="6" s="1"/>
  <c r="G880" i="6"/>
  <c r="H880" i="6" s="1"/>
  <c r="I879" i="6"/>
  <c r="J879" i="6" s="1"/>
  <c r="K879" i="6" s="1"/>
  <c r="C878" i="6"/>
  <c r="J877" i="6"/>
  <c r="G877" i="6"/>
  <c r="H877" i="6" s="1"/>
  <c r="J876" i="6"/>
  <c r="H876" i="6"/>
  <c r="M875" i="6"/>
  <c r="L875" i="6"/>
  <c r="J875" i="6"/>
  <c r="G874" i="6"/>
  <c r="J872" i="6"/>
  <c r="K872" i="6" s="1"/>
  <c r="H872" i="6"/>
  <c r="A872" i="6"/>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E866" i="6"/>
  <c r="E865" i="6"/>
  <c r="G888" i="6" s="1"/>
  <c r="H888" i="6" s="1"/>
  <c r="E864" i="6"/>
  <c r="G895" i="6" s="1"/>
  <c r="E863" i="6"/>
  <c r="K862" i="6"/>
  <c r="E862" i="6"/>
  <c r="C858" i="6"/>
  <c r="L847" i="6"/>
  <c r="I843" i="6"/>
  <c r="I842" i="6"/>
  <c r="I841" i="6"/>
  <c r="F841" i="6"/>
  <c r="I840" i="6"/>
  <c r="F840" i="6"/>
  <c r="I839" i="6"/>
  <c r="G839" i="6"/>
  <c r="F839" i="6"/>
  <c r="K837" i="6"/>
  <c r="L837" i="6" s="1"/>
  <c r="M837" i="6" s="1"/>
  <c r="I837" i="6"/>
  <c r="H837" i="6"/>
  <c r="F836" i="6"/>
  <c r="C834" i="6"/>
  <c r="J833" i="6"/>
  <c r="K833" i="6" s="1"/>
  <c r="L833" i="6" s="1"/>
  <c r="M833" i="6" s="1"/>
  <c r="G833" i="6"/>
  <c r="H833" i="6" s="1"/>
  <c r="C831" i="6"/>
  <c r="J830" i="6"/>
  <c r="K830" i="6" s="1"/>
  <c r="L830" i="6" s="1"/>
  <c r="M830" i="6" s="1"/>
  <c r="G830" i="6"/>
  <c r="H830" i="6" s="1"/>
  <c r="K829" i="6"/>
  <c r="L829" i="6" s="1"/>
  <c r="M829" i="6" s="1"/>
  <c r="H829" i="6"/>
  <c r="I828" i="6"/>
  <c r="K828" i="6" s="1"/>
  <c r="F828" i="6"/>
  <c r="H828" i="6" s="1"/>
  <c r="G826" i="6"/>
  <c r="H826" i="6" s="1"/>
  <c r="J824" i="6"/>
  <c r="K824" i="6" s="1"/>
  <c r="L824" i="6" s="1"/>
  <c r="M824" i="6" s="1"/>
  <c r="G824" i="6"/>
  <c r="H824" i="6" s="1"/>
  <c r="I823" i="6"/>
  <c r="J823" i="6" s="1"/>
  <c r="K823" i="6" s="1"/>
  <c r="C822" i="6"/>
  <c r="J821" i="6"/>
  <c r="G821" i="6"/>
  <c r="H821" i="6" s="1"/>
  <c r="J820" i="6"/>
  <c r="H820" i="6"/>
  <c r="M819" i="6"/>
  <c r="L819" i="6"/>
  <c r="J819" i="6"/>
  <c r="G818" i="6"/>
  <c r="L816" i="6"/>
  <c r="M816" i="6" s="1"/>
  <c r="J816" i="6"/>
  <c r="K816" i="6" s="1"/>
  <c r="H816" i="6"/>
  <c r="A816" i="6"/>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E810" i="6"/>
  <c r="E809" i="6"/>
  <c r="J832" i="6" s="1"/>
  <c r="K832" i="6" s="1"/>
  <c r="E808" i="6"/>
  <c r="E807" i="6"/>
  <c r="K806" i="6"/>
  <c r="E806" i="6"/>
  <c r="C792" i="6"/>
  <c r="I787" i="6"/>
  <c r="I786" i="6"/>
  <c r="I785" i="6"/>
  <c r="F785" i="6"/>
  <c r="I784" i="6"/>
  <c r="F784" i="6"/>
  <c r="I783" i="6"/>
  <c r="F783" i="6"/>
  <c r="M781" i="6"/>
  <c r="K781" i="6"/>
  <c r="L781" i="6" s="1"/>
  <c r="I781" i="6"/>
  <c r="H781" i="6"/>
  <c r="F780" i="6"/>
  <c r="C778" i="6"/>
  <c r="C775" i="6"/>
  <c r="G774" i="6"/>
  <c r="H774" i="6" s="1"/>
  <c r="K773" i="6"/>
  <c r="L773" i="6" s="1"/>
  <c r="M773" i="6" s="1"/>
  <c r="H773" i="6"/>
  <c r="F772" i="6"/>
  <c r="H772" i="6" s="1"/>
  <c r="I767" i="6"/>
  <c r="J767" i="6" s="1"/>
  <c r="K767" i="6" s="1"/>
  <c r="C766" i="6"/>
  <c r="J764" i="6"/>
  <c r="H764" i="6"/>
  <c r="M763" i="6"/>
  <c r="L763" i="6"/>
  <c r="J763" i="6"/>
  <c r="K760" i="6"/>
  <c r="J760" i="6"/>
  <c r="H760" i="6"/>
  <c r="A760" i="6"/>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E754" i="6"/>
  <c r="E753" i="6"/>
  <c r="E752" i="6"/>
  <c r="E751" i="6"/>
  <c r="K750" i="6"/>
  <c r="E750" i="6"/>
  <c r="I772" i="6" s="1"/>
  <c r="K772" i="6" s="1"/>
  <c r="C736" i="6"/>
  <c r="J731" i="6"/>
  <c r="I731" i="6"/>
  <c r="H731" i="6"/>
  <c r="J730" i="6"/>
  <c r="I730" i="6"/>
  <c r="J729" i="6"/>
  <c r="I729" i="6"/>
  <c r="F729" i="6"/>
  <c r="J728" i="6"/>
  <c r="I728" i="6"/>
  <c r="G728" i="6"/>
  <c r="F728" i="6"/>
  <c r="J727" i="6"/>
  <c r="I727" i="6"/>
  <c r="G727" i="6"/>
  <c r="F727" i="6"/>
  <c r="F711" i="6" s="1"/>
  <c r="G711" i="6" s="1"/>
  <c r="H711" i="6" s="1"/>
  <c r="M725" i="6"/>
  <c r="L725" i="6"/>
  <c r="I725" i="6"/>
  <c r="K725" i="6" s="1"/>
  <c r="H725" i="6"/>
  <c r="F724" i="6"/>
  <c r="C722" i="6"/>
  <c r="C719" i="6"/>
  <c r="K717" i="6"/>
  <c r="L717" i="6" s="1"/>
  <c r="M717" i="6" s="1"/>
  <c r="H717" i="6"/>
  <c r="J715" i="6"/>
  <c r="K715" i="6" s="1"/>
  <c r="J714" i="6"/>
  <c r="K714" i="6" s="1"/>
  <c r="G713" i="6"/>
  <c r="H713" i="6" s="1"/>
  <c r="C710" i="6"/>
  <c r="J708" i="6"/>
  <c r="H708" i="6"/>
  <c r="L707" i="6"/>
  <c r="M707" i="6" s="1"/>
  <c r="G706" i="6"/>
  <c r="M704" i="6"/>
  <c r="J704" i="6"/>
  <c r="K704" i="6" s="1"/>
  <c r="L704" i="6" s="1"/>
  <c r="H704" i="6"/>
  <c r="E698" i="6"/>
  <c r="E697" i="6"/>
  <c r="J709" i="6" s="1"/>
  <c r="E696" i="6"/>
  <c r="G731" i="6" s="1"/>
  <c r="E695" i="6"/>
  <c r="K694" i="6"/>
  <c r="E694" i="6"/>
  <c r="C680" i="6"/>
  <c r="I675" i="6"/>
  <c r="G675" i="6"/>
  <c r="H675" i="6" s="1"/>
  <c r="J674" i="6"/>
  <c r="I674" i="6"/>
  <c r="I673" i="6"/>
  <c r="G673" i="6"/>
  <c r="F673" i="6"/>
  <c r="I672" i="6"/>
  <c r="G672" i="6"/>
  <c r="F672" i="6"/>
  <c r="J671" i="6"/>
  <c r="I671" i="6"/>
  <c r="F671" i="6"/>
  <c r="K669" i="6"/>
  <c r="L669" i="6" s="1"/>
  <c r="M669" i="6" s="1"/>
  <c r="I669" i="6"/>
  <c r="H669" i="6"/>
  <c r="G668" i="6"/>
  <c r="H668" i="6" s="1"/>
  <c r="F668" i="6"/>
  <c r="C666" i="6"/>
  <c r="C663" i="6"/>
  <c r="K661" i="6"/>
  <c r="H661" i="6"/>
  <c r="L661" i="6" s="1"/>
  <c r="M661" i="6" s="1"/>
  <c r="I660" i="6"/>
  <c r="K660" i="6" s="1"/>
  <c r="G658" i="6"/>
  <c r="H658" i="6" s="1"/>
  <c r="J657" i="6"/>
  <c r="K657" i="6" s="1"/>
  <c r="C654" i="6"/>
  <c r="J653" i="6"/>
  <c r="J652" i="6"/>
  <c r="H652" i="6"/>
  <c r="M651" i="6"/>
  <c r="L651" i="6"/>
  <c r="J651" i="6"/>
  <c r="G650" i="6"/>
  <c r="J648" i="6"/>
  <c r="K648" i="6" s="1"/>
  <c r="H648" i="6"/>
  <c r="E642" i="6"/>
  <c r="E641" i="6"/>
  <c r="G664" i="6" s="1"/>
  <c r="H664" i="6" s="1"/>
  <c r="E640" i="6"/>
  <c r="J675" i="6" s="1"/>
  <c r="K675" i="6" s="1"/>
  <c r="E639" i="6"/>
  <c r="K638" i="6"/>
  <c r="E638" i="6"/>
  <c r="F660" i="6" s="1"/>
  <c r="H660" i="6" s="1"/>
  <c r="C624" i="6"/>
  <c r="I619" i="6"/>
  <c r="I618" i="6"/>
  <c r="G618" i="6"/>
  <c r="H618" i="6" s="1"/>
  <c r="I617" i="6"/>
  <c r="G617" i="6"/>
  <c r="F617" i="6"/>
  <c r="I616" i="6"/>
  <c r="F616" i="6"/>
  <c r="I615" i="6"/>
  <c r="F615" i="6"/>
  <c r="I613" i="6"/>
  <c r="K613" i="6" s="1"/>
  <c r="L613" i="6" s="1"/>
  <c r="M613" i="6" s="1"/>
  <c r="H613" i="6"/>
  <c r="H612" i="6"/>
  <c r="G612" i="6"/>
  <c r="F612" i="6"/>
  <c r="C610" i="6"/>
  <c r="H608" i="6"/>
  <c r="G608" i="6"/>
  <c r="C607" i="6"/>
  <c r="M605" i="6"/>
  <c r="L605" i="6"/>
  <c r="K605" i="6"/>
  <c r="H605" i="6"/>
  <c r="I604" i="6"/>
  <c r="K604" i="6" s="1"/>
  <c r="F604" i="6"/>
  <c r="H604" i="6" s="1"/>
  <c r="H603" i="6"/>
  <c r="G603" i="6"/>
  <c r="G602" i="6"/>
  <c r="H602" i="6" s="1"/>
  <c r="C598" i="6"/>
  <c r="J596" i="6"/>
  <c r="H596" i="6"/>
  <c r="L595" i="6"/>
  <c r="M595" i="6" s="1"/>
  <c r="A595" i="6"/>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K592" i="6"/>
  <c r="J592" i="6"/>
  <c r="H592" i="6"/>
  <c r="A592" i="6"/>
  <c r="A593" i="6" s="1"/>
  <c r="A594" i="6" s="1"/>
  <c r="E587" i="6"/>
  <c r="J609" i="6" s="1"/>
  <c r="K609" i="6" s="1"/>
  <c r="E586" i="6"/>
  <c r="E585" i="6"/>
  <c r="E584" i="6"/>
  <c r="E583" i="6"/>
  <c r="K582" i="6"/>
  <c r="E582" i="6"/>
  <c r="C568" i="6"/>
  <c r="I563" i="6"/>
  <c r="I562" i="6"/>
  <c r="I561" i="6"/>
  <c r="F561" i="6"/>
  <c r="I560" i="6"/>
  <c r="F560" i="6"/>
  <c r="J559" i="6"/>
  <c r="I559" i="6"/>
  <c r="F559" i="6"/>
  <c r="K557" i="6"/>
  <c r="I557" i="6"/>
  <c r="H557" i="6"/>
  <c r="L557" i="6" s="1"/>
  <c r="M557" i="6" s="1"/>
  <c r="F556" i="6"/>
  <c r="C554" i="6"/>
  <c r="C551" i="6"/>
  <c r="K549" i="6"/>
  <c r="H549" i="6"/>
  <c r="C542" i="6"/>
  <c r="J540" i="6"/>
  <c r="H540" i="6"/>
  <c r="M539" i="6"/>
  <c r="L539" i="6"/>
  <c r="J536" i="6"/>
  <c r="K536" i="6" s="1"/>
  <c r="H536" i="6"/>
  <c r="E530" i="6"/>
  <c r="E529" i="6"/>
  <c r="J552" i="6" s="1"/>
  <c r="K552" i="6" s="1"/>
  <c r="E528" i="6"/>
  <c r="G559" i="6" s="1"/>
  <c r="E527" i="6"/>
  <c r="K526" i="6"/>
  <c r="E526" i="6"/>
  <c r="F548" i="6" s="1"/>
  <c r="H548" i="6" s="1"/>
  <c r="C512" i="6"/>
  <c r="J507" i="6"/>
  <c r="I507" i="6"/>
  <c r="J506" i="6"/>
  <c r="I506" i="6"/>
  <c r="J505" i="6"/>
  <c r="I505" i="6"/>
  <c r="F505" i="6"/>
  <c r="J504" i="6"/>
  <c r="I504" i="6"/>
  <c r="K504" i="6" s="1"/>
  <c r="G504" i="6"/>
  <c r="F504" i="6"/>
  <c r="I503" i="6"/>
  <c r="G503" i="6"/>
  <c r="F503" i="6"/>
  <c r="I501" i="6"/>
  <c r="K501" i="6" s="1"/>
  <c r="L501" i="6" s="1"/>
  <c r="M501" i="6" s="1"/>
  <c r="H501" i="6"/>
  <c r="G500" i="6"/>
  <c r="H500" i="6" s="1"/>
  <c r="F500" i="6"/>
  <c r="G499" i="6"/>
  <c r="H499" i="6" s="1"/>
  <c r="C498" i="6"/>
  <c r="G496" i="6"/>
  <c r="H496" i="6" s="1"/>
  <c r="C495" i="6"/>
  <c r="H494" i="6"/>
  <c r="G494" i="6"/>
  <c r="L493" i="6"/>
  <c r="M493" i="6" s="1"/>
  <c r="K493" i="6"/>
  <c r="H493" i="6"/>
  <c r="F492" i="6"/>
  <c r="H492" i="6" s="1"/>
  <c r="G491" i="6"/>
  <c r="H491" i="6" s="1"/>
  <c r="K490" i="6"/>
  <c r="J490" i="6"/>
  <c r="J489" i="6"/>
  <c r="K489" i="6" s="1"/>
  <c r="H488" i="6"/>
  <c r="G488" i="6"/>
  <c r="C486" i="6"/>
  <c r="K485" i="6"/>
  <c r="J485" i="6"/>
  <c r="A485" i="6"/>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J484" i="6"/>
  <c r="H484" i="6"/>
  <c r="L483" i="6"/>
  <c r="M483" i="6" s="1"/>
  <c r="J483" i="6"/>
  <c r="J482" i="6"/>
  <c r="G482" i="6"/>
  <c r="G481" i="6"/>
  <c r="H481" i="6" s="1"/>
  <c r="A481" i="6"/>
  <c r="A482" i="6" s="1"/>
  <c r="A483" i="6" s="1"/>
  <c r="A484" i="6" s="1"/>
  <c r="K480" i="6"/>
  <c r="J480" i="6"/>
  <c r="H480" i="6"/>
  <c r="A480" i="6"/>
  <c r="E474" i="6"/>
  <c r="G497" i="6" s="1"/>
  <c r="H497" i="6" s="1"/>
  <c r="E473" i="6"/>
  <c r="E472" i="6"/>
  <c r="J503" i="6" s="1"/>
  <c r="E471" i="6"/>
  <c r="K470" i="6"/>
  <c r="E470" i="6"/>
  <c r="I492" i="6" s="1"/>
  <c r="K492" i="6" s="1"/>
  <c r="C466" i="6"/>
  <c r="L455" i="6"/>
  <c r="J451" i="6"/>
  <c r="K451" i="6" s="1"/>
  <c r="I451" i="6"/>
  <c r="I450" i="6"/>
  <c r="I449" i="6"/>
  <c r="F449" i="6"/>
  <c r="I448" i="6"/>
  <c r="F448" i="6"/>
  <c r="I447" i="6"/>
  <c r="F447" i="6"/>
  <c r="I445" i="6"/>
  <c r="K445" i="6" s="1"/>
  <c r="L445" i="6" s="1"/>
  <c r="M445" i="6" s="1"/>
  <c r="H445" i="6"/>
  <c r="G444" i="6"/>
  <c r="H444" i="6" s="1"/>
  <c r="F444" i="6"/>
  <c r="G443" i="6"/>
  <c r="H443" i="6" s="1"/>
  <c r="C442" i="6"/>
  <c r="H441" i="6"/>
  <c r="G440" i="6"/>
  <c r="H440" i="6" s="1"/>
  <c r="C439" i="6"/>
  <c r="L437" i="6"/>
  <c r="M437" i="6" s="1"/>
  <c r="K437" i="6"/>
  <c r="H437" i="6"/>
  <c r="G435" i="6"/>
  <c r="H435" i="6" s="1"/>
  <c r="K434" i="6"/>
  <c r="J434" i="6"/>
  <c r="J433" i="6"/>
  <c r="K433" i="6" s="1"/>
  <c r="C430" i="6"/>
  <c r="J428" i="6"/>
  <c r="H428" i="6"/>
  <c r="L427" i="6"/>
  <c r="M427" i="6" s="1"/>
  <c r="J426" i="6"/>
  <c r="J424" i="6"/>
  <c r="K424" i="6" s="1"/>
  <c r="H424" i="6"/>
  <c r="E418" i="6"/>
  <c r="G447" i="6" s="1"/>
  <c r="H447" i="6" s="1"/>
  <c r="E417" i="6"/>
  <c r="G441" i="6" s="1"/>
  <c r="E416" i="6"/>
  <c r="J447" i="6" s="1"/>
  <c r="E415" i="6"/>
  <c r="K414" i="6"/>
  <c r="E414" i="6"/>
  <c r="F436" i="6" s="1"/>
  <c r="H436" i="6" s="1"/>
  <c r="C400" i="6"/>
  <c r="L399" i="6"/>
  <c r="I395" i="6"/>
  <c r="I394" i="6"/>
  <c r="I393" i="6"/>
  <c r="F393" i="6"/>
  <c r="J392" i="6"/>
  <c r="I392" i="6"/>
  <c r="F392" i="6"/>
  <c r="I391" i="6"/>
  <c r="G391" i="6"/>
  <c r="F391" i="6"/>
  <c r="K389" i="6"/>
  <c r="I389" i="6"/>
  <c r="H389" i="6"/>
  <c r="L389" i="6" s="1"/>
  <c r="M389" i="6" s="1"/>
  <c r="F388" i="6"/>
  <c r="C386" i="6"/>
  <c r="G385" i="6"/>
  <c r="H385" i="6" s="1"/>
  <c r="C383" i="6"/>
  <c r="K381" i="6"/>
  <c r="L381" i="6" s="1"/>
  <c r="M381" i="6" s="1"/>
  <c r="H381" i="6"/>
  <c r="J378" i="6"/>
  <c r="K378" i="6" s="1"/>
  <c r="C374" i="6"/>
  <c r="J373" i="6"/>
  <c r="J372" i="6"/>
  <c r="H372" i="6"/>
  <c r="M371" i="6"/>
  <c r="L371" i="6"/>
  <c r="J369" i="6"/>
  <c r="K369" i="6" s="1"/>
  <c r="J368" i="6"/>
  <c r="K368" i="6" s="1"/>
  <c r="H368" i="6"/>
  <c r="E362" i="6"/>
  <c r="E361" i="6"/>
  <c r="E360" i="6"/>
  <c r="J391" i="6" s="1"/>
  <c r="K391" i="6" s="1"/>
  <c r="E359" i="6"/>
  <c r="K358" i="6"/>
  <c r="E358" i="6"/>
  <c r="C344" i="6"/>
  <c r="L343" i="6"/>
  <c r="I339" i="6"/>
  <c r="I338" i="6"/>
  <c r="I337" i="6"/>
  <c r="F337" i="6"/>
  <c r="I336" i="6"/>
  <c r="F336" i="6"/>
  <c r="J335" i="6"/>
  <c r="I335" i="6"/>
  <c r="F335" i="6"/>
  <c r="L333" i="6"/>
  <c r="M333" i="6" s="1"/>
  <c r="K333" i="6"/>
  <c r="I333" i="6"/>
  <c r="H333" i="6"/>
  <c r="F332" i="6"/>
  <c r="C330" i="6"/>
  <c r="C327" i="6"/>
  <c r="M325" i="6"/>
  <c r="K325" i="6"/>
  <c r="H325" i="6"/>
  <c r="L325" i="6" s="1"/>
  <c r="I324" i="6"/>
  <c r="K324" i="6" s="1"/>
  <c r="J323" i="6"/>
  <c r="K323" i="6" s="1"/>
  <c r="G322" i="6"/>
  <c r="H322" i="6" s="1"/>
  <c r="G321" i="6"/>
  <c r="H321" i="6" s="1"/>
  <c r="J320" i="6"/>
  <c r="K320" i="6" s="1"/>
  <c r="C318" i="6"/>
  <c r="H317" i="6"/>
  <c r="G317" i="6"/>
  <c r="J316" i="6"/>
  <c r="H316" i="6"/>
  <c r="M315" i="6"/>
  <c r="L315" i="6"/>
  <c r="G315" i="6"/>
  <c r="A315" i="6"/>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G313" i="6"/>
  <c r="H313" i="6" s="1"/>
  <c r="H318" i="6" s="1"/>
  <c r="K312" i="6"/>
  <c r="J312" i="6"/>
  <c r="H312" i="6"/>
  <c r="A312" i="6"/>
  <c r="A313" i="6" s="1"/>
  <c r="A314" i="6" s="1"/>
  <c r="E307" i="6"/>
  <c r="J332" i="6" s="1"/>
  <c r="K332" i="6" s="1"/>
  <c r="E306" i="6"/>
  <c r="E305" i="6"/>
  <c r="G328" i="6" s="1"/>
  <c r="H328" i="6" s="1"/>
  <c r="E304" i="6"/>
  <c r="E303" i="6"/>
  <c r="K302" i="6"/>
  <c r="E302" i="6"/>
  <c r="F324" i="6" s="1"/>
  <c r="H324" i="6" s="1"/>
  <c r="C298" i="6"/>
  <c r="L287" i="6"/>
  <c r="I283" i="6"/>
  <c r="G283" i="6"/>
  <c r="H283" i="6" s="1"/>
  <c r="I282" i="6"/>
  <c r="I281" i="6"/>
  <c r="G281" i="6"/>
  <c r="F281" i="6"/>
  <c r="I280" i="6"/>
  <c r="G280" i="6"/>
  <c r="F280" i="6"/>
  <c r="I279" i="6"/>
  <c r="F279" i="6"/>
  <c r="I277" i="6"/>
  <c r="K277" i="6" s="1"/>
  <c r="L277" i="6" s="1"/>
  <c r="M277" i="6" s="1"/>
  <c r="H277" i="6"/>
  <c r="F276" i="6"/>
  <c r="G275" i="6"/>
  <c r="H275" i="6" s="1"/>
  <c r="C274" i="6"/>
  <c r="J273" i="6"/>
  <c r="K273" i="6" s="1"/>
  <c r="C271" i="6"/>
  <c r="L269" i="6"/>
  <c r="M269" i="6" s="1"/>
  <c r="K269" i="6"/>
  <c r="H269" i="6"/>
  <c r="G267" i="6"/>
  <c r="H267" i="6" s="1"/>
  <c r="F263" i="6"/>
  <c r="G263" i="6" s="1"/>
  <c r="H263" i="6" s="1"/>
  <c r="C262" i="6"/>
  <c r="J260" i="6"/>
  <c r="H260" i="6"/>
  <c r="L259" i="6"/>
  <c r="M259" i="6" s="1"/>
  <c r="J258" i="6"/>
  <c r="G257" i="6"/>
  <c r="H257" i="6" s="1"/>
  <c r="K256" i="6"/>
  <c r="J256" i="6"/>
  <c r="H256" i="6"/>
  <c r="E250" i="6"/>
  <c r="E249" i="6"/>
  <c r="J270" i="6" s="1"/>
  <c r="K270" i="6" s="1"/>
  <c r="E248" i="6"/>
  <c r="E247" i="6"/>
  <c r="K246" i="6"/>
  <c r="E246" i="6"/>
  <c r="F268" i="6" s="1"/>
  <c r="H268" i="6" s="1"/>
  <c r="C242" i="6"/>
  <c r="L231" i="6"/>
  <c r="J227" i="6"/>
  <c r="K227" i="6" s="1"/>
  <c r="I227" i="6"/>
  <c r="I226" i="6"/>
  <c r="I225" i="6"/>
  <c r="F225" i="6"/>
  <c r="I224" i="6"/>
  <c r="G224" i="6"/>
  <c r="F224" i="6"/>
  <c r="I223" i="6"/>
  <c r="F223" i="6"/>
  <c r="I221" i="6"/>
  <c r="K221" i="6" s="1"/>
  <c r="L221" i="6" s="1"/>
  <c r="M221" i="6" s="1"/>
  <c r="H221" i="6"/>
  <c r="G220" i="6"/>
  <c r="H220" i="6" s="1"/>
  <c r="F220" i="6"/>
  <c r="G219" i="6"/>
  <c r="H219" i="6" s="1"/>
  <c r="C218" i="6"/>
  <c r="H217" i="6"/>
  <c r="G216" i="6"/>
  <c r="H216" i="6" s="1"/>
  <c r="C215" i="6"/>
  <c r="L213" i="6"/>
  <c r="M213" i="6" s="1"/>
  <c r="K213" i="6"/>
  <c r="H213" i="6"/>
  <c r="G211" i="6"/>
  <c r="H211" i="6" s="1"/>
  <c r="J209" i="6"/>
  <c r="K209" i="6" s="1"/>
  <c r="F207" i="6"/>
  <c r="G207" i="6" s="1"/>
  <c r="H207" i="6" s="1"/>
  <c r="C206" i="6"/>
  <c r="J204" i="6"/>
  <c r="H204" i="6"/>
  <c r="L203" i="6"/>
  <c r="M203" i="6" s="1"/>
  <c r="J202" i="6"/>
  <c r="G201" i="6"/>
  <c r="H201" i="6" s="1"/>
  <c r="K200" i="6"/>
  <c r="J200" i="6"/>
  <c r="H200" i="6"/>
  <c r="E195" i="6"/>
  <c r="E194" i="6"/>
  <c r="E193" i="6"/>
  <c r="G217" i="6" s="1"/>
  <c r="E192" i="6"/>
  <c r="J224" i="6" s="1"/>
  <c r="K224" i="6" s="1"/>
  <c r="E191" i="6"/>
  <c r="K190" i="6"/>
  <c r="E190" i="6"/>
  <c r="F212" i="6" s="1"/>
  <c r="H212" i="6" s="1"/>
  <c r="C176" i="6"/>
  <c r="J171" i="6"/>
  <c r="I171" i="6"/>
  <c r="J170" i="6"/>
  <c r="I170" i="6"/>
  <c r="J169" i="6"/>
  <c r="I169" i="6"/>
  <c r="F169" i="6"/>
  <c r="I168" i="6"/>
  <c r="G168" i="6"/>
  <c r="F168" i="6"/>
  <c r="J167" i="6"/>
  <c r="I167" i="6"/>
  <c r="F167" i="6"/>
  <c r="I165" i="6"/>
  <c r="K165" i="6" s="1"/>
  <c r="L165" i="6" s="1"/>
  <c r="M165" i="6" s="1"/>
  <c r="H165" i="6"/>
  <c r="G164" i="6"/>
  <c r="H164" i="6" s="1"/>
  <c r="F164" i="6"/>
  <c r="G163" i="6"/>
  <c r="H163" i="6" s="1"/>
  <c r="C162" i="6"/>
  <c r="J160" i="6"/>
  <c r="K160" i="6" s="1"/>
  <c r="C159" i="6"/>
  <c r="K157" i="6"/>
  <c r="H157" i="6"/>
  <c r="L157" i="6" s="1"/>
  <c r="M157" i="6" s="1"/>
  <c r="J155" i="6"/>
  <c r="K155" i="6" s="1"/>
  <c r="G153" i="6"/>
  <c r="H153" i="6" s="1"/>
  <c r="C150" i="6"/>
  <c r="J148" i="6"/>
  <c r="H148" i="6"/>
  <c r="L147" i="6"/>
  <c r="M147" i="6" s="1"/>
  <c r="J145" i="6"/>
  <c r="K145" i="6" s="1"/>
  <c r="K144" i="6"/>
  <c r="J144" i="6"/>
  <c r="H144" i="6"/>
  <c r="E138" i="6"/>
  <c r="E137" i="6"/>
  <c r="E136" i="6"/>
  <c r="G171" i="6" s="1"/>
  <c r="H171" i="6" s="1"/>
  <c r="E135" i="6"/>
  <c r="K134" i="6"/>
  <c r="E134" i="6"/>
  <c r="C120" i="6"/>
  <c r="J115" i="6"/>
  <c r="I115" i="6"/>
  <c r="J114" i="6"/>
  <c r="I114" i="6"/>
  <c r="J113" i="6"/>
  <c r="I113" i="6"/>
  <c r="F113" i="6"/>
  <c r="I112" i="6"/>
  <c r="G112" i="6"/>
  <c r="F112" i="6"/>
  <c r="J111" i="6"/>
  <c r="I111" i="6"/>
  <c r="F111" i="6"/>
  <c r="I109" i="6"/>
  <c r="K109" i="6" s="1"/>
  <c r="L109" i="6" s="1"/>
  <c r="M109" i="6" s="1"/>
  <c r="H109" i="6"/>
  <c r="G108" i="6"/>
  <c r="H108" i="6" s="1"/>
  <c r="F108" i="6"/>
  <c r="G107" i="6"/>
  <c r="H107" i="6" s="1"/>
  <c r="C106" i="6"/>
  <c r="G104" i="6"/>
  <c r="H104" i="6" s="1"/>
  <c r="C103" i="6"/>
  <c r="L101" i="6"/>
  <c r="M101" i="6" s="1"/>
  <c r="K101" i="6"/>
  <c r="H101" i="6"/>
  <c r="G99" i="6"/>
  <c r="H99" i="6" s="1"/>
  <c r="J97" i="6"/>
  <c r="K97" i="6" s="1"/>
  <c r="C94" i="6"/>
  <c r="J92" i="6"/>
  <c r="H92" i="6"/>
  <c r="L91" i="6"/>
  <c r="M91" i="6" s="1"/>
  <c r="J90" i="6"/>
  <c r="G89" i="6"/>
  <c r="H89" i="6" s="1"/>
  <c r="K88" i="6"/>
  <c r="J88" i="6"/>
  <c r="H88" i="6"/>
  <c r="E83" i="6"/>
  <c r="E82" i="6"/>
  <c r="E81" i="6"/>
  <c r="G105" i="6" s="1"/>
  <c r="H105" i="6" s="1"/>
  <c r="E80" i="6"/>
  <c r="J112" i="6" s="1"/>
  <c r="E79" i="6"/>
  <c r="K78" i="6"/>
  <c r="E78" i="6"/>
  <c r="F100" i="6" s="1"/>
  <c r="H100" i="6" s="1"/>
  <c r="D74" i="6"/>
  <c r="B74" i="6"/>
  <c r="D73" i="6"/>
  <c r="B73" i="6"/>
  <c r="D72" i="6"/>
  <c r="B72" i="6"/>
  <c r="D71" i="6"/>
  <c r="B71" i="6"/>
  <c r="D70" i="6"/>
  <c r="B70" i="6"/>
  <c r="D69" i="6"/>
  <c r="B69" i="6"/>
  <c r="D68" i="6"/>
  <c r="B68" i="6"/>
  <c r="D67" i="6"/>
  <c r="B67" i="6"/>
  <c r="D66" i="6"/>
  <c r="B66" i="6"/>
  <c r="D65" i="6"/>
  <c r="B65" i="6"/>
  <c r="D64" i="6"/>
  <c r="B64" i="6"/>
  <c r="D63" i="6"/>
  <c r="B63" i="6"/>
  <c r="D62" i="6"/>
  <c r="B62" i="6"/>
  <c r="D61" i="6"/>
  <c r="B61" i="6"/>
  <c r="D60" i="6"/>
  <c r="B60" i="6"/>
  <c r="D59" i="6"/>
  <c r="B59" i="6"/>
  <c r="D58" i="6"/>
  <c r="B58" i="6"/>
  <c r="D57" i="6"/>
  <c r="B57" i="6"/>
  <c r="D56" i="6"/>
  <c r="B56" i="6"/>
  <c r="D55" i="6"/>
  <c r="B55" i="6"/>
  <c r="J49" i="6"/>
  <c r="G49" i="6"/>
  <c r="G74" i="6" s="1"/>
  <c r="N74" i="6" s="1"/>
  <c r="C49" i="6"/>
  <c r="J48" i="6"/>
  <c r="G48" i="6"/>
  <c r="G73" i="6" s="1"/>
  <c r="C48" i="6"/>
  <c r="J47" i="6"/>
  <c r="E1035" i="6" s="1"/>
  <c r="G47" i="6"/>
  <c r="G72" i="6" s="1"/>
  <c r="C47" i="6"/>
  <c r="J46" i="6"/>
  <c r="E979" i="6" s="1"/>
  <c r="G46" i="6"/>
  <c r="G71" i="6" s="1"/>
  <c r="C46" i="6"/>
  <c r="J45" i="6"/>
  <c r="E923" i="6" s="1"/>
  <c r="G45" i="6"/>
  <c r="G70" i="6" s="1"/>
  <c r="C45" i="6"/>
  <c r="J44" i="6"/>
  <c r="E867" i="6" s="1"/>
  <c r="G44" i="6"/>
  <c r="G69" i="6" s="1"/>
  <c r="C44" i="6"/>
  <c r="J43" i="6"/>
  <c r="E811" i="6" s="1"/>
  <c r="G43" i="6"/>
  <c r="G68" i="6" s="1"/>
  <c r="C43" i="6"/>
  <c r="J42" i="6"/>
  <c r="E755" i="6" s="1"/>
  <c r="G42" i="6"/>
  <c r="G67" i="6" s="1"/>
  <c r="C42" i="6"/>
  <c r="J41" i="6"/>
  <c r="E699" i="6" s="1"/>
  <c r="G41" i="6"/>
  <c r="G66" i="6" s="1"/>
  <c r="C41" i="6"/>
  <c r="J40" i="6"/>
  <c r="E643" i="6" s="1"/>
  <c r="J667" i="6" s="1"/>
  <c r="K667" i="6" s="1"/>
  <c r="G40" i="6"/>
  <c r="G65" i="6" s="1"/>
  <c r="C40" i="6"/>
  <c r="J39" i="6"/>
  <c r="G39" i="6"/>
  <c r="G64" i="6" s="1"/>
  <c r="C39" i="6"/>
  <c r="J38" i="6"/>
  <c r="E531" i="6" s="1"/>
  <c r="G38" i="6"/>
  <c r="G63" i="6" s="1"/>
  <c r="C38" i="6"/>
  <c r="J37" i="6"/>
  <c r="E475" i="6" s="1"/>
  <c r="G37" i="6"/>
  <c r="G62" i="6" s="1"/>
  <c r="C37" i="6"/>
  <c r="J36" i="6"/>
  <c r="E419" i="6" s="1"/>
  <c r="J448" i="6" s="1"/>
  <c r="G36" i="6"/>
  <c r="G61" i="6" s="1"/>
  <c r="J35" i="6"/>
  <c r="E363" i="6" s="1"/>
  <c r="G35" i="6"/>
  <c r="G60" i="6" s="1"/>
  <c r="J34" i="6"/>
  <c r="G34" i="6"/>
  <c r="G59" i="6" s="1"/>
  <c r="J33" i="6"/>
  <c r="E251" i="6" s="1"/>
  <c r="G33" i="6"/>
  <c r="G58" i="6" s="1"/>
  <c r="J32" i="6"/>
  <c r="G32" i="6"/>
  <c r="G57" i="6" s="1"/>
  <c r="J31" i="6"/>
  <c r="E139" i="6" s="1"/>
  <c r="J164" i="6" s="1"/>
  <c r="K164" i="6" s="1"/>
  <c r="L164" i="6" s="1"/>
  <c r="M164" i="6" s="1"/>
  <c r="G31" i="6"/>
  <c r="G56" i="6" s="1"/>
  <c r="J30" i="6"/>
  <c r="G30" i="6"/>
  <c r="G55" i="6" s="1"/>
  <c r="L68" i="8" l="1"/>
  <c r="M68" i="8" s="1"/>
  <c r="K448" i="6"/>
  <c r="H559" i="6"/>
  <c r="H673" i="6"/>
  <c r="K112" i="5"/>
  <c r="F655" i="5"/>
  <c r="G655" i="5" s="1"/>
  <c r="H655" i="5" s="1"/>
  <c r="L701" i="8"/>
  <c r="M701" i="8" s="1"/>
  <c r="L925" i="8"/>
  <c r="M925" i="8" s="1"/>
  <c r="L477" i="8"/>
  <c r="M477" i="8" s="1"/>
  <c r="L684" i="8"/>
  <c r="M684" i="8" s="1"/>
  <c r="K167" i="6"/>
  <c r="H391" i="5"/>
  <c r="L813" i="8"/>
  <c r="M813" i="8" s="1"/>
  <c r="L124" i="8"/>
  <c r="M124" i="8" s="1"/>
  <c r="L142" i="8"/>
  <c r="M142" i="8" s="1"/>
  <c r="L180" i="8"/>
  <c r="M180" i="8" s="1"/>
  <c r="K727" i="6"/>
  <c r="K728" i="6"/>
  <c r="L728" i="6" s="1"/>
  <c r="M728" i="6" s="1"/>
  <c r="L869" i="8"/>
  <c r="M869" i="8" s="1"/>
  <c r="F151" i="6"/>
  <c r="G151" i="6" s="1"/>
  <c r="H151" i="6" s="1"/>
  <c r="F543" i="6"/>
  <c r="G543" i="6" s="1"/>
  <c r="H543" i="6" s="1"/>
  <c r="H895" i="6"/>
  <c r="H953" i="5"/>
  <c r="L476" i="8"/>
  <c r="M476" i="8" s="1"/>
  <c r="H356" i="8"/>
  <c r="H359" i="8" s="1"/>
  <c r="H370" i="8" s="1"/>
  <c r="L521" i="8"/>
  <c r="M521" i="8" s="1"/>
  <c r="L197" i="8"/>
  <c r="M197" i="8" s="1"/>
  <c r="L308" i="8"/>
  <c r="M308" i="8" s="1"/>
  <c r="H616" i="5"/>
  <c r="L870" i="8"/>
  <c r="M870" i="8" s="1"/>
  <c r="L796" i="8"/>
  <c r="M796" i="8" s="1"/>
  <c r="L740" i="8"/>
  <c r="M740" i="8" s="1"/>
  <c r="L460" i="8"/>
  <c r="M460" i="8" s="1"/>
  <c r="L86" i="8"/>
  <c r="M86" i="8" s="1"/>
  <c r="H503" i="6"/>
  <c r="F375" i="5"/>
  <c r="G375" i="5" s="1"/>
  <c r="H375" i="5" s="1"/>
  <c r="F487" i="5"/>
  <c r="G487" i="5" s="1"/>
  <c r="H487" i="5" s="1"/>
  <c r="F543" i="5"/>
  <c r="G543" i="5" s="1"/>
  <c r="H543" i="5" s="1"/>
  <c r="H1064" i="5"/>
  <c r="L981" i="8"/>
  <c r="M981" i="8" s="1"/>
  <c r="L516" i="8"/>
  <c r="M516" i="8" s="1"/>
  <c r="L758" i="8"/>
  <c r="M758" i="8" s="1"/>
  <c r="L421" i="8"/>
  <c r="M421" i="8" s="1"/>
  <c r="L84" i="8"/>
  <c r="M84" i="8" s="1"/>
  <c r="L911" i="8"/>
  <c r="M911" i="8" s="1"/>
  <c r="H863" i="8"/>
  <c r="H874" i="8" s="1"/>
  <c r="H191" i="8"/>
  <c r="H207" i="8" s="1"/>
  <c r="H972" i="8"/>
  <c r="H415" i="8"/>
  <c r="H431" i="8" s="1"/>
  <c r="H524" i="8"/>
  <c r="H300" i="8"/>
  <c r="M291" i="8"/>
  <c r="H132" i="8"/>
  <c r="H1031" i="8"/>
  <c r="H1042" i="8" s="1"/>
  <c r="L920" i="8"/>
  <c r="M920" i="8" s="1"/>
  <c r="L256" i="8"/>
  <c r="M256" i="8" s="1"/>
  <c r="L143" i="8"/>
  <c r="M143" i="8" s="1"/>
  <c r="L566" i="8"/>
  <c r="M566" i="8" s="1"/>
  <c r="K571" i="8"/>
  <c r="L198" i="8"/>
  <c r="M198" i="8" s="1"/>
  <c r="L136" i="8"/>
  <c r="M136" i="8" s="1"/>
  <c r="L85" i="8"/>
  <c r="M85" i="8" s="1"/>
  <c r="K132" i="8"/>
  <c r="L123" i="8"/>
  <c r="M123" i="8" s="1"/>
  <c r="K468" i="8"/>
  <c r="L122" i="8"/>
  <c r="M122" i="8" s="1"/>
  <c r="H112" i="6"/>
  <c r="K113" i="6"/>
  <c r="L113" i="6" s="1"/>
  <c r="M113" i="6" s="1"/>
  <c r="H281" i="6"/>
  <c r="H391" i="6"/>
  <c r="L391" i="6" s="1"/>
  <c r="M391" i="6" s="1"/>
  <c r="K392" i="6"/>
  <c r="K559" i="6"/>
  <c r="H617" i="6"/>
  <c r="K671" i="6"/>
  <c r="L884" i="6"/>
  <c r="M884" i="6" s="1"/>
  <c r="H336" i="5"/>
  <c r="L976" i="8"/>
  <c r="M976" i="8" s="1"/>
  <c r="H916" i="8"/>
  <c r="L927" i="8"/>
  <c r="M927" i="8" s="1"/>
  <c r="L921" i="8"/>
  <c r="M921" i="8" s="1"/>
  <c r="L757" i="8"/>
  <c r="M757" i="8" s="1"/>
  <c r="L647" i="8"/>
  <c r="M647" i="8" s="1"/>
  <c r="L535" i="8"/>
  <c r="M535" i="8" s="1"/>
  <c r="L852" i="8"/>
  <c r="M852" i="8" s="1"/>
  <c r="K748" i="8"/>
  <c r="L739" i="8"/>
  <c r="L311" i="8"/>
  <c r="M311" i="8" s="1"/>
  <c r="L423" i="8"/>
  <c r="M423" i="8" s="1"/>
  <c r="L292" i="8"/>
  <c r="M292" i="8" s="1"/>
  <c r="K683" i="8"/>
  <c r="L88" i="8"/>
  <c r="M88" i="8" s="1"/>
  <c r="L756" i="8"/>
  <c r="M756" i="8" s="1"/>
  <c r="L199" i="8"/>
  <c r="M199" i="8" s="1"/>
  <c r="L77" i="8"/>
  <c r="M77" i="8" s="1"/>
  <c r="F95" i="6"/>
  <c r="G95" i="6" s="1"/>
  <c r="H95" i="6" s="1"/>
  <c r="K112" i="6"/>
  <c r="K111" i="6"/>
  <c r="L111" i="6" s="1"/>
  <c r="M111" i="6" s="1"/>
  <c r="K447" i="6"/>
  <c r="L447" i="6" s="1"/>
  <c r="M447" i="6" s="1"/>
  <c r="K503" i="6"/>
  <c r="K505" i="6"/>
  <c r="F655" i="6"/>
  <c r="G655" i="6" s="1"/>
  <c r="H655" i="6" s="1"/>
  <c r="H672" i="6"/>
  <c r="K729" i="6"/>
  <c r="L828" i="6"/>
  <c r="M828" i="6" s="1"/>
  <c r="L980" i="8"/>
  <c r="M980" i="8" s="1"/>
  <c r="L1036" i="8"/>
  <c r="M1036" i="8" s="1"/>
  <c r="L868" i="8"/>
  <c r="M868" i="8" s="1"/>
  <c r="L853" i="8"/>
  <c r="M853" i="8" s="1"/>
  <c r="K963" i="8"/>
  <c r="L750" i="8"/>
  <c r="M750" i="8" s="1"/>
  <c r="L734" i="8"/>
  <c r="M734" i="8" s="1"/>
  <c r="L703" i="8"/>
  <c r="M703" i="8" s="1"/>
  <c r="L693" i="8"/>
  <c r="M693" i="8" s="1"/>
  <c r="H804" i="8"/>
  <c r="L928" i="8"/>
  <c r="M928" i="8" s="1"/>
  <c r="L741" i="8"/>
  <c r="M741" i="8" s="1"/>
  <c r="L760" i="8"/>
  <c r="M760" i="8" s="1"/>
  <c r="L592" i="8"/>
  <c r="M592" i="8" s="1"/>
  <c r="L411" i="8"/>
  <c r="M411" i="8" s="1"/>
  <c r="K627" i="8"/>
  <c r="K300" i="8"/>
  <c r="L291" i="8"/>
  <c r="L301" i="8"/>
  <c r="M301" i="8" s="1"/>
  <c r="L299" i="8"/>
  <c r="M299" i="8" s="1"/>
  <c r="L424" i="8"/>
  <c r="M424" i="8" s="1"/>
  <c r="L305" i="8"/>
  <c r="M305" i="8" s="1"/>
  <c r="L255" i="8"/>
  <c r="M255" i="8" s="1"/>
  <c r="L253" i="8"/>
  <c r="M253" i="8" s="1"/>
  <c r="L144" i="8"/>
  <c r="M144" i="8" s="1"/>
  <c r="L640" i="8"/>
  <c r="M640" i="8" s="1"/>
  <c r="L405" i="8"/>
  <c r="M405" i="8" s="1"/>
  <c r="L249" i="8"/>
  <c r="M249" i="8" s="1"/>
  <c r="K179" i="8"/>
  <c r="L192" i="8"/>
  <c r="M192" i="8" s="1"/>
  <c r="L137" i="8"/>
  <c r="M137" i="8" s="1"/>
  <c r="L1039" i="8"/>
  <c r="M1039" i="8" s="1"/>
  <c r="L816" i="8"/>
  <c r="M816" i="8" s="1"/>
  <c r="K347" i="8"/>
  <c r="L230" i="8"/>
  <c r="M230" i="8" s="1"/>
  <c r="L81" i="8"/>
  <c r="M81" i="8" s="1"/>
  <c r="L528" i="8"/>
  <c r="M528" i="8" s="1"/>
  <c r="K67" i="8"/>
  <c r="L324" i="5"/>
  <c r="M324" i="5" s="1"/>
  <c r="L983" i="8"/>
  <c r="M983" i="8" s="1"/>
  <c r="L1040" i="8"/>
  <c r="M1040" i="8" s="1"/>
  <c r="L864" i="8"/>
  <c r="M864" i="8" s="1"/>
  <c r="L808" i="8"/>
  <c r="M808" i="8" s="1"/>
  <c r="H879" i="8"/>
  <c r="L851" i="8"/>
  <c r="M851" i="8" s="1"/>
  <c r="K860" i="8"/>
  <c r="L795" i="8"/>
  <c r="M795" i="8" s="1"/>
  <c r="K804" i="8"/>
  <c r="L704" i="8"/>
  <c r="M704" i="8" s="1"/>
  <c r="H692" i="8"/>
  <c r="H636" i="8"/>
  <c r="L648" i="8"/>
  <c r="M648" i="8" s="1"/>
  <c r="L536" i="8"/>
  <c r="M536" i="8" s="1"/>
  <c r="L360" i="8"/>
  <c r="M360" i="8" s="1"/>
  <c r="H76" i="8"/>
  <c r="L69" i="8"/>
  <c r="M69" i="8" s="1"/>
  <c r="L324" i="6"/>
  <c r="M324" i="6" s="1"/>
  <c r="H504" i="6"/>
  <c r="L504" i="6" s="1"/>
  <c r="M504" i="6" s="1"/>
  <c r="H839" i="6"/>
  <c r="K1019" i="8"/>
  <c r="L1032" i="8"/>
  <c r="M1032" i="8" s="1"/>
  <c r="H748" i="8"/>
  <c r="M739" i="8"/>
  <c r="L742" i="8"/>
  <c r="M742" i="8" s="1"/>
  <c r="H580" i="8"/>
  <c r="L871" i="8"/>
  <c r="M871" i="8" s="1"/>
  <c r="L579" i="8"/>
  <c r="M579" i="8" s="1"/>
  <c r="L574" i="8"/>
  <c r="M574" i="8" s="1"/>
  <c r="K403" i="8"/>
  <c r="L814" i="8"/>
  <c r="M814" i="8" s="1"/>
  <c r="L697" i="8"/>
  <c r="M697" i="8" s="1"/>
  <c r="H168" i="6"/>
  <c r="K169" i="6"/>
  <c r="H224" i="6"/>
  <c r="L224" i="6" s="1"/>
  <c r="M224" i="6" s="1"/>
  <c r="H280" i="6"/>
  <c r="F319" i="6"/>
  <c r="G319" i="6" s="1"/>
  <c r="H319" i="6" s="1"/>
  <c r="K335" i="6"/>
  <c r="H727" i="6"/>
  <c r="L727" i="6" s="1"/>
  <c r="M727" i="6" s="1"/>
  <c r="H728" i="6"/>
  <c r="H952" i="6"/>
  <c r="L996" i="6"/>
  <c r="M996" i="6" s="1"/>
  <c r="H505" i="5"/>
  <c r="H672" i="5"/>
  <c r="L672" i="5" s="1"/>
  <c r="M672" i="5" s="1"/>
  <c r="L984" i="8"/>
  <c r="M984" i="8" s="1"/>
  <c r="L964" i="8"/>
  <c r="M964" i="8" s="1"/>
  <c r="L977" i="8"/>
  <c r="M977" i="8" s="1"/>
  <c r="L1038" i="8"/>
  <c r="M1038" i="8" s="1"/>
  <c r="L1033" i="8"/>
  <c r="M1033" i="8" s="1"/>
  <c r="L1037" i="8"/>
  <c r="M1037" i="8" s="1"/>
  <c r="L865" i="8"/>
  <c r="M865" i="8" s="1"/>
  <c r="L696" i="8"/>
  <c r="M696" i="8" s="1"/>
  <c r="L628" i="8"/>
  <c r="M628" i="8" s="1"/>
  <c r="L685" i="8"/>
  <c r="M685" i="8" s="1"/>
  <c r="L686" i="8"/>
  <c r="M686" i="8" s="1"/>
  <c r="L924" i="8"/>
  <c r="M924" i="8" s="1"/>
  <c r="L752" i="8"/>
  <c r="M752" i="8" s="1"/>
  <c r="L759" i="8"/>
  <c r="M759" i="8" s="1"/>
  <c r="L646" i="8"/>
  <c r="M646" i="8" s="1"/>
  <c r="L534" i="8"/>
  <c r="M534" i="8" s="1"/>
  <c r="K907" i="8"/>
  <c r="L479" i="8"/>
  <c r="M479" i="8" s="1"/>
  <c r="L472" i="8"/>
  <c r="M472" i="8" s="1"/>
  <c r="L591" i="8"/>
  <c r="M591" i="8" s="1"/>
  <c r="L589" i="8"/>
  <c r="M589" i="8" s="1"/>
  <c r="H459" i="8"/>
  <c r="K515" i="8"/>
  <c r="L294" i="8"/>
  <c r="M294" i="8" s="1"/>
  <c r="L293" i="8"/>
  <c r="M293" i="8" s="1"/>
  <c r="H244" i="8"/>
  <c r="L286" i="8"/>
  <c r="M286" i="8" s="1"/>
  <c r="L304" i="8"/>
  <c r="M304" i="8" s="1"/>
  <c r="L872" i="8"/>
  <c r="M872" i="8" s="1"/>
  <c r="L678" i="8"/>
  <c r="M678" i="8" s="1"/>
  <c r="L581" i="8"/>
  <c r="M581" i="8" s="1"/>
  <c r="L570" i="8"/>
  <c r="M570" i="8" s="1"/>
  <c r="L577" i="8"/>
  <c r="M577" i="8" s="1"/>
  <c r="L131" i="8"/>
  <c r="M131" i="8" s="1"/>
  <c r="L364" i="8"/>
  <c r="M364" i="8" s="1"/>
  <c r="L749" i="8"/>
  <c r="M749" i="8" s="1"/>
  <c r="L416" i="8"/>
  <c r="M416" i="8" s="1"/>
  <c r="L196" i="8"/>
  <c r="M196" i="8" s="1"/>
  <c r="L200" i="8"/>
  <c r="M200" i="8" s="1"/>
  <c r="L141" i="8"/>
  <c r="M141" i="8" s="1"/>
  <c r="L87" i="8"/>
  <c r="M87" i="8" s="1"/>
  <c r="L815" i="8"/>
  <c r="M815" i="8" s="1"/>
  <c r="L75" i="8"/>
  <c r="M75" i="8" s="1"/>
  <c r="K235" i="8"/>
  <c r="L80" i="8"/>
  <c r="M80" i="8" s="1"/>
  <c r="L73" i="6"/>
  <c r="M73" i="6"/>
  <c r="I73" i="6"/>
  <c r="K731" i="6"/>
  <c r="K674" i="6"/>
  <c r="L675" i="6"/>
  <c r="M675" i="6" s="1"/>
  <c r="K506" i="6"/>
  <c r="K507" i="6"/>
  <c r="L1053" i="5"/>
  <c r="M1053" i="5" s="1"/>
  <c r="L671" i="5"/>
  <c r="M671" i="5" s="1"/>
  <c r="L1001" i="6"/>
  <c r="M1001" i="6" s="1"/>
  <c r="L945" i="5"/>
  <c r="M945" i="5" s="1"/>
  <c r="K170" i="6"/>
  <c r="K171" i="6"/>
  <c r="K115" i="6"/>
  <c r="K114" i="6"/>
  <c r="L440" i="5"/>
  <c r="M440" i="5" s="1"/>
  <c r="L325" i="5"/>
  <c r="M325" i="5" s="1"/>
  <c r="A95" i="5"/>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L74" i="5"/>
  <c r="H74" i="5"/>
  <c r="M74" i="5"/>
  <c r="K74" i="5"/>
  <c r="O74" i="5"/>
  <c r="J74" i="5"/>
  <c r="N74" i="5"/>
  <c r="I74" i="5"/>
  <c r="J500" i="5"/>
  <c r="K500" i="5" s="1"/>
  <c r="L500" i="5" s="1"/>
  <c r="M500" i="5" s="1"/>
  <c r="J499" i="5"/>
  <c r="K499" i="5" s="1"/>
  <c r="J724" i="5"/>
  <c r="K724" i="5" s="1"/>
  <c r="J720" i="5"/>
  <c r="K720" i="5" s="1"/>
  <c r="L720" i="5" s="1"/>
  <c r="M720" i="5" s="1"/>
  <c r="L954" i="5"/>
  <c r="M954" i="5" s="1"/>
  <c r="O73" i="5"/>
  <c r="K73" i="5"/>
  <c r="I73" i="5"/>
  <c r="N73" i="5"/>
  <c r="L88" i="5"/>
  <c r="M88" i="5" s="1"/>
  <c r="J280" i="5"/>
  <c r="K280" i="5" s="1"/>
  <c r="J448" i="5"/>
  <c r="K448" i="5" s="1"/>
  <c r="G447" i="5"/>
  <c r="H447" i="5" s="1"/>
  <c r="G451" i="5"/>
  <c r="H451" i="5" s="1"/>
  <c r="J450" i="5"/>
  <c r="K450" i="5" s="1"/>
  <c r="G443" i="5"/>
  <c r="H443" i="5" s="1"/>
  <c r="J434" i="5"/>
  <c r="K434" i="5" s="1"/>
  <c r="G449" i="5"/>
  <c r="H449" i="5" s="1"/>
  <c r="J447" i="5"/>
  <c r="K447" i="5" s="1"/>
  <c r="L447" i="5" s="1"/>
  <c r="M447" i="5" s="1"/>
  <c r="J443" i="5"/>
  <c r="K443" i="5" s="1"/>
  <c r="G434" i="5"/>
  <c r="H434" i="5" s="1"/>
  <c r="J431" i="5"/>
  <c r="K431" i="5" s="1"/>
  <c r="L431" i="5" s="1"/>
  <c r="M431" i="5" s="1"/>
  <c r="G450" i="5"/>
  <c r="H450" i="5" s="1"/>
  <c r="G448" i="5"/>
  <c r="H448" i="5" s="1"/>
  <c r="G444" i="5"/>
  <c r="H444" i="5" s="1"/>
  <c r="J451" i="5"/>
  <c r="K451" i="5" s="1"/>
  <c r="J449" i="5"/>
  <c r="K449" i="5" s="1"/>
  <c r="L449" i="5" s="1"/>
  <c r="M449" i="5" s="1"/>
  <c r="J444" i="5"/>
  <c r="K444" i="5" s="1"/>
  <c r="L444" i="5" s="1"/>
  <c r="M444" i="5" s="1"/>
  <c r="F431" i="5"/>
  <c r="G431" i="5" s="1"/>
  <c r="H431" i="5" s="1"/>
  <c r="J487" i="5"/>
  <c r="K487" i="5" s="1"/>
  <c r="L487" i="5" s="1"/>
  <c r="M487" i="5" s="1"/>
  <c r="J612" i="5"/>
  <c r="K612" i="5" s="1"/>
  <c r="L612" i="5" s="1"/>
  <c r="M612" i="5" s="1"/>
  <c r="J608" i="5"/>
  <c r="K608" i="5" s="1"/>
  <c r="J836" i="5"/>
  <c r="K836" i="5" s="1"/>
  <c r="J835" i="5"/>
  <c r="K835" i="5" s="1"/>
  <c r="J840" i="5"/>
  <c r="K840" i="5" s="1"/>
  <c r="J839" i="5"/>
  <c r="K839" i="5" s="1"/>
  <c r="J1067" i="5"/>
  <c r="K1067" i="5" s="1"/>
  <c r="J1059" i="5"/>
  <c r="K1059" i="5" s="1"/>
  <c r="J1060" i="5"/>
  <c r="K1060" i="5" s="1"/>
  <c r="L1060" i="5" s="1"/>
  <c r="M1060" i="5" s="1"/>
  <c r="J1063" i="5"/>
  <c r="K1063" i="5" s="1"/>
  <c r="J1065" i="5"/>
  <c r="K1065" i="5" s="1"/>
  <c r="J1066" i="5"/>
  <c r="K1066" i="5" s="1"/>
  <c r="J555" i="5"/>
  <c r="K555" i="5" s="1"/>
  <c r="J556" i="5"/>
  <c r="K556" i="5" s="1"/>
  <c r="L556" i="5" s="1"/>
  <c r="M556" i="5" s="1"/>
  <c r="J552" i="5"/>
  <c r="K552" i="5" s="1"/>
  <c r="J1007" i="5"/>
  <c r="K1007" i="5" s="1"/>
  <c r="J1004" i="5"/>
  <c r="K1004" i="5" s="1"/>
  <c r="J1003" i="5"/>
  <c r="K1003" i="5" s="1"/>
  <c r="J1010" i="5"/>
  <c r="K1010" i="5" s="1"/>
  <c r="J1011" i="5"/>
  <c r="K1011" i="5" s="1"/>
  <c r="J73" i="5"/>
  <c r="J108" i="5"/>
  <c r="K108" i="5" s="1"/>
  <c r="G163" i="5"/>
  <c r="H163" i="5" s="1"/>
  <c r="L73" i="5"/>
  <c r="H94" i="5"/>
  <c r="L93" i="5"/>
  <c r="M93" i="5" s="1"/>
  <c r="J168" i="5"/>
  <c r="K168" i="5" s="1"/>
  <c r="G167" i="5"/>
  <c r="H167" i="5" s="1"/>
  <c r="J154" i="5"/>
  <c r="K154" i="5" s="1"/>
  <c r="L154" i="5" s="1"/>
  <c r="M154" i="5" s="1"/>
  <c r="J167" i="5"/>
  <c r="K167" i="5" s="1"/>
  <c r="J164" i="5"/>
  <c r="K164" i="5" s="1"/>
  <c r="J163" i="5"/>
  <c r="K163" i="5" s="1"/>
  <c r="F151" i="5"/>
  <c r="G151" i="5" s="1"/>
  <c r="H151" i="5" s="1"/>
  <c r="J170" i="5"/>
  <c r="K170" i="5" s="1"/>
  <c r="G164" i="5"/>
  <c r="H164" i="5" s="1"/>
  <c r="G160" i="5"/>
  <c r="H160" i="5" s="1"/>
  <c r="J152" i="5"/>
  <c r="K152" i="5" s="1"/>
  <c r="J151" i="5"/>
  <c r="K151" i="5" s="1"/>
  <c r="L151" i="5" s="1"/>
  <c r="M151" i="5" s="1"/>
  <c r="G149" i="5"/>
  <c r="H149" i="5" s="1"/>
  <c r="J146" i="5"/>
  <c r="G145" i="5"/>
  <c r="H145" i="5" s="1"/>
  <c r="H150" i="5" s="1"/>
  <c r="G170" i="5"/>
  <c r="H170" i="5" s="1"/>
  <c r="J158" i="5"/>
  <c r="K158" i="5" s="1"/>
  <c r="G154" i="5"/>
  <c r="H154" i="5" s="1"/>
  <c r="J171" i="5"/>
  <c r="K171" i="5" s="1"/>
  <c r="G169" i="5"/>
  <c r="H169" i="5" s="1"/>
  <c r="J161" i="5"/>
  <c r="K161" i="5" s="1"/>
  <c r="G155" i="5"/>
  <c r="H155" i="5" s="1"/>
  <c r="G168" i="5"/>
  <c r="H168" i="5" s="1"/>
  <c r="K212" i="5"/>
  <c r="A200" i="5"/>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J217" i="5"/>
  <c r="K217" i="5" s="1"/>
  <c r="L217" i="5" s="1"/>
  <c r="M217" i="5" s="1"/>
  <c r="J214" i="5"/>
  <c r="K214" i="5" s="1"/>
  <c r="L214" i="5" s="1"/>
  <c r="M214" i="5" s="1"/>
  <c r="J208" i="5"/>
  <c r="K208" i="5" s="1"/>
  <c r="L208" i="5" s="1"/>
  <c r="M208" i="5" s="1"/>
  <c r="G205" i="5"/>
  <c r="H205" i="5" s="1"/>
  <c r="G216" i="5"/>
  <c r="H216" i="5" s="1"/>
  <c r="G211" i="5"/>
  <c r="H211" i="5" s="1"/>
  <c r="J209" i="5"/>
  <c r="K209" i="5" s="1"/>
  <c r="L209" i="5" s="1"/>
  <c r="M209" i="5" s="1"/>
  <c r="J202" i="5"/>
  <c r="G201" i="5"/>
  <c r="H201" i="5" s="1"/>
  <c r="J216" i="5"/>
  <c r="K216" i="5" s="1"/>
  <c r="L216" i="5" s="1"/>
  <c r="M216" i="5" s="1"/>
  <c r="J211" i="5"/>
  <c r="K211" i="5" s="1"/>
  <c r="L211" i="5" s="1"/>
  <c r="M211" i="5" s="1"/>
  <c r="G209" i="5"/>
  <c r="H209" i="5" s="1"/>
  <c r="G202" i="5"/>
  <c r="J205" i="5"/>
  <c r="J203" i="5"/>
  <c r="G214" i="5"/>
  <c r="H214" i="5" s="1"/>
  <c r="G208" i="5"/>
  <c r="H208" i="5" s="1"/>
  <c r="G203" i="5"/>
  <c r="J201" i="5"/>
  <c r="K201" i="5" s="1"/>
  <c r="L201" i="5" s="1"/>
  <c r="M201" i="5" s="1"/>
  <c r="F212" i="5"/>
  <c r="H212" i="5" s="1"/>
  <c r="L256" i="5"/>
  <c r="M256" i="5" s="1"/>
  <c r="L265" i="5"/>
  <c r="M265" i="5" s="1"/>
  <c r="J223" i="5"/>
  <c r="K223" i="5" s="1"/>
  <c r="J226" i="5"/>
  <c r="K226" i="5" s="1"/>
  <c r="J220" i="5"/>
  <c r="K220" i="5" s="1"/>
  <c r="L220" i="5" s="1"/>
  <c r="M220" i="5" s="1"/>
  <c r="J219" i="5"/>
  <c r="K219" i="5" s="1"/>
  <c r="J224" i="5"/>
  <c r="K224" i="5" s="1"/>
  <c r="J328" i="5"/>
  <c r="K328" i="5" s="1"/>
  <c r="L328" i="5" s="1"/>
  <c r="M328" i="5" s="1"/>
  <c r="J329" i="5"/>
  <c r="K329" i="5" s="1"/>
  <c r="L329" i="5" s="1"/>
  <c r="M329" i="5" s="1"/>
  <c r="H73" i="5"/>
  <c r="M73" i="5"/>
  <c r="L100" i="5"/>
  <c r="M100" i="5" s="1"/>
  <c r="J153" i="5"/>
  <c r="K153" i="5" s="1"/>
  <c r="L153" i="5" s="1"/>
  <c r="M153" i="5" s="1"/>
  <c r="J169" i="5"/>
  <c r="K169" i="5" s="1"/>
  <c r="J283" i="5"/>
  <c r="K283" i="5" s="1"/>
  <c r="L339" i="5"/>
  <c r="M339" i="5" s="1"/>
  <c r="G115" i="5"/>
  <c r="H115" i="5" s="1"/>
  <c r="G114" i="5"/>
  <c r="H114" i="5" s="1"/>
  <c r="G113" i="5"/>
  <c r="H113" i="5" s="1"/>
  <c r="G98" i="5"/>
  <c r="H98" i="5" s="1"/>
  <c r="J115" i="5"/>
  <c r="K115" i="5" s="1"/>
  <c r="J114" i="5"/>
  <c r="K114" i="5" s="1"/>
  <c r="J113" i="5"/>
  <c r="K113" i="5" s="1"/>
  <c r="L113" i="5" s="1"/>
  <c r="M113" i="5" s="1"/>
  <c r="G112" i="5"/>
  <c r="H112" i="5" s="1"/>
  <c r="L112" i="5" s="1"/>
  <c r="M112" i="5" s="1"/>
  <c r="G108" i="5"/>
  <c r="H108" i="5" s="1"/>
  <c r="G107" i="5"/>
  <c r="H107" i="5" s="1"/>
  <c r="G93" i="5"/>
  <c r="H93" i="5" s="1"/>
  <c r="I95" i="5"/>
  <c r="J95" i="5" s="1"/>
  <c r="K95" i="5" s="1"/>
  <c r="G97" i="5"/>
  <c r="H97" i="5" s="1"/>
  <c r="J99" i="5"/>
  <c r="K99" i="5" s="1"/>
  <c r="J104" i="5"/>
  <c r="K104" i="5" s="1"/>
  <c r="L104" i="5" s="1"/>
  <c r="M104" i="5" s="1"/>
  <c r="H206" i="5"/>
  <c r="L210" i="5"/>
  <c r="M210" i="5" s="1"/>
  <c r="L268" i="5"/>
  <c r="M268" i="5" s="1"/>
  <c r="A368" i="5"/>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K380" i="5"/>
  <c r="L380" i="5" s="1"/>
  <c r="M380" i="5" s="1"/>
  <c r="G384" i="5"/>
  <c r="H384" i="5" s="1"/>
  <c r="G379" i="5"/>
  <c r="H379" i="5" s="1"/>
  <c r="J377" i="5"/>
  <c r="K377" i="5" s="1"/>
  <c r="L377" i="5" s="1"/>
  <c r="M377" i="5" s="1"/>
  <c r="J370" i="5"/>
  <c r="J382" i="5"/>
  <c r="K382" i="5" s="1"/>
  <c r="L382" i="5" s="1"/>
  <c r="M382" i="5" s="1"/>
  <c r="J369" i="5"/>
  <c r="K369" i="5" s="1"/>
  <c r="L369" i="5" s="1"/>
  <c r="M369" i="5" s="1"/>
  <c r="J385" i="5"/>
  <c r="K385" i="5" s="1"/>
  <c r="L385" i="5" s="1"/>
  <c r="M385" i="5" s="1"/>
  <c r="G382" i="5"/>
  <c r="H382" i="5" s="1"/>
  <c r="G373" i="5"/>
  <c r="H373" i="5" s="1"/>
  <c r="H374" i="5" s="1"/>
  <c r="J376" i="5"/>
  <c r="K376" i="5" s="1"/>
  <c r="L376" i="5" s="1"/>
  <c r="M376" i="5" s="1"/>
  <c r="J379" i="5"/>
  <c r="K379" i="5" s="1"/>
  <c r="J609" i="5"/>
  <c r="K609" i="5" s="1"/>
  <c r="J668" i="5"/>
  <c r="K668" i="5" s="1"/>
  <c r="L668" i="5" s="1"/>
  <c r="M668" i="5" s="1"/>
  <c r="J667" i="5"/>
  <c r="K667" i="5" s="1"/>
  <c r="J664" i="5"/>
  <c r="K664" i="5" s="1"/>
  <c r="J899" i="5"/>
  <c r="K899" i="5" s="1"/>
  <c r="J898" i="5"/>
  <c r="K898" i="5" s="1"/>
  <c r="J897" i="5"/>
  <c r="K897" i="5" s="1"/>
  <c r="J895" i="5"/>
  <c r="K895" i="5" s="1"/>
  <c r="J892" i="5"/>
  <c r="K892" i="5" s="1"/>
  <c r="J896" i="5"/>
  <c r="K896" i="5" s="1"/>
  <c r="J891" i="5"/>
  <c r="K891" i="5" s="1"/>
  <c r="J105" i="5"/>
  <c r="K105" i="5" s="1"/>
  <c r="J102" i="5"/>
  <c r="K102" i="5" s="1"/>
  <c r="L102" i="5" s="1"/>
  <c r="M102" i="5" s="1"/>
  <c r="J96" i="5"/>
  <c r="K96" i="5" s="1"/>
  <c r="L96" i="5" s="1"/>
  <c r="M96" i="5" s="1"/>
  <c r="G104" i="5"/>
  <c r="H104" i="5" s="1"/>
  <c r="G99" i="5"/>
  <c r="H99" i="5" s="1"/>
  <c r="J97" i="5"/>
  <c r="K97" i="5" s="1"/>
  <c r="J89" i="5"/>
  <c r="K89" i="5" s="1"/>
  <c r="L89" i="5" s="1"/>
  <c r="M89" i="5" s="1"/>
  <c r="G91" i="5"/>
  <c r="F95" i="5"/>
  <c r="G95" i="5" s="1"/>
  <c r="H95" i="5" s="1"/>
  <c r="G96" i="5"/>
  <c r="H96" i="5" s="1"/>
  <c r="J98" i="5"/>
  <c r="K98" i="5" s="1"/>
  <c r="L98" i="5" s="1"/>
  <c r="M98" i="5" s="1"/>
  <c r="G102" i="5"/>
  <c r="H102" i="5" s="1"/>
  <c r="J111" i="5"/>
  <c r="K111" i="5" s="1"/>
  <c r="L156" i="5"/>
  <c r="M156" i="5" s="1"/>
  <c r="G225" i="5"/>
  <c r="H225" i="5" s="1"/>
  <c r="L200" i="5"/>
  <c r="M200" i="5" s="1"/>
  <c r="G223" i="5"/>
  <c r="H223" i="5" s="1"/>
  <c r="L277" i="5"/>
  <c r="M277" i="5" s="1"/>
  <c r="J319" i="5"/>
  <c r="K319" i="5" s="1"/>
  <c r="L338" i="5"/>
  <c r="M338" i="5" s="1"/>
  <c r="G371" i="5"/>
  <c r="G385" i="5"/>
  <c r="H385" i="5" s="1"/>
  <c r="L435" i="5"/>
  <c r="M435" i="5" s="1"/>
  <c r="L648" i="5"/>
  <c r="M648" i="5" s="1"/>
  <c r="L101" i="5"/>
  <c r="M101" i="5" s="1"/>
  <c r="G105" i="5"/>
  <c r="H105" i="5" s="1"/>
  <c r="G111" i="5"/>
  <c r="H111" i="5" s="1"/>
  <c r="G161" i="5"/>
  <c r="H161" i="5" s="1"/>
  <c r="J279" i="5"/>
  <c r="K279" i="5" s="1"/>
  <c r="J276" i="5"/>
  <c r="K276" i="5" s="1"/>
  <c r="J275" i="5"/>
  <c r="K275" i="5" s="1"/>
  <c r="F263" i="5"/>
  <c r="G263" i="5" s="1"/>
  <c r="H263" i="5" s="1"/>
  <c r="H271" i="5" s="1"/>
  <c r="G279" i="5"/>
  <c r="H279" i="5" s="1"/>
  <c r="G276" i="5"/>
  <c r="H276" i="5" s="1"/>
  <c r="J266" i="5"/>
  <c r="K266" i="5" s="1"/>
  <c r="L266" i="5" s="1"/>
  <c r="M266" i="5" s="1"/>
  <c r="J263" i="5"/>
  <c r="K263" i="5" s="1"/>
  <c r="G283" i="5"/>
  <c r="H283" i="5" s="1"/>
  <c r="J282" i="5"/>
  <c r="K282" i="5" s="1"/>
  <c r="G281" i="5"/>
  <c r="H281" i="5" s="1"/>
  <c r="L281" i="5" s="1"/>
  <c r="M281" i="5" s="1"/>
  <c r="G280" i="5"/>
  <c r="H280" i="5" s="1"/>
  <c r="G266" i="5"/>
  <c r="H266" i="5" s="1"/>
  <c r="L264" i="5"/>
  <c r="M264" i="5" s="1"/>
  <c r="L384" i="5"/>
  <c r="M384" i="5" s="1"/>
  <c r="L424" i="5"/>
  <c r="M424" i="5" s="1"/>
  <c r="F492" i="5"/>
  <c r="H492" i="5" s="1"/>
  <c r="L492" i="5" s="1"/>
  <c r="M492" i="5" s="1"/>
  <c r="A480" i="5"/>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G497" i="5"/>
  <c r="H497" i="5" s="1"/>
  <c r="G494" i="5"/>
  <c r="H494" i="5" s="1"/>
  <c r="G488" i="5"/>
  <c r="H488" i="5" s="1"/>
  <c r="J485" i="5"/>
  <c r="K485" i="5" s="1"/>
  <c r="J483" i="5"/>
  <c r="G482" i="5"/>
  <c r="J497" i="5"/>
  <c r="K497" i="5" s="1"/>
  <c r="J489" i="5"/>
  <c r="K489" i="5" s="1"/>
  <c r="L489" i="5" s="1"/>
  <c r="M489" i="5" s="1"/>
  <c r="G483" i="5"/>
  <c r="G481" i="5"/>
  <c r="H481" i="5" s="1"/>
  <c r="H486" i="5" s="1"/>
  <c r="J482" i="5"/>
  <c r="J481" i="5"/>
  <c r="K481" i="5" s="1"/>
  <c r="G496" i="5"/>
  <c r="H496" i="5" s="1"/>
  <c r="J494" i="5"/>
  <c r="K494" i="5" s="1"/>
  <c r="L494" i="5" s="1"/>
  <c r="M494" i="5" s="1"/>
  <c r="J491" i="5"/>
  <c r="K491" i="5" s="1"/>
  <c r="G491" i="5"/>
  <c r="H491" i="5" s="1"/>
  <c r="J488" i="5"/>
  <c r="K488" i="5" s="1"/>
  <c r="L488" i="5" s="1"/>
  <c r="M488" i="5" s="1"/>
  <c r="L480" i="5"/>
  <c r="M480" i="5" s="1"/>
  <c r="G485" i="5"/>
  <c r="H485" i="5" s="1"/>
  <c r="J496" i="5"/>
  <c r="K496" i="5" s="1"/>
  <c r="L496" i="5" s="1"/>
  <c r="M496" i="5" s="1"/>
  <c r="J145" i="5"/>
  <c r="K145" i="5" s="1"/>
  <c r="G147" i="5"/>
  <c r="G153" i="5"/>
  <c r="H153" i="5" s="1"/>
  <c r="J155" i="5"/>
  <c r="K155" i="5" s="1"/>
  <c r="L155" i="5" s="1"/>
  <c r="M155" i="5" s="1"/>
  <c r="J160" i="5"/>
  <c r="K160" i="5" s="1"/>
  <c r="G219" i="5"/>
  <c r="H219" i="5" s="1"/>
  <c r="G220" i="5"/>
  <c r="H220" i="5" s="1"/>
  <c r="G224" i="5"/>
  <c r="H224" i="5" s="1"/>
  <c r="J225" i="5"/>
  <c r="K225" i="5" s="1"/>
  <c r="L225" i="5" s="1"/>
  <c r="M225" i="5" s="1"/>
  <c r="G226" i="5"/>
  <c r="H226" i="5" s="1"/>
  <c r="J227" i="5"/>
  <c r="K227" i="5" s="1"/>
  <c r="J314" i="5"/>
  <c r="J326" i="5"/>
  <c r="K326" i="5" s="1"/>
  <c r="G328" i="5"/>
  <c r="H328" i="5" s="1"/>
  <c r="J332" i="5"/>
  <c r="K332" i="5" s="1"/>
  <c r="L332" i="5" s="1"/>
  <c r="M332" i="5" s="1"/>
  <c r="J337" i="5"/>
  <c r="K337" i="5" s="1"/>
  <c r="G378" i="5"/>
  <c r="H378" i="5" s="1"/>
  <c r="L378" i="5" s="1"/>
  <c r="M378" i="5" s="1"/>
  <c r="J388" i="5"/>
  <c r="K388" i="5" s="1"/>
  <c r="L388" i="5" s="1"/>
  <c r="M388" i="5" s="1"/>
  <c r="L559" i="5"/>
  <c r="M559" i="5" s="1"/>
  <c r="G146" i="5"/>
  <c r="J147" i="5"/>
  <c r="J149" i="5"/>
  <c r="G152" i="5"/>
  <c r="H152" i="5" s="1"/>
  <c r="G158" i="5"/>
  <c r="H158" i="5" s="1"/>
  <c r="J207" i="5"/>
  <c r="K207" i="5" s="1"/>
  <c r="L207" i="5" s="1"/>
  <c r="M207" i="5" s="1"/>
  <c r="G210" i="5"/>
  <c r="H210" i="5" s="1"/>
  <c r="J336" i="5"/>
  <c r="K336" i="5" s="1"/>
  <c r="L336" i="5" s="1"/>
  <c r="M336" i="5" s="1"/>
  <c r="G335" i="5"/>
  <c r="H335" i="5" s="1"/>
  <c r="J322" i="5"/>
  <c r="K322" i="5" s="1"/>
  <c r="L322" i="5" s="1"/>
  <c r="M322" i="5" s="1"/>
  <c r="F319" i="5"/>
  <c r="G319" i="5" s="1"/>
  <c r="H319" i="5" s="1"/>
  <c r="H327" i="5" s="1"/>
  <c r="J320" i="5"/>
  <c r="K320" i="5" s="1"/>
  <c r="G321" i="5"/>
  <c r="H321" i="5" s="1"/>
  <c r="L321" i="5" s="1"/>
  <c r="M321" i="5" s="1"/>
  <c r="J323" i="5"/>
  <c r="K323" i="5" s="1"/>
  <c r="L323" i="5" s="1"/>
  <c r="M323" i="5" s="1"/>
  <c r="J331" i="5"/>
  <c r="K331" i="5" s="1"/>
  <c r="J335" i="5"/>
  <c r="K335" i="5" s="1"/>
  <c r="G337" i="5"/>
  <c r="H337" i="5" s="1"/>
  <c r="J395" i="5"/>
  <c r="K395" i="5" s="1"/>
  <c r="J394" i="5"/>
  <c r="K394" i="5" s="1"/>
  <c r="J393" i="5"/>
  <c r="K393" i="5" s="1"/>
  <c r="G392" i="5"/>
  <c r="H392" i="5" s="1"/>
  <c r="L392" i="5" s="1"/>
  <c r="M392" i="5" s="1"/>
  <c r="G388" i="5"/>
  <c r="H388" i="5" s="1"/>
  <c r="G387" i="5"/>
  <c r="H387" i="5" s="1"/>
  <c r="J375" i="5"/>
  <c r="K375" i="5" s="1"/>
  <c r="L375" i="5" s="1"/>
  <c r="M375" i="5" s="1"/>
  <c r="J391" i="5"/>
  <c r="K391" i="5" s="1"/>
  <c r="L391" i="5" s="1"/>
  <c r="M391" i="5" s="1"/>
  <c r="G393" i="5"/>
  <c r="H393" i="5" s="1"/>
  <c r="G395" i="5"/>
  <c r="H395" i="5" s="1"/>
  <c r="L507" i="5"/>
  <c r="M507" i="5" s="1"/>
  <c r="L563" i="5"/>
  <c r="M563" i="5" s="1"/>
  <c r="J257" i="5"/>
  <c r="K257" i="5" s="1"/>
  <c r="L257" i="5" s="1"/>
  <c r="M257" i="5" s="1"/>
  <c r="G259" i="5"/>
  <c r="G265" i="5"/>
  <c r="H265" i="5" s="1"/>
  <c r="J267" i="5"/>
  <c r="K267" i="5" s="1"/>
  <c r="L267" i="5" s="1"/>
  <c r="M267" i="5" s="1"/>
  <c r="J313" i="5"/>
  <c r="K313" i="5" s="1"/>
  <c r="J315" i="5"/>
  <c r="J317" i="5"/>
  <c r="G320" i="5"/>
  <c r="H320" i="5" s="1"/>
  <c r="G326" i="5"/>
  <c r="H326" i="5" s="1"/>
  <c r="G425" i="5"/>
  <c r="H425" i="5" s="1"/>
  <c r="H430" i="5" s="1"/>
  <c r="G429" i="5"/>
  <c r="H429" i="5" s="1"/>
  <c r="J432" i="5"/>
  <c r="K432" i="5" s="1"/>
  <c r="L432" i="5" s="1"/>
  <c r="M432" i="5" s="1"/>
  <c r="K436" i="5"/>
  <c r="L436" i="5" s="1"/>
  <c r="M436" i="5" s="1"/>
  <c r="J438" i="5"/>
  <c r="K438" i="5" s="1"/>
  <c r="J441" i="5"/>
  <c r="K441" i="5" s="1"/>
  <c r="L441" i="5" s="1"/>
  <c r="M441" i="5" s="1"/>
  <c r="J504" i="5"/>
  <c r="K504" i="5" s="1"/>
  <c r="G503" i="5"/>
  <c r="H503" i="5" s="1"/>
  <c r="J490" i="5"/>
  <c r="K490" i="5" s="1"/>
  <c r="L490" i="5" s="1"/>
  <c r="M490" i="5" s="1"/>
  <c r="G507" i="5"/>
  <c r="H507" i="5" s="1"/>
  <c r="J506" i="5"/>
  <c r="K506" i="5" s="1"/>
  <c r="G499" i="5"/>
  <c r="H499" i="5" s="1"/>
  <c r="J503" i="5"/>
  <c r="K503" i="5" s="1"/>
  <c r="G504" i="5"/>
  <c r="H504" i="5" s="1"/>
  <c r="J505" i="5"/>
  <c r="K505" i="5" s="1"/>
  <c r="G553" i="5"/>
  <c r="H553" i="5" s="1"/>
  <c r="J616" i="5"/>
  <c r="K616" i="5" s="1"/>
  <c r="L616" i="5" s="1"/>
  <c r="M616" i="5" s="1"/>
  <c r="G615" i="5"/>
  <c r="H615" i="5" s="1"/>
  <c r="J602" i="5"/>
  <c r="K602" i="5" s="1"/>
  <c r="G617" i="5"/>
  <c r="H617" i="5" s="1"/>
  <c r="L617" i="5" s="1"/>
  <c r="M617" i="5" s="1"/>
  <c r="J615" i="5"/>
  <c r="K615" i="5" s="1"/>
  <c r="J611" i="5"/>
  <c r="K611" i="5" s="1"/>
  <c r="F599" i="5"/>
  <c r="G599" i="5" s="1"/>
  <c r="H599" i="5" s="1"/>
  <c r="G619" i="5"/>
  <c r="H619" i="5" s="1"/>
  <c r="L619" i="5" s="1"/>
  <c r="M619" i="5" s="1"/>
  <c r="J618" i="5"/>
  <c r="K618" i="5" s="1"/>
  <c r="G611" i="5"/>
  <c r="H611" i="5" s="1"/>
  <c r="J599" i="5"/>
  <c r="K599" i="5" s="1"/>
  <c r="G593" i="5"/>
  <c r="H593" i="5" s="1"/>
  <c r="L593" i="5" s="1"/>
  <c r="M593" i="5" s="1"/>
  <c r="G595" i="5"/>
  <c r="G602" i="5"/>
  <c r="H602" i="5" s="1"/>
  <c r="J606" i="5"/>
  <c r="K606" i="5" s="1"/>
  <c r="G608" i="5"/>
  <c r="H608" i="5" s="1"/>
  <c r="G667" i="5"/>
  <c r="H667" i="5" s="1"/>
  <c r="G665" i="5"/>
  <c r="H665" i="5" s="1"/>
  <c r="G664" i="5"/>
  <c r="H664" i="5" s="1"/>
  <c r="G731" i="5"/>
  <c r="H731" i="5" s="1"/>
  <c r="G730" i="5"/>
  <c r="H730" i="5" s="1"/>
  <c r="G729" i="5"/>
  <c r="H729" i="5" s="1"/>
  <c r="G714" i="5"/>
  <c r="H714" i="5" s="1"/>
  <c r="J731" i="5"/>
  <c r="K731" i="5" s="1"/>
  <c r="J730" i="5"/>
  <c r="K730" i="5" s="1"/>
  <c r="J729" i="5"/>
  <c r="K729" i="5" s="1"/>
  <c r="L729" i="5" s="1"/>
  <c r="M729" i="5" s="1"/>
  <c r="G728" i="5"/>
  <c r="H728" i="5" s="1"/>
  <c r="G724" i="5"/>
  <c r="H724" i="5" s="1"/>
  <c r="G723" i="5"/>
  <c r="H723" i="5" s="1"/>
  <c r="J727" i="5"/>
  <c r="K727" i="5" s="1"/>
  <c r="L727" i="5" s="1"/>
  <c r="M727" i="5" s="1"/>
  <c r="J714" i="5"/>
  <c r="K714" i="5" s="1"/>
  <c r="L714" i="5" s="1"/>
  <c r="M714" i="5" s="1"/>
  <c r="G727" i="5"/>
  <c r="H727" i="5" s="1"/>
  <c r="J711" i="5"/>
  <c r="K711" i="5" s="1"/>
  <c r="L711" i="5" s="1"/>
  <c r="M711" i="5" s="1"/>
  <c r="J723" i="5"/>
  <c r="K723" i="5" s="1"/>
  <c r="G707" i="5"/>
  <c r="J705" i="5"/>
  <c r="K705" i="5" s="1"/>
  <c r="J715" i="5"/>
  <c r="K715" i="5" s="1"/>
  <c r="G705" i="5"/>
  <c r="H705" i="5" s="1"/>
  <c r="J728" i="5"/>
  <c r="K728" i="5" s="1"/>
  <c r="L728" i="5" s="1"/>
  <c r="M728" i="5" s="1"/>
  <c r="J425" i="5"/>
  <c r="K425" i="5" s="1"/>
  <c r="L425" i="5" s="1"/>
  <c r="M425" i="5" s="1"/>
  <c r="J427" i="5"/>
  <c r="J429" i="5"/>
  <c r="G432" i="5"/>
  <c r="H432" i="5" s="1"/>
  <c r="G438" i="5"/>
  <c r="H438" i="5" s="1"/>
  <c r="L557" i="5"/>
  <c r="M557" i="5" s="1"/>
  <c r="K562" i="5"/>
  <c r="L604" i="5"/>
  <c r="M604" i="5" s="1"/>
  <c r="K548" i="5"/>
  <c r="L548" i="5" s="1"/>
  <c r="M548" i="5" s="1"/>
  <c r="A536" i="5"/>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J553" i="5"/>
  <c r="K553" i="5" s="1"/>
  <c r="L553" i="5" s="1"/>
  <c r="M553" i="5" s="1"/>
  <c r="J550" i="5"/>
  <c r="K550" i="5" s="1"/>
  <c r="L550" i="5" s="1"/>
  <c r="M550" i="5" s="1"/>
  <c r="J544" i="5"/>
  <c r="K544" i="5" s="1"/>
  <c r="G541" i="5"/>
  <c r="H541" i="5" s="1"/>
  <c r="L541" i="5" s="1"/>
  <c r="M541" i="5" s="1"/>
  <c r="G537" i="5"/>
  <c r="H537" i="5" s="1"/>
  <c r="H542" i="5" s="1"/>
  <c r="J539" i="5"/>
  <c r="G544" i="5"/>
  <c r="H544" i="5" s="1"/>
  <c r="G547" i="5"/>
  <c r="H547" i="5" s="1"/>
  <c r="L547" i="5" s="1"/>
  <c r="M547" i="5" s="1"/>
  <c r="G552" i="5"/>
  <c r="H552" i="5" s="1"/>
  <c r="H560" i="5"/>
  <c r="L560" i="5" s="1"/>
  <c r="M560" i="5" s="1"/>
  <c r="G597" i="5"/>
  <c r="H597" i="5" s="1"/>
  <c r="G603" i="5"/>
  <c r="H603" i="5" s="1"/>
  <c r="K660" i="5"/>
  <c r="L660" i="5" s="1"/>
  <c r="M660" i="5" s="1"/>
  <c r="A648" i="5"/>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J665" i="5"/>
  <c r="K665" i="5" s="1"/>
  <c r="L665" i="5" s="1"/>
  <c r="M665" i="5" s="1"/>
  <c r="J662" i="5"/>
  <c r="K662" i="5" s="1"/>
  <c r="L662" i="5" s="1"/>
  <c r="M662" i="5" s="1"/>
  <c r="J656" i="5"/>
  <c r="K656" i="5" s="1"/>
  <c r="L656" i="5" s="1"/>
  <c r="M656" i="5" s="1"/>
  <c r="G653" i="5"/>
  <c r="H653" i="5" s="1"/>
  <c r="G662" i="5"/>
  <c r="H662" i="5" s="1"/>
  <c r="G649" i="5"/>
  <c r="H649" i="5" s="1"/>
  <c r="L649" i="5" s="1"/>
  <c r="M649" i="5" s="1"/>
  <c r="J651" i="5"/>
  <c r="J653" i="5"/>
  <c r="J657" i="5"/>
  <c r="K657" i="5" s="1"/>
  <c r="L657" i="5" s="1"/>
  <c r="M657" i="5" s="1"/>
  <c r="J659" i="5"/>
  <c r="K659" i="5" s="1"/>
  <c r="L659" i="5" s="1"/>
  <c r="M659" i="5" s="1"/>
  <c r="K673" i="5"/>
  <c r="L673" i="5" s="1"/>
  <c r="M673" i="5" s="1"/>
  <c r="G609" i="5"/>
  <c r="H609" i="5" s="1"/>
  <c r="G606" i="5"/>
  <c r="H606" i="5" s="1"/>
  <c r="G600" i="5"/>
  <c r="H600" i="5" s="1"/>
  <c r="J597" i="5"/>
  <c r="K597" i="5" s="1"/>
  <c r="L597" i="5" s="1"/>
  <c r="M597" i="5" s="1"/>
  <c r="J595" i="5"/>
  <c r="G594" i="5"/>
  <c r="J600" i="5"/>
  <c r="K600" i="5" s="1"/>
  <c r="L600" i="5" s="1"/>
  <c r="M600" i="5" s="1"/>
  <c r="G601" i="5"/>
  <c r="H601" i="5" s="1"/>
  <c r="L601" i="5" s="1"/>
  <c r="M601" i="5" s="1"/>
  <c r="J603" i="5"/>
  <c r="K603" i="5" s="1"/>
  <c r="L603" i="5" s="1"/>
  <c r="M603" i="5" s="1"/>
  <c r="K675" i="5"/>
  <c r="K716" i="5"/>
  <c r="F716" i="5"/>
  <c r="H716" i="5" s="1"/>
  <c r="J721" i="5"/>
  <c r="K721" i="5" s="1"/>
  <c r="L721" i="5" s="1"/>
  <c r="M721" i="5" s="1"/>
  <c r="J718" i="5"/>
  <c r="K718" i="5" s="1"/>
  <c r="G720" i="5"/>
  <c r="H720" i="5" s="1"/>
  <c r="G715" i="5"/>
  <c r="H715" i="5" s="1"/>
  <c r="J713" i="5"/>
  <c r="K713" i="5" s="1"/>
  <c r="L713" i="5" s="1"/>
  <c r="M713" i="5" s="1"/>
  <c r="G718" i="5"/>
  <c r="H718" i="5" s="1"/>
  <c r="G712" i="5"/>
  <c r="H712" i="5" s="1"/>
  <c r="J709" i="5"/>
  <c r="J707" i="5"/>
  <c r="G706" i="5"/>
  <c r="G721" i="5"/>
  <c r="H721" i="5" s="1"/>
  <c r="J712" i="5"/>
  <c r="K712" i="5" s="1"/>
  <c r="L712" i="5" s="1"/>
  <c r="M712" i="5" s="1"/>
  <c r="H710" i="5"/>
  <c r="J784" i="5"/>
  <c r="K784" i="5" s="1"/>
  <c r="G783" i="5"/>
  <c r="H783" i="5" s="1"/>
  <c r="J770" i="5"/>
  <c r="K770" i="5" s="1"/>
  <c r="L770" i="5" s="1"/>
  <c r="M770" i="5" s="1"/>
  <c r="J783" i="5"/>
  <c r="K783" i="5" s="1"/>
  <c r="J780" i="5"/>
  <c r="K780" i="5" s="1"/>
  <c r="L780" i="5" s="1"/>
  <c r="M780" i="5" s="1"/>
  <c r="J779" i="5"/>
  <c r="K779" i="5" s="1"/>
  <c r="F767" i="5"/>
  <c r="G767" i="5" s="1"/>
  <c r="H767" i="5" s="1"/>
  <c r="G786" i="5"/>
  <c r="H786" i="5" s="1"/>
  <c r="J774" i="5"/>
  <c r="K774" i="5" s="1"/>
  <c r="L774" i="5" s="1"/>
  <c r="M774" i="5" s="1"/>
  <c r="G770" i="5"/>
  <c r="H770" i="5" s="1"/>
  <c r="J786" i="5"/>
  <c r="K786" i="5" s="1"/>
  <c r="G780" i="5"/>
  <c r="H780" i="5" s="1"/>
  <c r="G776" i="5"/>
  <c r="H776" i="5" s="1"/>
  <c r="J768" i="5"/>
  <c r="K768" i="5" s="1"/>
  <c r="J767" i="5"/>
  <c r="K767" i="5" s="1"/>
  <c r="L767" i="5" s="1"/>
  <c r="M767" i="5" s="1"/>
  <c r="G765" i="5"/>
  <c r="H765" i="5" s="1"/>
  <c r="J762" i="5"/>
  <c r="G761" i="5"/>
  <c r="H761" i="5" s="1"/>
  <c r="J777" i="5"/>
  <c r="K777" i="5" s="1"/>
  <c r="G779" i="5"/>
  <c r="H779" i="5" s="1"/>
  <c r="G784" i="5"/>
  <c r="H784" i="5" s="1"/>
  <c r="G785" i="5"/>
  <c r="H785" i="5" s="1"/>
  <c r="L785" i="5" s="1"/>
  <c r="M785" i="5" s="1"/>
  <c r="J787" i="5"/>
  <c r="K787" i="5" s="1"/>
  <c r="L873" i="5"/>
  <c r="M873" i="5" s="1"/>
  <c r="H878" i="5"/>
  <c r="L717" i="5"/>
  <c r="M717" i="5" s="1"/>
  <c r="G777" i="5"/>
  <c r="H777" i="5" s="1"/>
  <c r="L872" i="5"/>
  <c r="M872" i="5" s="1"/>
  <c r="L893" i="5"/>
  <c r="M893" i="5" s="1"/>
  <c r="L936" i="5"/>
  <c r="M936" i="5" s="1"/>
  <c r="J543" i="5"/>
  <c r="K543" i="5" s="1"/>
  <c r="L543" i="5" s="1"/>
  <c r="M543" i="5" s="1"/>
  <c r="G546" i="5"/>
  <c r="H546" i="5" s="1"/>
  <c r="L546" i="5" s="1"/>
  <c r="M546" i="5" s="1"/>
  <c r="G561" i="5"/>
  <c r="H561" i="5" s="1"/>
  <c r="L561" i="5" s="1"/>
  <c r="M561" i="5" s="1"/>
  <c r="G562" i="5"/>
  <c r="H562" i="5" s="1"/>
  <c r="J655" i="5"/>
  <c r="K655" i="5" s="1"/>
  <c r="L655" i="5" s="1"/>
  <c r="M655" i="5" s="1"/>
  <c r="G658" i="5"/>
  <c r="H658" i="5" s="1"/>
  <c r="L658" i="5" s="1"/>
  <c r="M658" i="5" s="1"/>
  <c r="G673" i="5"/>
  <c r="H673" i="5" s="1"/>
  <c r="G674" i="5"/>
  <c r="H674" i="5" s="1"/>
  <c r="L772" i="5"/>
  <c r="M772" i="5" s="1"/>
  <c r="L827" i="5"/>
  <c r="M827" i="5" s="1"/>
  <c r="H895" i="5"/>
  <c r="L984" i="5"/>
  <c r="M984" i="5" s="1"/>
  <c r="L1049" i="5"/>
  <c r="M1049" i="5" s="1"/>
  <c r="J761" i="5"/>
  <c r="K761" i="5" s="1"/>
  <c r="L761" i="5" s="1"/>
  <c r="M761" i="5" s="1"/>
  <c r="G763" i="5"/>
  <c r="G769" i="5"/>
  <c r="H769" i="5" s="1"/>
  <c r="L769" i="5" s="1"/>
  <c r="M769" i="5" s="1"/>
  <c r="J771" i="5"/>
  <c r="K771" i="5" s="1"/>
  <c r="L771" i="5" s="1"/>
  <c r="M771" i="5" s="1"/>
  <c r="J776" i="5"/>
  <c r="K776" i="5" s="1"/>
  <c r="K828" i="5"/>
  <c r="L828" i="5" s="1"/>
  <c r="M828" i="5" s="1"/>
  <c r="A816" i="5"/>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J833" i="5"/>
  <c r="K833" i="5" s="1"/>
  <c r="L833" i="5" s="1"/>
  <c r="M833" i="5" s="1"/>
  <c r="J830" i="5"/>
  <c r="K830" i="5" s="1"/>
  <c r="J824" i="5"/>
  <c r="K824" i="5" s="1"/>
  <c r="L824" i="5" s="1"/>
  <c r="M824" i="5" s="1"/>
  <c r="G821" i="5"/>
  <c r="H821" i="5" s="1"/>
  <c r="G832" i="5"/>
  <c r="H832" i="5" s="1"/>
  <c r="L832" i="5" s="1"/>
  <c r="M832" i="5" s="1"/>
  <c r="G827" i="5"/>
  <c r="H827" i="5" s="1"/>
  <c r="J825" i="5"/>
  <c r="K825" i="5" s="1"/>
  <c r="L825" i="5" s="1"/>
  <c r="M825" i="5" s="1"/>
  <c r="G817" i="5"/>
  <c r="H817" i="5" s="1"/>
  <c r="H822" i="5" s="1"/>
  <c r="J819" i="5"/>
  <c r="G824" i="5"/>
  <c r="H824" i="5" s="1"/>
  <c r="G830" i="5"/>
  <c r="H830" i="5" s="1"/>
  <c r="K884" i="5"/>
  <c r="L884" i="5" s="1"/>
  <c r="M884" i="5" s="1"/>
  <c r="A872" i="5"/>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J889" i="5"/>
  <c r="K889" i="5" s="1"/>
  <c r="L889" i="5" s="1"/>
  <c r="M889" i="5" s="1"/>
  <c r="J886" i="5"/>
  <c r="K886" i="5" s="1"/>
  <c r="L886" i="5" s="1"/>
  <c r="M886" i="5" s="1"/>
  <c r="J880" i="5"/>
  <c r="K880" i="5" s="1"/>
  <c r="L880" i="5" s="1"/>
  <c r="M880" i="5" s="1"/>
  <c r="G877" i="5"/>
  <c r="H877" i="5" s="1"/>
  <c r="G888" i="5"/>
  <c r="H888" i="5" s="1"/>
  <c r="G883" i="5"/>
  <c r="H883" i="5" s="1"/>
  <c r="J881" i="5"/>
  <c r="K881" i="5" s="1"/>
  <c r="L881" i="5" s="1"/>
  <c r="M881" i="5" s="1"/>
  <c r="J874" i="5"/>
  <c r="G873" i="5"/>
  <c r="H873" i="5" s="1"/>
  <c r="F884" i="5"/>
  <c r="H884" i="5" s="1"/>
  <c r="L885" i="5"/>
  <c r="M885" i="5" s="1"/>
  <c r="G889" i="5"/>
  <c r="H889" i="5" s="1"/>
  <c r="G762" i="5"/>
  <c r="J763" i="5"/>
  <c r="J765" i="5"/>
  <c r="G768" i="5"/>
  <c r="H768" i="5" s="1"/>
  <c r="G774" i="5"/>
  <c r="H774" i="5" s="1"/>
  <c r="G836" i="5"/>
  <c r="H836" i="5" s="1"/>
  <c r="G835" i="5"/>
  <c r="H835" i="5" s="1"/>
  <c r="J817" i="5"/>
  <c r="K817" i="5" s="1"/>
  <c r="G818" i="5"/>
  <c r="J821" i="5"/>
  <c r="G839" i="5"/>
  <c r="H839" i="5" s="1"/>
  <c r="G896" i="5"/>
  <c r="H896" i="5" s="1"/>
  <c r="G892" i="5"/>
  <c r="H892" i="5" s="1"/>
  <c r="G891" i="5"/>
  <c r="H891" i="5" s="1"/>
  <c r="G874" i="5"/>
  <c r="G881" i="5"/>
  <c r="H881" i="5" s="1"/>
  <c r="J883" i="5"/>
  <c r="K883" i="5" s="1"/>
  <c r="L883" i="5" s="1"/>
  <c r="M883" i="5" s="1"/>
  <c r="J888" i="5"/>
  <c r="K888" i="5" s="1"/>
  <c r="L888" i="5" s="1"/>
  <c r="M888" i="5" s="1"/>
  <c r="G840" i="5"/>
  <c r="H840" i="5" s="1"/>
  <c r="J841" i="5"/>
  <c r="K841" i="5" s="1"/>
  <c r="J842" i="5"/>
  <c r="K842" i="5" s="1"/>
  <c r="J843" i="5"/>
  <c r="K843" i="5" s="1"/>
  <c r="L940" i="5"/>
  <c r="M940" i="5" s="1"/>
  <c r="L942" i="5"/>
  <c r="M942" i="5" s="1"/>
  <c r="L1056" i="5"/>
  <c r="M1056" i="5" s="1"/>
  <c r="J823" i="5"/>
  <c r="K823" i="5" s="1"/>
  <c r="L823" i="5" s="1"/>
  <c r="M823" i="5" s="1"/>
  <c r="G826" i="5"/>
  <c r="H826" i="5" s="1"/>
  <c r="L826" i="5" s="1"/>
  <c r="M826" i="5" s="1"/>
  <c r="G841" i="5"/>
  <c r="H841" i="5" s="1"/>
  <c r="G842" i="5"/>
  <c r="H842" i="5" s="1"/>
  <c r="J879" i="5"/>
  <c r="K879" i="5" s="1"/>
  <c r="L879" i="5" s="1"/>
  <c r="M879" i="5" s="1"/>
  <c r="G882" i="5"/>
  <c r="H882" i="5" s="1"/>
  <c r="L882" i="5" s="1"/>
  <c r="M882" i="5" s="1"/>
  <c r="G897" i="5"/>
  <c r="H897" i="5" s="1"/>
  <c r="G898" i="5"/>
  <c r="H898" i="5" s="1"/>
  <c r="J955" i="5"/>
  <c r="K955" i="5" s="1"/>
  <c r="J952" i="5"/>
  <c r="K952" i="5" s="1"/>
  <c r="G951" i="5"/>
  <c r="H951" i="5" s="1"/>
  <c r="J938" i="5"/>
  <c r="K938" i="5" s="1"/>
  <c r="L938" i="5" s="1"/>
  <c r="M938" i="5" s="1"/>
  <c r="J951" i="5"/>
  <c r="K951" i="5" s="1"/>
  <c r="J948" i="5"/>
  <c r="K948" i="5" s="1"/>
  <c r="L948" i="5" s="1"/>
  <c r="M948" i="5" s="1"/>
  <c r="J947" i="5"/>
  <c r="K947" i="5" s="1"/>
  <c r="F935" i="5"/>
  <c r="G935" i="5" s="1"/>
  <c r="H935" i="5" s="1"/>
  <c r="L935" i="5" s="1"/>
  <c r="M935" i="5" s="1"/>
  <c r="L928" i="5"/>
  <c r="M928" i="5" s="1"/>
  <c r="G947" i="5"/>
  <c r="H947" i="5" s="1"/>
  <c r="G952" i="5"/>
  <c r="H952" i="5" s="1"/>
  <c r="J953" i="5"/>
  <c r="K953" i="5" s="1"/>
  <c r="G955" i="5"/>
  <c r="H955" i="5" s="1"/>
  <c r="J929" i="5"/>
  <c r="K929" i="5" s="1"/>
  <c r="L929" i="5" s="1"/>
  <c r="M929" i="5" s="1"/>
  <c r="G931" i="5"/>
  <c r="G937" i="5"/>
  <c r="H937" i="5" s="1"/>
  <c r="L937" i="5" s="1"/>
  <c r="M937" i="5" s="1"/>
  <c r="J939" i="5"/>
  <c r="K939" i="5" s="1"/>
  <c r="L939" i="5" s="1"/>
  <c r="M939" i="5" s="1"/>
  <c r="J944" i="5"/>
  <c r="K944" i="5" s="1"/>
  <c r="L944" i="5" s="1"/>
  <c r="M944" i="5" s="1"/>
  <c r="K996" i="5"/>
  <c r="L996" i="5" s="1"/>
  <c r="M996" i="5" s="1"/>
  <c r="A984" i="5"/>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G1000" i="5"/>
  <c r="H1000" i="5" s="1"/>
  <c r="L1000" i="5" s="1"/>
  <c r="M1000" i="5" s="1"/>
  <c r="G995" i="5"/>
  <c r="H995" i="5" s="1"/>
  <c r="L995" i="5" s="1"/>
  <c r="M995" i="5" s="1"/>
  <c r="J993" i="5"/>
  <c r="K993" i="5" s="1"/>
  <c r="L993" i="5" s="1"/>
  <c r="M993" i="5" s="1"/>
  <c r="J986" i="5"/>
  <c r="G985" i="5"/>
  <c r="H985" i="5" s="1"/>
  <c r="H990" i="5" s="1"/>
  <c r="J1001" i="5"/>
  <c r="K1001" i="5" s="1"/>
  <c r="L1001" i="5" s="1"/>
  <c r="M1001" i="5" s="1"/>
  <c r="J998" i="5"/>
  <c r="K998" i="5" s="1"/>
  <c r="L998" i="5" s="1"/>
  <c r="M998" i="5" s="1"/>
  <c r="J992" i="5"/>
  <c r="K992" i="5" s="1"/>
  <c r="G989" i="5"/>
  <c r="H989" i="5" s="1"/>
  <c r="G992" i="5"/>
  <c r="H992" i="5" s="1"/>
  <c r="L994" i="5"/>
  <c r="M994" i="5" s="1"/>
  <c r="G998" i="5"/>
  <c r="H998" i="5" s="1"/>
  <c r="G930" i="5"/>
  <c r="J931" i="5"/>
  <c r="J933" i="5"/>
  <c r="G936" i="5"/>
  <c r="H936" i="5" s="1"/>
  <c r="G942" i="5"/>
  <c r="H942" i="5" s="1"/>
  <c r="G1011" i="5"/>
  <c r="H1011" i="5" s="1"/>
  <c r="G1010" i="5"/>
  <c r="H1010" i="5" s="1"/>
  <c r="G1009" i="5"/>
  <c r="H1009" i="5" s="1"/>
  <c r="J1008" i="5"/>
  <c r="K1008" i="5" s="1"/>
  <c r="L1008" i="5" s="1"/>
  <c r="M1008" i="5" s="1"/>
  <c r="G1007" i="5"/>
  <c r="H1007" i="5" s="1"/>
  <c r="J991" i="5"/>
  <c r="K991" i="5" s="1"/>
  <c r="L991" i="5" s="1"/>
  <c r="M991" i="5" s="1"/>
  <c r="G994" i="5"/>
  <c r="H994" i="5" s="1"/>
  <c r="J1009" i="5"/>
  <c r="K1009" i="5" s="1"/>
  <c r="L1040" i="5"/>
  <c r="M1040" i="5" s="1"/>
  <c r="G1049" i="5"/>
  <c r="H1049" i="5" s="1"/>
  <c r="J1051" i="5"/>
  <c r="K1051" i="5" s="1"/>
  <c r="G1003" i="5"/>
  <c r="H1003" i="5" s="1"/>
  <c r="G1004" i="5"/>
  <c r="H1004" i="5" s="1"/>
  <c r="K1052" i="5"/>
  <c r="A1040" i="5"/>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F1052" i="5"/>
  <c r="H1052" i="5" s="1"/>
  <c r="J1057" i="5"/>
  <c r="K1057" i="5" s="1"/>
  <c r="J1054" i="5"/>
  <c r="K1054" i="5" s="1"/>
  <c r="J1048" i="5"/>
  <c r="K1048" i="5" s="1"/>
  <c r="G1045" i="5"/>
  <c r="H1045" i="5" s="1"/>
  <c r="H1046" i="5" s="1"/>
  <c r="G1057" i="5"/>
  <c r="H1057" i="5" s="1"/>
  <c r="G1054" i="5"/>
  <c r="H1054" i="5" s="1"/>
  <c r="G1048" i="5"/>
  <c r="H1048" i="5" s="1"/>
  <c r="J1045" i="5"/>
  <c r="J1043" i="5"/>
  <c r="G1042" i="5"/>
  <c r="J1041" i="5"/>
  <c r="K1041" i="5" s="1"/>
  <c r="G1043" i="5"/>
  <c r="G1051" i="5"/>
  <c r="H1051" i="5" s="1"/>
  <c r="J1050" i="5"/>
  <c r="K1050" i="5" s="1"/>
  <c r="G1063" i="5"/>
  <c r="H1063" i="5" s="1"/>
  <c r="J1064" i="5"/>
  <c r="K1064" i="5" s="1"/>
  <c r="J1047" i="5"/>
  <c r="K1047" i="5" s="1"/>
  <c r="L1047" i="5" s="1"/>
  <c r="M1047" i="5" s="1"/>
  <c r="G1050" i="5"/>
  <c r="H1050" i="5" s="1"/>
  <c r="G1065" i="5"/>
  <c r="H1065" i="5" s="1"/>
  <c r="G1066" i="5"/>
  <c r="H1066" i="5" s="1"/>
  <c r="L332" i="6"/>
  <c r="M332" i="6" s="1"/>
  <c r="J281" i="6"/>
  <c r="K281" i="6" s="1"/>
  <c r="J283" i="6"/>
  <c r="K283" i="6" s="1"/>
  <c r="L171" i="6"/>
  <c r="M171" i="6" s="1"/>
  <c r="I156" i="6"/>
  <c r="K156" i="6" s="1"/>
  <c r="A144" i="6"/>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F156" i="6"/>
  <c r="H156" i="6" s="1"/>
  <c r="J161" i="6"/>
  <c r="K161" i="6" s="1"/>
  <c r="L161" i="6" s="1"/>
  <c r="M161" i="6" s="1"/>
  <c r="J158" i="6"/>
  <c r="K158" i="6" s="1"/>
  <c r="J152" i="6"/>
  <c r="K152" i="6" s="1"/>
  <c r="L152" i="6" s="1"/>
  <c r="M152" i="6" s="1"/>
  <c r="G149" i="6"/>
  <c r="H149" i="6" s="1"/>
  <c r="G160" i="6"/>
  <c r="H160" i="6" s="1"/>
  <c r="G155" i="6"/>
  <c r="H155" i="6" s="1"/>
  <c r="J153" i="6"/>
  <c r="K153" i="6" s="1"/>
  <c r="L153" i="6" s="1"/>
  <c r="M153" i="6" s="1"/>
  <c r="J146" i="6"/>
  <c r="G145" i="6"/>
  <c r="H145" i="6" s="1"/>
  <c r="G161" i="6"/>
  <c r="H161" i="6" s="1"/>
  <c r="G158" i="6"/>
  <c r="H158" i="6" s="1"/>
  <c r="G152" i="6"/>
  <c r="H152" i="6" s="1"/>
  <c r="J149" i="6"/>
  <c r="J147" i="6"/>
  <c r="G146" i="6"/>
  <c r="L144" i="6"/>
  <c r="M144" i="6" s="1"/>
  <c r="G147" i="6"/>
  <c r="J223" i="6"/>
  <c r="K223" i="6" s="1"/>
  <c r="J220" i="6"/>
  <c r="K220" i="6" s="1"/>
  <c r="L220" i="6" s="1"/>
  <c r="M220" i="6" s="1"/>
  <c r="J219" i="6"/>
  <c r="K219" i="6" s="1"/>
  <c r="J226" i="6"/>
  <c r="K226" i="6" s="1"/>
  <c r="J328" i="6"/>
  <c r="K328" i="6" s="1"/>
  <c r="L328" i="6" s="1"/>
  <c r="M328" i="6" s="1"/>
  <c r="L160" i="6"/>
  <c r="M160" i="6" s="1"/>
  <c r="L200" i="6"/>
  <c r="M200" i="6" s="1"/>
  <c r="M74" i="6"/>
  <c r="I74" i="6"/>
  <c r="L74" i="6"/>
  <c r="H74" i="6"/>
  <c r="O74" i="6"/>
  <c r="K74" i="6"/>
  <c r="L88" i="6"/>
  <c r="M88" i="6" s="1"/>
  <c r="J163" i="6"/>
  <c r="K163" i="6" s="1"/>
  <c r="J225" i="6"/>
  <c r="K225" i="6" s="1"/>
  <c r="H262" i="6"/>
  <c r="I319" i="6"/>
  <c r="J319" i="6" s="1"/>
  <c r="K319" i="6" s="1"/>
  <c r="L227" i="6"/>
  <c r="M227" i="6" s="1"/>
  <c r="L256" i="6"/>
  <c r="M256" i="6" s="1"/>
  <c r="L552" i="6"/>
  <c r="M552" i="6" s="1"/>
  <c r="J74" i="6"/>
  <c r="J108" i="6"/>
  <c r="K108" i="6" s="1"/>
  <c r="L108" i="6" s="1"/>
  <c r="M108" i="6" s="1"/>
  <c r="J107" i="6"/>
  <c r="K107" i="6" s="1"/>
  <c r="H150" i="6"/>
  <c r="L145" i="6"/>
  <c r="M145" i="6" s="1"/>
  <c r="L155" i="6"/>
  <c r="M155" i="6" s="1"/>
  <c r="L312" i="6"/>
  <c r="M312" i="6" s="1"/>
  <c r="L424" i="6"/>
  <c r="M424" i="6" s="1"/>
  <c r="L490" i="6"/>
  <c r="M490" i="6" s="1"/>
  <c r="L994" i="6"/>
  <c r="M994" i="6" s="1"/>
  <c r="J724" i="6"/>
  <c r="K724" i="6" s="1"/>
  <c r="J723" i="6"/>
  <c r="K723" i="6" s="1"/>
  <c r="J720" i="6"/>
  <c r="K720" i="6" s="1"/>
  <c r="J954" i="6"/>
  <c r="K954" i="6" s="1"/>
  <c r="J955" i="6"/>
  <c r="K955" i="6" s="1"/>
  <c r="J953" i="6"/>
  <c r="K953" i="6" s="1"/>
  <c r="J73" i="6"/>
  <c r="N73" i="6"/>
  <c r="A88" i="6"/>
  <c r="G93" i="6"/>
  <c r="H93" i="6" s="1"/>
  <c r="H94" i="6" s="1"/>
  <c r="I95" i="6"/>
  <c r="J95" i="6" s="1"/>
  <c r="K95" i="6" s="1"/>
  <c r="J96" i="6"/>
  <c r="K96" i="6" s="1"/>
  <c r="L96" i="6" s="1"/>
  <c r="M96" i="6" s="1"/>
  <c r="G98" i="6"/>
  <c r="H98" i="6" s="1"/>
  <c r="I100" i="6"/>
  <c r="K100" i="6" s="1"/>
  <c r="L100" i="6" s="1"/>
  <c r="M100" i="6" s="1"/>
  <c r="J102" i="6"/>
  <c r="K102" i="6" s="1"/>
  <c r="J105" i="6"/>
  <c r="K105" i="6" s="1"/>
  <c r="L105" i="6" s="1"/>
  <c r="M105" i="6" s="1"/>
  <c r="G113" i="6"/>
  <c r="H113" i="6" s="1"/>
  <c r="G114" i="6"/>
  <c r="H114" i="6" s="1"/>
  <c r="G115" i="6"/>
  <c r="H115" i="6" s="1"/>
  <c r="L115" i="6" s="1"/>
  <c r="M115" i="6" s="1"/>
  <c r="J154" i="6"/>
  <c r="K154" i="6" s="1"/>
  <c r="L154" i="6" s="1"/>
  <c r="M154" i="6" s="1"/>
  <c r="G167" i="6"/>
  <c r="H167" i="6" s="1"/>
  <c r="J168" i="6"/>
  <c r="K168" i="6" s="1"/>
  <c r="A200" i="6"/>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G205" i="6"/>
  <c r="H205" i="6" s="1"/>
  <c r="H206" i="6" s="1"/>
  <c r="I207" i="6"/>
  <c r="J207" i="6" s="1"/>
  <c r="K207" i="6" s="1"/>
  <c r="L207" i="6" s="1"/>
  <c r="M207" i="6" s="1"/>
  <c r="J208" i="6"/>
  <c r="K208" i="6" s="1"/>
  <c r="L208" i="6" s="1"/>
  <c r="M208" i="6" s="1"/>
  <c r="G210" i="6"/>
  <c r="H210" i="6" s="1"/>
  <c r="I212" i="6"/>
  <c r="K212" i="6" s="1"/>
  <c r="L212" i="6" s="1"/>
  <c r="M212" i="6" s="1"/>
  <c r="J214" i="6"/>
  <c r="K214" i="6" s="1"/>
  <c r="J217" i="6"/>
  <c r="K217" i="6" s="1"/>
  <c r="L217" i="6" s="1"/>
  <c r="M217" i="6" s="1"/>
  <c r="G225" i="6"/>
  <c r="H225" i="6" s="1"/>
  <c r="G226" i="6"/>
  <c r="H226" i="6" s="1"/>
  <c r="G227" i="6"/>
  <c r="H227" i="6" s="1"/>
  <c r="J280" i="6"/>
  <c r="K280" i="6" s="1"/>
  <c r="G279" i="6"/>
  <c r="H279" i="6" s="1"/>
  <c r="J266" i="6"/>
  <c r="K266" i="6" s="1"/>
  <c r="J279" i="6"/>
  <c r="K279" i="6" s="1"/>
  <c r="J276" i="6"/>
  <c r="K276" i="6" s="1"/>
  <c r="J275" i="6"/>
  <c r="K275" i="6" s="1"/>
  <c r="A256" i="6"/>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G261" i="6"/>
  <c r="H261" i="6" s="1"/>
  <c r="I263" i="6"/>
  <c r="J263" i="6" s="1"/>
  <c r="K263" i="6" s="1"/>
  <c r="L263" i="6" s="1"/>
  <c r="M263" i="6" s="1"/>
  <c r="J264" i="6"/>
  <c r="K264" i="6" s="1"/>
  <c r="G266" i="6"/>
  <c r="H266" i="6" s="1"/>
  <c r="I268" i="6"/>
  <c r="K268" i="6" s="1"/>
  <c r="L268" i="6" s="1"/>
  <c r="M268" i="6" s="1"/>
  <c r="G282" i="6"/>
  <c r="H282" i="6" s="1"/>
  <c r="G339" i="6"/>
  <c r="H339" i="6" s="1"/>
  <c r="G338" i="6"/>
  <c r="H338" i="6" s="1"/>
  <c r="G337" i="6"/>
  <c r="H337" i="6" s="1"/>
  <c r="J329" i="6"/>
  <c r="K329" i="6" s="1"/>
  <c r="J339" i="6"/>
  <c r="K339" i="6" s="1"/>
  <c r="J338" i="6"/>
  <c r="K338" i="6" s="1"/>
  <c r="J337" i="6"/>
  <c r="K337" i="6" s="1"/>
  <c r="L337" i="6" s="1"/>
  <c r="M337" i="6" s="1"/>
  <c r="G336" i="6"/>
  <c r="H336" i="6" s="1"/>
  <c r="G332" i="6"/>
  <c r="H332" i="6" s="1"/>
  <c r="G331" i="6"/>
  <c r="H331" i="6" s="1"/>
  <c r="J336" i="6"/>
  <c r="K336" i="6" s="1"/>
  <c r="G335" i="6"/>
  <c r="H335" i="6" s="1"/>
  <c r="J322" i="6"/>
  <c r="K322" i="6" s="1"/>
  <c r="L322" i="6" s="1"/>
  <c r="M322" i="6" s="1"/>
  <c r="J326" i="6"/>
  <c r="K326" i="6" s="1"/>
  <c r="L326" i="6" s="1"/>
  <c r="M326" i="6" s="1"/>
  <c r="J331" i="6"/>
  <c r="K331" i="6" s="1"/>
  <c r="A368" i="6"/>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I380" i="6"/>
  <c r="K380" i="6" s="1"/>
  <c r="J384" i="6"/>
  <c r="K384" i="6" s="1"/>
  <c r="L384" i="6" s="1"/>
  <c r="M384" i="6" s="1"/>
  <c r="J379" i="6"/>
  <c r="K379" i="6" s="1"/>
  <c r="G377" i="6"/>
  <c r="H377" i="6" s="1"/>
  <c r="G371" i="6"/>
  <c r="J385" i="6"/>
  <c r="K385" i="6" s="1"/>
  <c r="L385" i="6" s="1"/>
  <c r="M385" i="6" s="1"/>
  <c r="J382" i="6"/>
  <c r="K382" i="6" s="1"/>
  <c r="J376" i="6"/>
  <c r="K376" i="6" s="1"/>
  <c r="L376" i="6" s="1"/>
  <c r="M376" i="6" s="1"/>
  <c r="G373" i="6"/>
  <c r="H373" i="6" s="1"/>
  <c r="G369" i="6"/>
  <c r="H369" i="6" s="1"/>
  <c r="H374" i="6" s="1"/>
  <c r="G384" i="6"/>
  <c r="H384" i="6" s="1"/>
  <c r="G379" i="6"/>
  <c r="H379" i="6" s="1"/>
  <c r="J377" i="6"/>
  <c r="K377" i="6" s="1"/>
  <c r="J370" i="6"/>
  <c r="J371" i="6"/>
  <c r="F380" i="6"/>
  <c r="H380" i="6" s="1"/>
  <c r="G382" i="6"/>
  <c r="H382" i="6" s="1"/>
  <c r="G448" i="6"/>
  <c r="H448" i="6" s="1"/>
  <c r="J450" i="6"/>
  <c r="K450" i="6" s="1"/>
  <c r="L480" i="6"/>
  <c r="M480" i="6" s="1"/>
  <c r="L489" i="6"/>
  <c r="M489" i="6" s="1"/>
  <c r="J539" i="6"/>
  <c r="J544" i="6"/>
  <c r="K544" i="6" s="1"/>
  <c r="J547" i="6"/>
  <c r="K547" i="6" s="1"/>
  <c r="L731" i="6"/>
  <c r="M731" i="6" s="1"/>
  <c r="L592" i="6"/>
  <c r="M592" i="6" s="1"/>
  <c r="K73" i="6"/>
  <c r="O73" i="6"/>
  <c r="J89" i="6"/>
  <c r="K89" i="6" s="1"/>
  <c r="L89" i="6" s="1"/>
  <c r="M89" i="6" s="1"/>
  <c r="G91" i="6"/>
  <c r="G97" i="6"/>
  <c r="H97" i="6" s="1"/>
  <c r="L97" i="6" s="1"/>
  <c r="M97" i="6" s="1"/>
  <c r="J99" i="6"/>
  <c r="K99" i="6" s="1"/>
  <c r="L99" i="6" s="1"/>
  <c r="M99" i="6" s="1"/>
  <c r="J104" i="6"/>
  <c r="K104" i="6" s="1"/>
  <c r="L104" i="6" s="1"/>
  <c r="M104" i="6" s="1"/>
  <c r="J201" i="6"/>
  <c r="K201" i="6" s="1"/>
  <c r="L201" i="6" s="1"/>
  <c r="M201" i="6" s="1"/>
  <c r="G203" i="6"/>
  <c r="G209" i="6"/>
  <c r="H209" i="6" s="1"/>
  <c r="L209" i="6" s="1"/>
  <c r="M209" i="6" s="1"/>
  <c r="J211" i="6"/>
  <c r="K211" i="6" s="1"/>
  <c r="L211" i="6" s="1"/>
  <c r="M211" i="6" s="1"/>
  <c r="J216" i="6"/>
  <c r="K216" i="6" s="1"/>
  <c r="L216" i="6" s="1"/>
  <c r="M216" i="6" s="1"/>
  <c r="G273" i="6"/>
  <c r="H273" i="6" s="1"/>
  <c r="L273" i="6" s="1"/>
  <c r="M273" i="6" s="1"/>
  <c r="G270" i="6"/>
  <c r="H270" i="6" s="1"/>
  <c r="L270" i="6" s="1"/>
  <c r="M270" i="6" s="1"/>
  <c r="J272" i="6"/>
  <c r="K272" i="6" s="1"/>
  <c r="J267" i="6"/>
  <c r="K267" i="6" s="1"/>
  <c r="L267" i="6" s="1"/>
  <c r="M267" i="6" s="1"/>
  <c r="G265" i="6"/>
  <c r="H265" i="6" s="1"/>
  <c r="J257" i="6"/>
  <c r="K257" i="6" s="1"/>
  <c r="L257" i="6" s="1"/>
  <c r="M257" i="6" s="1"/>
  <c r="G259" i="6"/>
  <c r="J265" i="6"/>
  <c r="K265" i="6" s="1"/>
  <c r="L265" i="6" s="1"/>
  <c r="M265" i="6" s="1"/>
  <c r="G376" i="6"/>
  <c r="H376" i="6" s="1"/>
  <c r="J449" i="6"/>
  <c r="K449" i="6" s="1"/>
  <c r="L536" i="6"/>
  <c r="M536" i="6" s="1"/>
  <c r="G545" i="6"/>
  <c r="H545" i="6" s="1"/>
  <c r="H73" i="6"/>
  <c r="G90" i="6"/>
  <c r="J91" i="6"/>
  <c r="J93" i="6"/>
  <c r="K93" i="6" s="1"/>
  <c r="G96" i="6"/>
  <c r="H96" i="6" s="1"/>
  <c r="J98" i="6"/>
  <c r="K98" i="6" s="1"/>
  <c r="L98" i="6" s="1"/>
  <c r="M98" i="6" s="1"/>
  <c r="G102" i="6"/>
  <c r="H102" i="6" s="1"/>
  <c r="G111" i="6"/>
  <c r="H111" i="6" s="1"/>
  <c r="I151" i="6"/>
  <c r="J151" i="6" s="1"/>
  <c r="K151" i="6" s="1"/>
  <c r="G154" i="6"/>
  <c r="H154" i="6" s="1"/>
  <c r="G169" i="6"/>
  <c r="H169" i="6" s="1"/>
  <c r="G170" i="6"/>
  <c r="H170" i="6" s="1"/>
  <c r="G202" i="6"/>
  <c r="J203" i="6"/>
  <c r="J205" i="6"/>
  <c r="G208" i="6"/>
  <c r="H208" i="6" s="1"/>
  <c r="J210" i="6"/>
  <c r="K210" i="6" s="1"/>
  <c r="L210" i="6" s="1"/>
  <c r="M210" i="6" s="1"/>
  <c r="G214" i="6"/>
  <c r="H214" i="6" s="1"/>
  <c r="G223" i="6"/>
  <c r="H223" i="6" s="1"/>
  <c r="G258" i="6"/>
  <c r="J259" i="6"/>
  <c r="J261" i="6"/>
  <c r="G264" i="6"/>
  <c r="H264" i="6" s="1"/>
  <c r="G272" i="6"/>
  <c r="H272" i="6" s="1"/>
  <c r="G276" i="6"/>
  <c r="H276" i="6" s="1"/>
  <c r="J282" i="6"/>
  <c r="K282" i="6" s="1"/>
  <c r="L323" i="6"/>
  <c r="M323" i="6" s="1"/>
  <c r="L368" i="6"/>
  <c r="M368" i="6" s="1"/>
  <c r="L369" i="6"/>
  <c r="M369" i="6" s="1"/>
  <c r="L433" i="6"/>
  <c r="M433" i="6" s="1"/>
  <c r="L492" i="6"/>
  <c r="M492" i="6" s="1"/>
  <c r="J496" i="6"/>
  <c r="K496" i="6" s="1"/>
  <c r="L496" i="6" s="1"/>
  <c r="M496" i="6" s="1"/>
  <c r="A536" i="6"/>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I548" i="6"/>
  <c r="K548" i="6" s="1"/>
  <c r="L548" i="6" s="1"/>
  <c r="M548" i="6" s="1"/>
  <c r="G552" i="6"/>
  <c r="H552" i="6" s="1"/>
  <c r="G547" i="6"/>
  <c r="H547" i="6" s="1"/>
  <c r="J545" i="6"/>
  <c r="K545" i="6" s="1"/>
  <c r="L545" i="6" s="1"/>
  <c r="M545" i="6" s="1"/>
  <c r="J538" i="6"/>
  <c r="G537" i="6"/>
  <c r="H537" i="6" s="1"/>
  <c r="G544" i="6"/>
  <c r="H544" i="6" s="1"/>
  <c r="J541" i="6"/>
  <c r="K541" i="6" s="1"/>
  <c r="G539" i="6"/>
  <c r="J550" i="6"/>
  <c r="K550" i="6" s="1"/>
  <c r="J553" i="6"/>
  <c r="K553" i="6" s="1"/>
  <c r="L553" i="6" s="1"/>
  <c r="M553" i="6" s="1"/>
  <c r="G550" i="6"/>
  <c r="H550" i="6" s="1"/>
  <c r="G541" i="6"/>
  <c r="H541" i="6" s="1"/>
  <c r="G538" i="6"/>
  <c r="J537" i="6"/>
  <c r="K537" i="6" s="1"/>
  <c r="L537" i="6" s="1"/>
  <c r="M537" i="6" s="1"/>
  <c r="G553" i="6"/>
  <c r="H553" i="6" s="1"/>
  <c r="J664" i="6"/>
  <c r="K664" i="6" s="1"/>
  <c r="L664" i="6" s="1"/>
  <c r="M664" i="6" s="1"/>
  <c r="J313" i="6"/>
  <c r="K313" i="6" s="1"/>
  <c r="L313" i="6" s="1"/>
  <c r="M313" i="6" s="1"/>
  <c r="J315" i="6"/>
  <c r="J317" i="6"/>
  <c r="G320" i="6"/>
  <c r="H320" i="6" s="1"/>
  <c r="H327" i="6" s="1"/>
  <c r="G326" i="6"/>
  <c r="H326" i="6" s="1"/>
  <c r="G329" i="6"/>
  <c r="H329" i="6" s="1"/>
  <c r="G387" i="6"/>
  <c r="H387" i="6" s="1"/>
  <c r="G388" i="6"/>
  <c r="H388" i="6" s="1"/>
  <c r="G392" i="6"/>
  <c r="H392" i="6" s="1"/>
  <c r="L392" i="6" s="1"/>
  <c r="M392" i="6" s="1"/>
  <c r="J393" i="6"/>
  <c r="K393" i="6" s="1"/>
  <c r="J394" i="6"/>
  <c r="K394" i="6" s="1"/>
  <c r="J395" i="6"/>
  <c r="K395" i="6" s="1"/>
  <c r="G425" i="6"/>
  <c r="H425" i="6" s="1"/>
  <c r="H430" i="6" s="1"/>
  <c r="G429" i="6"/>
  <c r="H429" i="6" s="1"/>
  <c r="I431" i="6"/>
  <c r="J431" i="6" s="1"/>
  <c r="K431" i="6" s="1"/>
  <c r="J432" i="6"/>
  <c r="K432" i="6" s="1"/>
  <c r="G434" i="6"/>
  <c r="H434" i="6" s="1"/>
  <c r="L434" i="6" s="1"/>
  <c r="M434" i="6" s="1"/>
  <c r="I436" i="6"/>
  <c r="K436" i="6" s="1"/>
  <c r="L436" i="6" s="1"/>
  <c r="M436" i="6" s="1"/>
  <c r="J438" i="6"/>
  <c r="K438" i="6" s="1"/>
  <c r="L438" i="6" s="1"/>
  <c r="M438" i="6" s="1"/>
  <c r="J441" i="6"/>
  <c r="K441" i="6" s="1"/>
  <c r="L441" i="6" s="1"/>
  <c r="M441" i="6" s="1"/>
  <c r="G449" i="6"/>
  <c r="H449" i="6" s="1"/>
  <c r="G450" i="6"/>
  <c r="H450" i="6" s="1"/>
  <c r="G451" i="6"/>
  <c r="H451" i="6" s="1"/>
  <c r="L451" i="6" s="1"/>
  <c r="M451" i="6" s="1"/>
  <c r="G485" i="6"/>
  <c r="H485" i="6" s="1"/>
  <c r="L485" i="6" s="1"/>
  <c r="M485" i="6" s="1"/>
  <c r="I487" i="6"/>
  <c r="J487" i="6" s="1"/>
  <c r="K487" i="6" s="1"/>
  <c r="J488" i="6"/>
  <c r="K488" i="6" s="1"/>
  <c r="L488" i="6" s="1"/>
  <c r="M488" i="6" s="1"/>
  <c r="G490" i="6"/>
  <c r="H490" i="6" s="1"/>
  <c r="J494" i="6"/>
  <c r="K494" i="6" s="1"/>
  <c r="L494" i="6" s="1"/>
  <c r="M494" i="6" s="1"/>
  <c r="J497" i="6"/>
  <c r="K497" i="6" s="1"/>
  <c r="L497" i="6" s="1"/>
  <c r="M497" i="6" s="1"/>
  <c r="G505" i="6"/>
  <c r="H505" i="6" s="1"/>
  <c r="G506" i="6"/>
  <c r="H506" i="6" s="1"/>
  <c r="L506" i="6" s="1"/>
  <c r="M506" i="6" s="1"/>
  <c r="G507" i="6"/>
  <c r="H507" i="6" s="1"/>
  <c r="G546" i="6"/>
  <c r="H546" i="6" s="1"/>
  <c r="J556" i="6"/>
  <c r="K556" i="6" s="1"/>
  <c r="L556" i="6" s="1"/>
  <c r="M556" i="6" s="1"/>
  <c r="J560" i="6"/>
  <c r="K560" i="6" s="1"/>
  <c r="J619" i="6"/>
  <c r="K619" i="6" s="1"/>
  <c r="J618" i="6"/>
  <c r="K618" i="6" s="1"/>
  <c r="J617" i="6"/>
  <c r="K617" i="6" s="1"/>
  <c r="J616" i="6"/>
  <c r="K616" i="6" s="1"/>
  <c r="G615" i="6"/>
  <c r="H615" i="6" s="1"/>
  <c r="G609" i="6"/>
  <c r="H609" i="6" s="1"/>
  <c r="L609" i="6" s="1"/>
  <c r="M609" i="6" s="1"/>
  <c r="G606" i="6"/>
  <c r="H606" i="6" s="1"/>
  <c r="J602" i="6"/>
  <c r="K602" i="6" s="1"/>
  <c r="L602" i="6" s="1"/>
  <c r="M602" i="6" s="1"/>
  <c r="G600" i="6"/>
  <c r="H600" i="6" s="1"/>
  <c r="J597" i="6"/>
  <c r="K597" i="6" s="1"/>
  <c r="J595" i="6"/>
  <c r="G594" i="6"/>
  <c r="J615" i="6"/>
  <c r="K615" i="6" s="1"/>
  <c r="L615" i="6" s="1"/>
  <c r="M615" i="6" s="1"/>
  <c r="J612" i="6"/>
  <c r="K612" i="6" s="1"/>
  <c r="L612" i="6" s="1"/>
  <c r="M612" i="6" s="1"/>
  <c r="J611" i="6"/>
  <c r="K611" i="6" s="1"/>
  <c r="F599" i="6"/>
  <c r="G599" i="6" s="1"/>
  <c r="H599" i="6" s="1"/>
  <c r="J601" i="6"/>
  <c r="K601" i="6" s="1"/>
  <c r="L601" i="6" s="1"/>
  <c r="M601" i="6" s="1"/>
  <c r="L604" i="6"/>
  <c r="M604" i="6" s="1"/>
  <c r="J606" i="6"/>
  <c r="K606" i="6" s="1"/>
  <c r="L606" i="6" s="1"/>
  <c r="M606" i="6" s="1"/>
  <c r="L660" i="6"/>
  <c r="M660" i="6" s="1"/>
  <c r="J314" i="6"/>
  <c r="J321" i="6"/>
  <c r="K321" i="6" s="1"/>
  <c r="L321" i="6" s="1"/>
  <c r="M321" i="6" s="1"/>
  <c r="G323" i="6"/>
  <c r="H323" i="6" s="1"/>
  <c r="I375" i="6"/>
  <c r="J375" i="6" s="1"/>
  <c r="K375" i="6" s="1"/>
  <c r="G378" i="6"/>
  <c r="H378" i="6" s="1"/>
  <c r="L378" i="6" s="1"/>
  <c r="M378" i="6" s="1"/>
  <c r="G393" i="6"/>
  <c r="H393" i="6" s="1"/>
  <c r="G394" i="6"/>
  <c r="H394" i="6" s="1"/>
  <c r="G395" i="6"/>
  <c r="H395" i="6" s="1"/>
  <c r="A424" i="6"/>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G427" i="6"/>
  <c r="F431" i="6"/>
  <c r="G431" i="6" s="1"/>
  <c r="H431" i="6" s="1"/>
  <c r="G433" i="6"/>
  <c r="H433" i="6" s="1"/>
  <c r="J435" i="6"/>
  <c r="K435" i="6" s="1"/>
  <c r="L435" i="6" s="1"/>
  <c r="M435" i="6" s="1"/>
  <c r="J440" i="6"/>
  <c r="K440" i="6" s="1"/>
  <c r="L440" i="6" s="1"/>
  <c r="M440" i="6" s="1"/>
  <c r="J443" i="6"/>
  <c r="K443" i="6" s="1"/>
  <c r="J444" i="6"/>
  <c r="K444" i="6" s="1"/>
  <c r="L444" i="6" s="1"/>
  <c r="M444" i="6" s="1"/>
  <c r="J481" i="6"/>
  <c r="K481" i="6" s="1"/>
  <c r="L481" i="6" s="1"/>
  <c r="M481" i="6" s="1"/>
  <c r="G483" i="6"/>
  <c r="F487" i="6"/>
  <c r="G487" i="6" s="1"/>
  <c r="H487" i="6" s="1"/>
  <c r="G489" i="6"/>
  <c r="H489" i="6" s="1"/>
  <c r="J491" i="6"/>
  <c r="K491" i="6" s="1"/>
  <c r="L491" i="6" s="1"/>
  <c r="M491" i="6" s="1"/>
  <c r="J499" i="6"/>
  <c r="K499" i="6" s="1"/>
  <c r="J500" i="6"/>
  <c r="K500" i="6" s="1"/>
  <c r="L500" i="6" s="1"/>
  <c r="M500" i="6" s="1"/>
  <c r="I543" i="6"/>
  <c r="J543" i="6" s="1"/>
  <c r="K543" i="6" s="1"/>
  <c r="L543" i="6" s="1"/>
  <c r="M543" i="6" s="1"/>
  <c r="L549" i="6"/>
  <c r="M549" i="6" s="1"/>
  <c r="J608" i="6"/>
  <c r="K608" i="6" s="1"/>
  <c r="L608" i="6" s="1"/>
  <c r="M608" i="6" s="1"/>
  <c r="G593" i="6"/>
  <c r="H593" i="6" s="1"/>
  <c r="J594" i="6"/>
  <c r="G597" i="6"/>
  <c r="H597" i="6" s="1"/>
  <c r="I599" i="6"/>
  <c r="J599" i="6" s="1"/>
  <c r="K599" i="6" s="1"/>
  <c r="J600" i="6"/>
  <c r="K600" i="6" s="1"/>
  <c r="G611" i="6"/>
  <c r="H611" i="6" s="1"/>
  <c r="G616" i="6"/>
  <c r="H616" i="6" s="1"/>
  <c r="G619" i="6"/>
  <c r="H619" i="6" s="1"/>
  <c r="G724" i="6"/>
  <c r="H724" i="6" s="1"/>
  <c r="G723" i="6"/>
  <c r="H723" i="6" s="1"/>
  <c r="L760" i="6"/>
  <c r="M760" i="6" s="1"/>
  <c r="F375" i="6"/>
  <c r="G375" i="6" s="1"/>
  <c r="H375" i="6" s="1"/>
  <c r="J387" i="6"/>
  <c r="K387" i="6" s="1"/>
  <c r="J388" i="6"/>
  <c r="K388" i="6" s="1"/>
  <c r="L388" i="6" s="1"/>
  <c r="M388" i="6" s="1"/>
  <c r="J425" i="6"/>
  <c r="K425" i="6" s="1"/>
  <c r="L425" i="6" s="1"/>
  <c r="M425" i="6" s="1"/>
  <c r="J427" i="6"/>
  <c r="J429" i="6"/>
  <c r="G432" i="6"/>
  <c r="H432" i="6" s="1"/>
  <c r="G438" i="6"/>
  <c r="H438" i="6" s="1"/>
  <c r="G563" i="6"/>
  <c r="H563" i="6" s="1"/>
  <c r="G562" i="6"/>
  <c r="H562" i="6" s="1"/>
  <c r="G561" i="6"/>
  <c r="H561" i="6" s="1"/>
  <c r="J563" i="6"/>
  <c r="K563" i="6" s="1"/>
  <c r="J562" i="6"/>
  <c r="K562" i="6" s="1"/>
  <c r="J561" i="6"/>
  <c r="K561" i="6" s="1"/>
  <c r="G560" i="6"/>
  <c r="H560" i="6" s="1"/>
  <c r="G556" i="6"/>
  <c r="H556" i="6" s="1"/>
  <c r="G555" i="6"/>
  <c r="H555" i="6" s="1"/>
  <c r="J546" i="6"/>
  <c r="K546" i="6" s="1"/>
  <c r="L546" i="6" s="1"/>
  <c r="M546" i="6" s="1"/>
  <c r="J555" i="6"/>
  <c r="K555" i="6" s="1"/>
  <c r="L648" i="6"/>
  <c r="M648" i="6" s="1"/>
  <c r="J593" i="6"/>
  <c r="K593" i="6" s="1"/>
  <c r="G595" i="6"/>
  <c r="G601" i="6"/>
  <c r="H601" i="6" s="1"/>
  <c r="J603" i="6"/>
  <c r="K603" i="6" s="1"/>
  <c r="L603" i="6" s="1"/>
  <c r="M603" i="6" s="1"/>
  <c r="G649" i="6"/>
  <c r="H649" i="6" s="1"/>
  <c r="J650" i="6"/>
  <c r="I655" i="6"/>
  <c r="J655" i="6" s="1"/>
  <c r="K655" i="6" s="1"/>
  <c r="G659" i="6"/>
  <c r="H659" i="6" s="1"/>
  <c r="J665" i="6"/>
  <c r="K665" i="6" s="1"/>
  <c r="L665" i="6" s="1"/>
  <c r="M665" i="6" s="1"/>
  <c r="G667" i="6"/>
  <c r="H667" i="6" s="1"/>
  <c r="L667" i="6" s="1"/>
  <c r="M667" i="6" s="1"/>
  <c r="J705" i="6"/>
  <c r="K705" i="6" s="1"/>
  <c r="L705" i="6" s="1"/>
  <c r="M705" i="6" s="1"/>
  <c r="G707" i="6"/>
  <c r="G712" i="6"/>
  <c r="H712" i="6" s="1"/>
  <c r="G718" i="6"/>
  <c r="H718" i="6" s="1"/>
  <c r="K730" i="6"/>
  <c r="J787" i="6"/>
  <c r="K787" i="6" s="1"/>
  <c r="J786" i="6"/>
  <c r="K786" i="6" s="1"/>
  <c r="J785" i="6"/>
  <c r="K785" i="6" s="1"/>
  <c r="G784" i="6"/>
  <c r="H784" i="6" s="1"/>
  <c r="G780" i="6"/>
  <c r="H780" i="6" s="1"/>
  <c r="G779" i="6"/>
  <c r="H779" i="6" s="1"/>
  <c r="J783" i="6"/>
  <c r="K783" i="6" s="1"/>
  <c r="J780" i="6"/>
  <c r="K780" i="6" s="1"/>
  <c r="J779" i="6"/>
  <c r="K779" i="6" s="1"/>
  <c r="F767" i="6"/>
  <c r="G767" i="6" s="1"/>
  <c r="H767" i="6" s="1"/>
  <c r="L767" i="6" s="1"/>
  <c r="M767" i="6" s="1"/>
  <c r="G787" i="6"/>
  <c r="H787" i="6" s="1"/>
  <c r="G786" i="6"/>
  <c r="H786" i="6" s="1"/>
  <c r="G785" i="6"/>
  <c r="H785" i="6" s="1"/>
  <c r="J784" i="6"/>
  <c r="K784" i="6" s="1"/>
  <c r="J770" i="6"/>
  <c r="K770" i="6" s="1"/>
  <c r="L770" i="6" s="1"/>
  <c r="M770" i="6" s="1"/>
  <c r="G770" i="6"/>
  <c r="H770" i="6" s="1"/>
  <c r="J768" i="6"/>
  <c r="K768" i="6" s="1"/>
  <c r="L768" i="6" s="1"/>
  <c r="M768" i="6" s="1"/>
  <c r="J774" i="6"/>
  <c r="K774" i="6" s="1"/>
  <c r="L774" i="6" s="1"/>
  <c r="M774" i="6" s="1"/>
  <c r="G783" i="6"/>
  <c r="H783" i="6" s="1"/>
  <c r="L872" i="6"/>
  <c r="M872" i="6" s="1"/>
  <c r="J672" i="6"/>
  <c r="K672" i="6" s="1"/>
  <c r="G671" i="6"/>
  <c r="H671" i="6" s="1"/>
  <c r="J658" i="6"/>
  <c r="K658" i="6" s="1"/>
  <c r="L658" i="6" s="1"/>
  <c r="M658" i="6" s="1"/>
  <c r="A648" i="6"/>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G653" i="6"/>
  <c r="H653" i="6" s="1"/>
  <c r="J662" i="6"/>
  <c r="K662" i="6" s="1"/>
  <c r="J668" i="6"/>
  <c r="K668" i="6" s="1"/>
  <c r="L668" i="6" s="1"/>
  <c r="M668" i="6" s="1"/>
  <c r="J673" i="6"/>
  <c r="K673" i="6" s="1"/>
  <c r="L673" i="6" s="1"/>
  <c r="M673" i="6" s="1"/>
  <c r="G674" i="6"/>
  <c r="H674" i="6" s="1"/>
  <c r="L674" i="6" s="1"/>
  <c r="M674" i="6" s="1"/>
  <c r="J707" i="6"/>
  <c r="L772" i="6"/>
  <c r="M772" i="6" s="1"/>
  <c r="J765" i="6"/>
  <c r="J777" i="6"/>
  <c r="K777" i="6" s="1"/>
  <c r="G665" i="6"/>
  <c r="H665" i="6" s="1"/>
  <c r="G662" i="6"/>
  <c r="H662" i="6" s="1"/>
  <c r="G656" i="6"/>
  <c r="H656" i="6" s="1"/>
  <c r="J649" i="6"/>
  <c r="K649" i="6" s="1"/>
  <c r="L649" i="6" s="1"/>
  <c r="M649" i="6" s="1"/>
  <c r="G651" i="6"/>
  <c r="J656" i="6"/>
  <c r="K656" i="6" s="1"/>
  <c r="L656" i="6" s="1"/>
  <c r="M656" i="6" s="1"/>
  <c r="G657" i="6"/>
  <c r="H657" i="6" s="1"/>
  <c r="L657" i="6" s="1"/>
  <c r="M657" i="6" s="1"/>
  <c r="J659" i="6"/>
  <c r="K659" i="6" s="1"/>
  <c r="L659" i="6" s="1"/>
  <c r="M659" i="6" s="1"/>
  <c r="I716" i="6"/>
  <c r="K716" i="6" s="1"/>
  <c r="A704" i="6"/>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J721" i="6"/>
  <c r="K721" i="6" s="1"/>
  <c r="L721" i="6" s="1"/>
  <c r="M721" i="6" s="1"/>
  <c r="J718" i="6"/>
  <c r="K718" i="6" s="1"/>
  <c r="L718" i="6" s="1"/>
  <c r="M718" i="6" s="1"/>
  <c r="J712" i="6"/>
  <c r="K712" i="6" s="1"/>
  <c r="G709" i="6"/>
  <c r="H709" i="6" s="1"/>
  <c r="G720" i="6"/>
  <c r="H720" i="6" s="1"/>
  <c r="G715" i="6"/>
  <c r="H715" i="6" s="1"/>
  <c r="L715" i="6" s="1"/>
  <c r="M715" i="6" s="1"/>
  <c r="J713" i="6"/>
  <c r="K713" i="6" s="1"/>
  <c r="L713" i="6" s="1"/>
  <c r="M713" i="6" s="1"/>
  <c r="J706" i="6"/>
  <c r="G705" i="6"/>
  <c r="H705" i="6" s="1"/>
  <c r="H710" i="6" s="1"/>
  <c r="F716" i="6"/>
  <c r="H716" i="6" s="1"/>
  <c r="G721" i="6"/>
  <c r="H721" i="6" s="1"/>
  <c r="L928" i="6"/>
  <c r="M928" i="6" s="1"/>
  <c r="G776" i="6"/>
  <c r="H776" i="6" s="1"/>
  <c r="G771" i="6"/>
  <c r="H771" i="6" s="1"/>
  <c r="J769" i="6"/>
  <c r="K769" i="6" s="1"/>
  <c r="J762" i="6"/>
  <c r="G761" i="6"/>
  <c r="H761" i="6" s="1"/>
  <c r="J776" i="6"/>
  <c r="K776" i="6" s="1"/>
  <c r="L776" i="6" s="1"/>
  <c r="M776" i="6" s="1"/>
  <c r="J771" i="6"/>
  <c r="K771" i="6" s="1"/>
  <c r="G769" i="6"/>
  <c r="H769" i="6" s="1"/>
  <c r="G763" i="6"/>
  <c r="J761" i="6"/>
  <c r="K761" i="6" s="1"/>
  <c r="L761" i="6" s="1"/>
  <c r="M761" i="6" s="1"/>
  <c r="G762" i="6"/>
  <c r="G882" i="6"/>
  <c r="H882" i="6" s="1"/>
  <c r="G892" i="6"/>
  <c r="H892" i="6" s="1"/>
  <c r="L938" i="6"/>
  <c r="M938" i="6" s="1"/>
  <c r="L1054" i="6"/>
  <c r="M1054" i="6" s="1"/>
  <c r="I711" i="6"/>
  <c r="J711" i="6" s="1"/>
  <c r="K711" i="6" s="1"/>
  <c r="L711" i="6" s="1"/>
  <c r="M711" i="6" s="1"/>
  <c r="G714" i="6"/>
  <c r="H714" i="6" s="1"/>
  <c r="L714" i="6" s="1"/>
  <c r="M714" i="6" s="1"/>
  <c r="G729" i="6"/>
  <c r="H729" i="6" s="1"/>
  <c r="L729" i="6" s="1"/>
  <c r="M729" i="6" s="1"/>
  <c r="G730" i="6"/>
  <c r="H730" i="6" s="1"/>
  <c r="G765" i="6"/>
  <c r="H765" i="6" s="1"/>
  <c r="G768" i="6"/>
  <c r="H768" i="6" s="1"/>
  <c r="G777" i="6"/>
  <c r="H777" i="6" s="1"/>
  <c r="J839" i="6"/>
  <c r="K839" i="6" s="1"/>
  <c r="J836" i="6"/>
  <c r="K836" i="6" s="1"/>
  <c r="J835" i="6"/>
  <c r="K835" i="6" s="1"/>
  <c r="F823" i="6"/>
  <c r="G823" i="6" s="1"/>
  <c r="H823" i="6" s="1"/>
  <c r="L823" i="6" s="1"/>
  <c r="M823" i="6" s="1"/>
  <c r="J843" i="6"/>
  <c r="K843" i="6" s="1"/>
  <c r="J842" i="6"/>
  <c r="K842" i="6" s="1"/>
  <c r="J841" i="6"/>
  <c r="K841" i="6" s="1"/>
  <c r="G840" i="6"/>
  <c r="H840" i="6" s="1"/>
  <c r="G836" i="6"/>
  <c r="H836" i="6" s="1"/>
  <c r="G835" i="6"/>
  <c r="H835" i="6" s="1"/>
  <c r="J826" i="6"/>
  <c r="K826" i="6" s="1"/>
  <c r="L826" i="6" s="1"/>
  <c r="M826" i="6" s="1"/>
  <c r="J840" i="6"/>
  <c r="K840" i="6" s="1"/>
  <c r="L840" i="6" s="1"/>
  <c r="M840" i="6" s="1"/>
  <c r="G841" i="6"/>
  <c r="H841" i="6" s="1"/>
  <c r="G842" i="6"/>
  <c r="H842" i="6" s="1"/>
  <c r="G843" i="6"/>
  <c r="H843" i="6" s="1"/>
  <c r="J895" i="6"/>
  <c r="K895" i="6" s="1"/>
  <c r="L895" i="6" s="1"/>
  <c r="M895" i="6" s="1"/>
  <c r="J892" i="6"/>
  <c r="K892" i="6" s="1"/>
  <c r="L892" i="6" s="1"/>
  <c r="M892" i="6" s="1"/>
  <c r="J891" i="6"/>
  <c r="K891" i="6" s="1"/>
  <c r="G899" i="6"/>
  <c r="H899" i="6" s="1"/>
  <c r="G898" i="6"/>
  <c r="H898" i="6" s="1"/>
  <c r="G897" i="6"/>
  <c r="H897" i="6" s="1"/>
  <c r="F879" i="6"/>
  <c r="G879" i="6" s="1"/>
  <c r="H879" i="6" s="1"/>
  <c r="L879" i="6" s="1"/>
  <c r="M879" i="6" s="1"/>
  <c r="G896" i="6"/>
  <c r="H896" i="6" s="1"/>
  <c r="J899" i="6"/>
  <c r="K899" i="6" s="1"/>
  <c r="J898" i="6"/>
  <c r="K898" i="6" s="1"/>
  <c r="J897" i="6"/>
  <c r="K897" i="6" s="1"/>
  <c r="J882" i="6"/>
  <c r="K882" i="6" s="1"/>
  <c r="J896" i="6"/>
  <c r="K896" i="6" s="1"/>
  <c r="G817" i="6"/>
  <c r="H817" i="6" s="1"/>
  <c r="H822" i="6" s="1"/>
  <c r="J818" i="6"/>
  <c r="J825" i="6"/>
  <c r="K825" i="6" s="1"/>
  <c r="G827" i="6"/>
  <c r="H827" i="6" s="1"/>
  <c r="G832" i="6"/>
  <c r="H832" i="6" s="1"/>
  <c r="L832" i="6" s="1"/>
  <c r="M832" i="6" s="1"/>
  <c r="G873" i="6"/>
  <c r="H873" i="6" s="1"/>
  <c r="H878" i="6" s="1"/>
  <c r="J874" i="6"/>
  <c r="J881" i="6"/>
  <c r="K881" i="6" s="1"/>
  <c r="G883" i="6"/>
  <c r="H883" i="6" s="1"/>
  <c r="J886" i="6"/>
  <c r="K886" i="6" s="1"/>
  <c r="J817" i="6"/>
  <c r="K817" i="6" s="1"/>
  <c r="G819" i="6"/>
  <c r="G825" i="6"/>
  <c r="H825" i="6" s="1"/>
  <c r="J827" i="6"/>
  <c r="K827" i="6" s="1"/>
  <c r="J888" i="6"/>
  <c r="K888" i="6" s="1"/>
  <c r="L888" i="6" s="1"/>
  <c r="M888" i="6" s="1"/>
  <c r="J889" i="6"/>
  <c r="K889" i="6" s="1"/>
  <c r="L889" i="6" s="1"/>
  <c r="M889" i="6" s="1"/>
  <c r="J873" i="6"/>
  <c r="K873" i="6" s="1"/>
  <c r="L873" i="6" s="1"/>
  <c r="M873" i="6" s="1"/>
  <c r="G875" i="6"/>
  <c r="G881" i="6"/>
  <c r="H881" i="6" s="1"/>
  <c r="J883" i="6"/>
  <c r="K883" i="6" s="1"/>
  <c r="G886" i="6"/>
  <c r="H886" i="6" s="1"/>
  <c r="H990" i="6"/>
  <c r="J951" i="6"/>
  <c r="K951" i="6" s="1"/>
  <c r="J948" i="6"/>
  <c r="K948" i="6" s="1"/>
  <c r="L948" i="6" s="1"/>
  <c r="M948" i="6" s="1"/>
  <c r="J947" i="6"/>
  <c r="K947" i="6" s="1"/>
  <c r="G955" i="6"/>
  <c r="H955" i="6" s="1"/>
  <c r="G954" i="6"/>
  <c r="H954" i="6" s="1"/>
  <c r="G953" i="6"/>
  <c r="H953" i="6" s="1"/>
  <c r="A928" i="6"/>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G933" i="6"/>
  <c r="H933" i="6" s="1"/>
  <c r="I935" i="6"/>
  <c r="J935" i="6" s="1"/>
  <c r="K935" i="6" s="1"/>
  <c r="J936" i="6"/>
  <c r="K936" i="6" s="1"/>
  <c r="L936" i="6" s="1"/>
  <c r="M936" i="6" s="1"/>
  <c r="G938" i="6"/>
  <c r="H938" i="6" s="1"/>
  <c r="J944" i="6"/>
  <c r="K944" i="6" s="1"/>
  <c r="L944" i="6" s="1"/>
  <c r="M944" i="6" s="1"/>
  <c r="J945" i="6"/>
  <c r="K945" i="6" s="1"/>
  <c r="L945" i="6" s="1"/>
  <c r="M945" i="6" s="1"/>
  <c r="J929" i="6"/>
  <c r="K929" i="6" s="1"/>
  <c r="L929" i="6" s="1"/>
  <c r="M929" i="6" s="1"/>
  <c r="G931" i="6"/>
  <c r="F935" i="6"/>
  <c r="G935" i="6" s="1"/>
  <c r="H935" i="6" s="1"/>
  <c r="G937" i="6"/>
  <c r="H937" i="6" s="1"/>
  <c r="L937" i="6" s="1"/>
  <c r="M937" i="6" s="1"/>
  <c r="J939" i="6"/>
  <c r="K939" i="6" s="1"/>
  <c r="L939" i="6" s="1"/>
  <c r="M939" i="6" s="1"/>
  <c r="G945" i="6"/>
  <c r="H945" i="6" s="1"/>
  <c r="G947" i="6"/>
  <c r="H947" i="6" s="1"/>
  <c r="G948" i="6"/>
  <c r="H948" i="6" s="1"/>
  <c r="G951" i="6"/>
  <c r="H951" i="6" s="1"/>
  <c r="J952" i="6"/>
  <c r="K952" i="6" s="1"/>
  <c r="L984" i="6"/>
  <c r="M984" i="6" s="1"/>
  <c r="J1011" i="6"/>
  <c r="K1011" i="6" s="1"/>
  <c r="J1010" i="6"/>
  <c r="K1010" i="6" s="1"/>
  <c r="J1009" i="6"/>
  <c r="K1009" i="6" s="1"/>
  <c r="G1008" i="6"/>
  <c r="H1008" i="6" s="1"/>
  <c r="G1004" i="6"/>
  <c r="H1004" i="6" s="1"/>
  <c r="G1003" i="6"/>
  <c r="H1003" i="6" s="1"/>
  <c r="J1008" i="6"/>
  <c r="K1008" i="6" s="1"/>
  <c r="G1007" i="6"/>
  <c r="H1007" i="6" s="1"/>
  <c r="J1007" i="6"/>
  <c r="K1007" i="6" s="1"/>
  <c r="J1004" i="6"/>
  <c r="K1004" i="6" s="1"/>
  <c r="J1003" i="6"/>
  <c r="K1003" i="6" s="1"/>
  <c r="I991" i="6"/>
  <c r="J991" i="6" s="1"/>
  <c r="K991" i="6" s="1"/>
  <c r="J992" i="6"/>
  <c r="K992" i="6" s="1"/>
  <c r="L992" i="6" s="1"/>
  <c r="M992" i="6" s="1"/>
  <c r="G994" i="6"/>
  <c r="H994" i="6" s="1"/>
  <c r="J998" i="6"/>
  <c r="K998" i="6" s="1"/>
  <c r="L998" i="6" s="1"/>
  <c r="M998" i="6" s="1"/>
  <c r="G1010" i="6"/>
  <c r="H1010" i="6" s="1"/>
  <c r="J985" i="6"/>
  <c r="K985" i="6" s="1"/>
  <c r="L985" i="6" s="1"/>
  <c r="M985" i="6" s="1"/>
  <c r="G987" i="6"/>
  <c r="F991" i="6"/>
  <c r="G991" i="6" s="1"/>
  <c r="H991" i="6" s="1"/>
  <c r="G993" i="6"/>
  <c r="H993" i="6" s="1"/>
  <c r="L993" i="6" s="1"/>
  <c r="M993" i="6" s="1"/>
  <c r="J995" i="6"/>
  <c r="K995" i="6" s="1"/>
  <c r="L995" i="6" s="1"/>
  <c r="M995" i="6" s="1"/>
  <c r="J1000" i="6"/>
  <c r="K1000" i="6" s="1"/>
  <c r="L1000" i="6" s="1"/>
  <c r="M1000" i="6" s="1"/>
  <c r="G1009" i="6"/>
  <c r="H1009" i="6" s="1"/>
  <c r="J1067" i="6"/>
  <c r="K1067" i="6" s="1"/>
  <c r="J1066" i="6"/>
  <c r="K1066" i="6" s="1"/>
  <c r="J1065" i="6"/>
  <c r="K1065" i="6" s="1"/>
  <c r="G1064" i="6"/>
  <c r="H1064" i="6" s="1"/>
  <c r="G1060" i="6"/>
  <c r="H1060" i="6" s="1"/>
  <c r="G1059" i="6"/>
  <c r="H1059" i="6" s="1"/>
  <c r="J1064" i="6"/>
  <c r="K1064" i="6" s="1"/>
  <c r="G1063" i="6"/>
  <c r="H1063" i="6" s="1"/>
  <c r="J1050" i="6"/>
  <c r="K1050" i="6" s="1"/>
  <c r="L1050" i="6" s="1"/>
  <c r="M1050" i="6" s="1"/>
  <c r="J1063" i="6"/>
  <c r="K1063" i="6" s="1"/>
  <c r="J1060" i="6"/>
  <c r="K1060" i="6" s="1"/>
  <c r="J1059" i="6"/>
  <c r="K1059" i="6" s="1"/>
  <c r="F1047" i="6"/>
  <c r="G1047" i="6" s="1"/>
  <c r="H1047" i="6" s="1"/>
  <c r="I1047" i="6"/>
  <c r="J1047" i="6" s="1"/>
  <c r="K1047" i="6" s="1"/>
  <c r="G1066" i="6"/>
  <c r="H1066" i="6" s="1"/>
  <c r="L1052" i="6"/>
  <c r="M1052" i="6" s="1"/>
  <c r="G1065" i="6"/>
  <c r="H1065" i="6" s="1"/>
  <c r="J1041" i="6"/>
  <c r="K1041" i="6" s="1"/>
  <c r="L1041" i="6" s="1"/>
  <c r="M1041" i="6" s="1"/>
  <c r="G1043" i="6"/>
  <c r="G1049" i="6"/>
  <c r="H1049" i="6" s="1"/>
  <c r="J1051" i="6"/>
  <c r="K1051" i="6" s="1"/>
  <c r="J1056" i="6"/>
  <c r="K1056" i="6" s="1"/>
  <c r="L1056" i="6" s="1"/>
  <c r="M1056" i="6" s="1"/>
  <c r="G1042" i="6"/>
  <c r="J1043" i="6"/>
  <c r="J1045" i="6"/>
  <c r="G1048" i="6"/>
  <c r="H1048" i="6" s="1"/>
  <c r="L1048" i="6" s="1"/>
  <c r="M1048" i="6" s="1"/>
  <c r="G1054" i="6"/>
  <c r="H1054" i="6" s="1"/>
  <c r="G1057" i="6"/>
  <c r="H1057" i="6" s="1"/>
  <c r="L1057" i="6" s="1"/>
  <c r="M1057" i="6" s="1"/>
  <c r="G1041" i="6"/>
  <c r="H1041" i="6" s="1"/>
  <c r="H1046" i="6" s="1"/>
  <c r="J1042" i="6"/>
  <c r="J1049" i="6"/>
  <c r="K1049" i="6" s="1"/>
  <c r="G1051" i="6"/>
  <c r="H1051" i="6" s="1"/>
  <c r="L559" i="6" l="1"/>
  <c r="M559" i="6" s="1"/>
  <c r="L655" i="6"/>
  <c r="M655" i="6" s="1"/>
  <c r="L839" i="6"/>
  <c r="M839" i="6" s="1"/>
  <c r="L617" i="6"/>
  <c r="M617" i="6" s="1"/>
  <c r="L505" i="6"/>
  <c r="M505" i="6" s="1"/>
  <c r="L393" i="6"/>
  <c r="M393" i="6" s="1"/>
  <c r="L448" i="6"/>
  <c r="M448" i="6" s="1"/>
  <c r="H884" i="8"/>
  <c r="H885" i="8" s="1"/>
  <c r="L503" i="6"/>
  <c r="M503" i="6" s="1"/>
  <c r="L449" i="6"/>
  <c r="M449" i="6" s="1"/>
  <c r="L1064" i="5"/>
  <c r="M1064" i="5" s="1"/>
  <c r="H202" i="8"/>
  <c r="H203" i="8" s="1"/>
  <c r="H1047" i="8"/>
  <c r="L263" i="5"/>
  <c r="M263" i="5" s="1"/>
  <c r="L151" i="6"/>
  <c r="M151" i="6" s="1"/>
  <c r="L280" i="6"/>
  <c r="M280" i="6" s="1"/>
  <c r="L281" i="6"/>
  <c r="M281" i="6" s="1"/>
  <c r="L953" i="5"/>
  <c r="M953" i="5" s="1"/>
  <c r="L505" i="5"/>
  <c r="M505" i="5" s="1"/>
  <c r="L504" i="5"/>
  <c r="M504" i="5" s="1"/>
  <c r="H212" i="8"/>
  <c r="H213" i="8" s="1"/>
  <c r="H215" i="8" s="1"/>
  <c r="H426" i="8"/>
  <c r="H432" i="8"/>
  <c r="L235" i="8"/>
  <c r="M235" i="8" s="1"/>
  <c r="K244" i="8"/>
  <c r="H639" i="8"/>
  <c r="H875" i="8"/>
  <c r="K76" i="8"/>
  <c r="L67" i="8"/>
  <c r="M67" i="8" s="1"/>
  <c r="L907" i="8"/>
  <c r="M907" i="8" s="1"/>
  <c r="K916" i="8"/>
  <c r="H427" i="8"/>
  <c r="K188" i="8"/>
  <c r="L179" i="8"/>
  <c r="M179" i="8" s="1"/>
  <c r="H210" i="8"/>
  <c r="H208" i="8"/>
  <c r="K692" i="8"/>
  <c r="L683" i="8"/>
  <c r="M683" i="8" s="1"/>
  <c r="L132" i="8"/>
  <c r="M132" i="8" s="1"/>
  <c r="K135" i="8"/>
  <c r="L1047" i="6"/>
  <c r="M1047" i="6" s="1"/>
  <c r="L1063" i="6"/>
  <c r="M1063" i="6" s="1"/>
  <c r="L1007" i="6"/>
  <c r="M1007" i="6" s="1"/>
  <c r="L672" i="6"/>
  <c r="M672" i="6" s="1"/>
  <c r="L169" i="6"/>
  <c r="M169" i="6" s="1"/>
  <c r="L319" i="6"/>
  <c r="M319" i="6" s="1"/>
  <c r="L783" i="5"/>
  <c r="M783" i="5" s="1"/>
  <c r="H468" i="8"/>
  <c r="H751" i="8"/>
  <c r="K636" i="8"/>
  <c r="L627" i="8"/>
  <c r="M627" i="8" s="1"/>
  <c r="H807" i="8"/>
  <c r="H1052" i="8"/>
  <c r="L112" i="6"/>
  <c r="M112" i="6" s="1"/>
  <c r="L459" i="8"/>
  <c r="M459" i="8" s="1"/>
  <c r="L571" i="8"/>
  <c r="M571" i="8" s="1"/>
  <c r="K580" i="8"/>
  <c r="H527" i="8"/>
  <c r="H583" i="8"/>
  <c r="H79" i="8"/>
  <c r="H880" i="8"/>
  <c r="H882" i="8" s="1"/>
  <c r="H1048" i="8"/>
  <c r="K751" i="8"/>
  <c r="L748" i="8"/>
  <c r="M748" i="8" s="1"/>
  <c r="H919" i="8"/>
  <c r="H371" i="8"/>
  <c r="L1008" i="6"/>
  <c r="M1008" i="6" s="1"/>
  <c r="L952" i="6"/>
  <c r="M952" i="6" s="1"/>
  <c r="L95" i="6"/>
  <c r="M95" i="6" s="1"/>
  <c r="K863" i="8"/>
  <c r="L860" i="8"/>
  <c r="M860" i="8" s="1"/>
  <c r="H1043" i="8"/>
  <c r="M300" i="8"/>
  <c r="H303" i="8"/>
  <c r="L671" i="6"/>
  <c r="M671" i="6" s="1"/>
  <c r="L335" i="6"/>
  <c r="M335" i="6" s="1"/>
  <c r="L168" i="6"/>
  <c r="M168" i="6" s="1"/>
  <c r="L393" i="5"/>
  <c r="M393" i="5" s="1"/>
  <c r="L212" i="5"/>
  <c r="M212" i="5" s="1"/>
  <c r="L167" i="5"/>
  <c r="M167" i="5" s="1"/>
  <c r="L1065" i="5"/>
  <c r="M1065" i="5" s="1"/>
  <c r="H436" i="8"/>
  <c r="H247" i="8"/>
  <c r="L515" i="8"/>
  <c r="M515" i="8" s="1"/>
  <c r="K524" i="8"/>
  <c r="L403" i="8"/>
  <c r="M403" i="8" s="1"/>
  <c r="K412" i="8"/>
  <c r="L1019" i="8"/>
  <c r="M1019" i="8" s="1"/>
  <c r="K1028" i="8"/>
  <c r="H695" i="8"/>
  <c r="L804" i="8"/>
  <c r="M804" i="8" s="1"/>
  <c r="K807" i="8"/>
  <c r="L347" i="8"/>
  <c r="M347" i="8" s="1"/>
  <c r="K356" i="8"/>
  <c r="L300" i="8"/>
  <c r="K303" i="8"/>
  <c r="K972" i="8"/>
  <c r="L963" i="8"/>
  <c r="M963" i="8" s="1"/>
  <c r="L468" i="8"/>
  <c r="K471" i="8"/>
  <c r="H380" i="8"/>
  <c r="H375" i="8"/>
  <c r="H135" i="8"/>
  <c r="H975" i="8"/>
  <c r="L1009" i="5"/>
  <c r="M1009" i="5" s="1"/>
  <c r="L896" i="5"/>
  <c r="M896" i="5" s="1"/>
  <c r="L599" i="5"/>
  <c r="M599" i="5" s="1"/>
  <c r="L95" i="5"/>
  <c r="M95" i="5" s="1"/>
  <c r="H551" i="5"/>
  <c r="H999" i="5"/>
  <c r="H330" i="5"/>
  <c r="H341" i="5" s="1"/>
  <c r="H274" i="5"/>
  <c r="H295" i="5" s="1"/>
  <c r="H1055" i="5"/>
  <c r="H831" i="5"/>
  <c r="H439" i="5"/>
  <c r="L1057" i="5"/>
  <c r="M1057" i="5" s="1"/>
  <c r="L842" i="5"/>
  <c r="M842" i="5" s="1"/>
  <c r="L313" i="5"/>
  <c r="M313" i="5" s="1"/>
  <c r="L898" i="5"/>
  <c r="M898" i="5" s="1"/>
  <c r="L115" i="5"/>
  <c r="M115" i="5" s="1"/>
  <c r="L1011" i="5"/>
  <c r="M1011" i="5" s="1"/>
  <c r="L1007" i="5"/>
  <c r="M1007" i="5" s="1"/>
  <c r="L555" i="5"/>
  <c r="M555" i="5" s="1"/>
  <c r="L1066" i="5"/>
  <c r="M1066" i="5" s="1"/>
  <c r="L1059" i="5"/>
  <c r="M1059" i="5" s="1"/>
  <c r="L835" i="5"/>
  <c r="M835" i="5" s="1"/>
  <c r="L443" i="5"/>
  <c r="M443" i="5" s="1"/>
  <c r="L448" i="5"/>
  <c r="M448" i="5" s="1"/>
  <c r="L280" i="5"/>
  <c r="M280" i="5" s="1"/>
  <c r="L947" i="5"/>
  <c r="M947" i="5" s="1"/>
  <c r="L841" i="5"/>
  <c r="M841" i="5" s="1"/>
  <c r="H719" i="5"/>
  <c r="H943" i="5"/>
  <c r="L723" i="5"/>
  <c r="M723" i="5" s="1"/>
  <c r="L618" i="5"/>
  <c r="M618" i="5" s="1"/>
  <c r="L615" i="5"/>
  <c r="M615" i="5" s="1"/>
  <c r="L506" i="5"/>
  <c r="M506" i="5" s="1"/>
  <c r="L335" i="5"/>
  <c r="M335" i="5" s="1"/>
  <c r="L320" i="5"/>
  <c r="M320" i="5" s="1"/>
  <c r="H654" i="5"/>
  <c r="L227" i="5"/>
  <c r="M227" i="5" s="1"/>
  <c r="L275" i="5"/>
  <c r="M275" i="5" s="1"/>
  <c r="L97" i="5"/>
  <c r="M97" i="5" s="1"/>
  <c r="L892" i="5"/>
  <c r="M892" i="5" s="1"/>
  <c r="L899" i="5"/>
  <c r="M899" i="5" s="1"/>
  <c r="L609" i="5"/>
  <c r="M609" i="5" s="1"/>
  <c r="H215" i="5"/>
  <c r="L283" i="5"/>
  <c r="M283" i="5" s="1"/>
  <c r="L226" i="5"/>
  <c r="M226" i="5" s="1"/>
  <c r="L171" i="5"/>
  <c r="M171" i="5" s="1"/>
  <c r="H159" i="5"/>
  <c r="L152" i="5"/>
  <c r="M152" i="5" s="1"/>
  <c r="H103" i="5"/>
  <c r="L1010" i="5"/>
  <c r="M1010" i="5" s="1"/>
  <c r="L1041" i="5"/>
  <c r="M1041" i="5" s="1"/>
  <c r="L1048" i="5"/>
  <c r="M1048" i="5" s="1"/>
  <c r="L1051" i="5"/>
  <c r="M1051" i="5" s="1"/>
  <c r="L817" i="5"/>
  <c r="M817" i="5" s="1"/>
  <c r="L985" i="5"/>
  <c r="M985" i="5" s="1"/>
  <c r="L544" i="5"/>
  <c r="M544" i="5" s="1"/>
  <c r="L715" i="5"/>
  <c r="M715" i="5" s="1"/>
  <c r="L606" i="5"/>
  <c r="M606" i="5" s="1"/>
  <c r="H598" i="5"/>
  <c r="L394" i="5"/>
  <c r="M394" i="5" s="1"/>
  <c r="L331" i="5"/>
  <c r="M331" i="5" s="1"/>
  <c r="L481" i="5"/>
  <c r="M481" i="5" s="1"/>
  <c r="L485" i="5"/>
  <c r="M485" i="5" s="1"/>
  <c r="L282" i="5"/>
  <c r="M282" i="5" s="1"/>
  <c r="L276" i="5"/>
  <c r="M276" i="5" s="1"/>
  <c r="L319" i="5"/>
  <c r="M319" i="5" s="1"/>
  <c r="L111" i="5"/>
  <c r="M111" i="5" s="1"/>
  <c r="L105" i="5"/>
  <c r="M105" i="5" s="1"/>
  <c r="L895" i="5"/>
  <c r="M895" i="5" s="1"/>
  <c r="L664" i="5"/>
  <c r="M664" i="5" s="1"/>
  <c r="H383" i="5"/>
  <c r="L537" i="5"/>
  <c r="M537" i="5" s="1"/>
  <c r="L224" i="5"/>
  <c r="M224" i="5" s="1"/>
  <c r="L223" i="5"/>
  <c r="M223" i="5" s="1"/>
  <c r="L163" i="5"/>
  <c r="M163" i="5" s="1"/>
  <c r="L1003" i="5"/>
  <c r="M1003" i="5" s="1"/>
  <c r="L552" i="5"/>
  <c r="M552" i="5" s="1"/>
  <c r="L387" i="5"/>
  <c r="M387" i="5" s="1"/>
  <c r="L1063" i="5"/>
  <c r="M1063" i="5" s="1"/>
  <c r="L839" i="5"/>
  <c r="M839" i="5" s="1"/>
  <c r="L608" i="5"/>
  <c r="M608" i="5" s="1"/>
  <c r="L451" i="5"/>
  <c r="M451" i="5" s="1"/>
  <c r="L724" i="5"/>
  <c r="M724" i="5" s="1"/>
  <c r="H887" i="5"/>
  <c r="L784" i="5"/>
  <c r="M784" i="5" s="1"/>
  <c r="L718" i="5"/>
  <c r="M718" i="5" s="1"/>
  <c r="L674" i="5"/>
  <c r="M674" i="5" s="1"/>
  <c r="L611" i="5"/>
  <c r="M611" i="5" s="1"/>
  <c r="L337" i="5"/>
  <c r="M337" i="5" s="1"/>
  <c r="H495" i="5"/>
  <c r="L170" i="5"/>
  <c r="M170" i="5" s="1"/>
  <c r="L108" i="5"/>
  <c r="M108" i="5" s="1"/>
  <c r="L1067" i="5"/>
  <c r="M1067" i="5" s="1"/>
  <c r="L836" i="5"/>
  <c r="M836" i="5" s="1"/>
  <c r="L450" i="5"/>
  <c r="M450" i="5" s="1"/>
  <c r="L499" i="5"/>
  <c r="M499" i="5" s="1"/>
  <c r="L952" i="5"/>
  <c r="M952" i="5" s="1"/>
  <c r="L787" i="5"/>
  <c r="M787" i="5" s="1"/>
  <c r="L777" i="5"/>
  <c r="M777" i="5" s="1"/>
  <c r="L786" i="5"/>
  <c r="M786" i="5" s="1"/>
  <c r="L562" i="5"/>
  <c r="M562" i="5" s="1"/>
  <c r="L730" i="5"/>
  <c r="M730" i="5" s="1"/>
  <c r="L1050" i="5"/>
  <c r="M1050" i="5" s="1"/>
  <c r="L1054" i="5"/>
  <c r="M1054" i="5" s="1"/>
  <c r="L1052" i="5"/>
  <c r="M1052" i="5" s="1"/>
  <c r="L992" i="5"/>
  <c r="M992" i="5" s="1"/>
  <c r="L951" i="5"/>
  <c r="M951" i="5" s="1"/>
  <c r="L955" i="5"/>
  <c r="M955" i="5" s="1"/>
  <c r="L843" i="5"/>
  <c r="M843" i="5" s="1"/>
  <c r="L830" i="5"/>
  <c r="M830" i="5" s="1"/>
  <c r="L776" i="5"/>
  <c r="M776" i="5" s="1"/>
  <c r="H766" i="5"/>
  <c r="L768" i="5"/>
  <c r="M768" i="5" s="1"/>
  <c r="L779" i="5"/>
  <c r="M779" i="5" s="1"/>
  <c r="L716" i="5"/>
  <c r="M716" i="5" s="1"/>
  <c r="L675" i="5"/>
  <c r="M675" i="5" s="1"/>
  <c r="L705" i="5"/>
  <c r="M705" i="5" s="1"/>
  <c r="L731" i="5"/>
  <c r="M731" i="5" s="1"/>
  <c r="L602" i="5"/>
  <c r="M602" i="5" s="1"/>
  <c r="L503" i="5"/>
  <c r="M503" i="5" s="1"/>
  <c r="L438" i="5"/>
  <c r="M438" i="5" s="1"/>
  <c r="L395" i="5"/>
  <c r="M395" i="5" s="1"/>
  <c r="L326" i="5"/>
  <c r="M326" i="5" s="1"/>
  <c r="L160" i="5"/>
  <c r="M160" i="5" s="1"/>
  <c r="L145" i="5"/>
  <c r="M145" i="5" s="1"/>
  <c r="L491" i="5"/>
  <c r="M491" i="5" s="1"/>
  <c r="L497" i="5"/>
  <c r="M497" i="5" s="1"/>
  <c r="L279" i="5"/>
  <c r="M279" i="5" s="1"/>
  <c r="L891" i="5"/>
  <c r="M891" i="5" s="1"/>
  <c r="L897" i="5"/>
  <c r="M897" i="5" s="1"/>
  <c r="L667" i="5"/>
  <c r="M667" i="5" s="1"/>
  <c r="L379" i="5"/>
  <c r="M379" i="5" s="1"/>
  <c r="L99" i="5"/>
  <c r="M99" i="5" s="1"/>
  <c r="L114" i="5"/>
  <c r="M114" i="5" s="1"/>
  <c r="L169" i="5"/>
  <c r="M169" i="5" s="1"/>
  <c r="L219" i="5"/>
  <c r="M219" i="5" s="1"/>
  <c r="L161" i="5"/>
  <c r="M161" i="5" s="1"/>
  <c r="L158" i="5"/>
  <c r="M158" i="5" s="1"/>
  <c r="L164" i="5"/>
  <c r="M164" i="5" s="1"/>
  <c r="L168" i="5"/>
  <c r="M168" i="5" s="1"/>
  <c r="L1004" i="5"/>
  <c r="M1004" i="5" s="1"/>
  <c r="L840" i="5"/>
  <c r="M840" i="5" s="1"/>
  <c r="L434" i="5"/>
  <c r="M434" i="5" s="1"/>
  <c r="L107" i="5"/>
  <c r="M107" i="5" s="1"/>
  <c r="H103" i="6"/>
  <c r="H719" i="6"/>
  <c r="H330" i="6"/>
  <c r="H346" i="6" s="1"/>
  <c r="H439" i="6"/>
  <c r="H383" i="6"/>
  <c r="H215" i="6"/>
  <c r="L1059" i="6"/>
  <c r="M1059" i="6" s="1"/>
  <c r="L1003" i="6"/>
  <c r="M1003" i="6" s="1"/>
  <c r="L1009" i="6"/>
  <c r="M1009" i="6" s="1"/>
  <c r="L817" i="6"/>
  <c r="M817" i="6" s="1"/>
  <c r="H934" i="6"/>
  <c r="L825" i="6"/>
  <c r="M825" i="6" s="1"/>
  <c r="L882" i="6"/>
  <c r="M882" i="6" s="1"/>
  <c r="L841" i="6"/>
  <c r="M841" i="6" s="1"/>
  <c r="L835" i="6"/>
  <c r="M835" i="6" s="1"/>
  <c r="L783" i="6"/>
  <c r="M783" i="6" s="1"/>
  <c r="L785" i="6"/>
  <c r="M785" i="6" s="1"/>
  <c r="L562" i="6"/>
  <c r="M562" i="6" s="1"/>
  <c r="H654" i="6"/>
  <c r="L600" i="6"/>
  <c r="M600" i="6" s="1"/>
  <c r="H598" i="6"/>
  <c r="L443" i="6"/>
  <c r="M443" i="6" s="1"/>
  <c r="L611" i="6"/>
  <c r="M611" i="6" s="1"/>
  <c r="L219" i="6"/>
  <c r="M219" i="6" s="1"/>
  <c r="L338" i="6"/>
  <c r="M338" i="6" s="1"/>
  <c r="L266" i="6"/>
  <c r="M266" i="6" s="1"/>
  <c r="L547" i="6"/>
  <c r="M547" i="6" s="1"/>
  <c r="L450" i="6"/>
  <c r="M450" i="6" s="1"/>
  <c r="L329" i="6"/>
  <c r="M329" i="6" s="1"/>
  <c r="L276" i="6"/>
  <c r="M276" i="6" s="1"/>
  <c r="L953" i="6"/>
  <c r="M953" i="6" s="1"/>
  <c r="L723" i="6"/>
  <c r="M723" i="6" s="1"/>
  <c r="L114" i="6"/>
  <c r="M114" i="6" s="1"/>
  <c r="H1055" i="6"/>
  <c r="L1051" i="6"/>
  <c r="M1051" i="6" s="1"/>
  <c r="L1060" i="6"/>
  <c r="M1060" i="6" s="1"/>
  <c r="L1064" i="6"/>
  <c r="M1064" i="6" s="1"/>
  <c r="L1065" i="6"/>
  <c r="M1065" i="6" s="1"/>
  <c r="L1004" i="6"/>
  <c r="M1004" i="6" s="1"/>
  <c r="L1010" i="6"/>
  <c r="M1010" i="6" s="1"/>
  <c r="L947" i="6"/>
  <c r="M947" i="6" s="1"/>
  <c r="L827" i="6"/>
  <c r="M827" i="6" s="1"/>
  <c r="L886" i="6"/>
  <c r="M886" i="6" s="1"/>
  <c r="H887" i="6"/>
  <c r="L897" i="6"/>
  <c r="M897" i="6" s="1"/>
  <c r="L891" i="6"/>
  <c r="M891" i="6" s="1"/>
  <c r="L842" i="6"/>
  <c r="M842" i="6" s="1"/>
  <c r="L836" i="6"/>
  <c r="M836" i="6" s="1"/>
  <c r="H766" i="6"/>
  <c r="L712" i="6"/>
  <c r="M712" i="6" s="1"/>
  <c r="L716" i="6"/>
  <c r="M716" i="6" s="1"/>
  <c r="L777" i="6"/>
  <c r="M777" i="6" s="1"/>
  <c r="L784" i="6"/>
  <c r="M784" i="6" s="1"/>
  <c r="L786" i="6"/>
  <c r="M786" i="6" s="1"/>
  <c r="L563" i="6"/>
  <c r="M563" i="6" s="1"/>
  <c r="L599" i="6"/>
  <c r="M599" i="6" s="1"/>
  <c r="L499" i="6"/>
  <c r="M499" i="6" s="1"/>
  <c r="L597" i="6"/>
  <c r="M597" i="6" s="1"/>
  <c r="L618" i="6"/>
  <c r="M618" i="6" s="1"/>
  <c r="L487" i="6"/>
  <c r="M487" i="6" s="1"/>
  <c r="L550" i="6"/>
  <c r="M550" i="6" s="1"/>
  <c r="H542" i="6"/>
  <c r="H486" i="6"/>
  <c r="L170" i="6"/>
  <c r="M170" i="6" s="1"/>
  <c r="L93" i="6"/>
  <c r="M93" i="6" s="1"/>
  <c r="L272" i="6"/>
  <c r="M272" i="6" s="1"/>
  <c r="L544" i="6"/>
  <c r="M544" i="6" s="1"/>
  <c r="L382" i="6"/>
  <c r="M382" i="6" s="1"/>
  <c r="L379" i="6"/>
  <c r="M379" i="6" s="1"/>
  <c r="L331" i="6"/>
  <c r="M331" i="6" s="1"/>
  <c r="L336" i="6"/>
  <c r="M336" i="6" s="1"/>
  <c r="L279" i="6"/>
  <c r="M279" i="6" s="1"/>
  <c r="L214" i="6"/>
  <c r="M214" i="6" s="1"/>
  <c r="A89" i="6"/>
  <c r="L955" i="6"/>
  <c r="M955" i="6" s="1"/>
  <c r="L724" i="6"/>
  <c r="M724" i="6" s="1"/>
  <c r="L320" i="6"/>
  <c r="M320" i="6" s="1"/>
  <c r="L107" i="6"/>
  <c r="M107" i="6" s="1"/>
  <c r="L1066" i="6"/>
  <c r="M1066" i="6" s="1"/>
  <c r="L1011" i="6"/>
  <c r="M1011" i="6" s="1"/>
  <c r="H831" i="6"/>
  <c r="L898" i="6"/>
  <c r="M898" i="6" s="1"/>
  <c r="L843" i="6"/>
  <c r="M843" i="6" s="1"/>
  <c r="L779" i="6"/>
  <c r="M779" i="6" s="1"/>
  <c r="L787" i="6"/>
  <c r="M787" i="6" s="1"/>
  <c r="L555" i="6"/>
  <c r="M555" i="6" s="1"/>
  <c r="L619" i="6"/>
  <c r="M619" i="6" s="1"/>
  <c r="L432" i="6"/>
  <c r="M432" i="6" s="1"/>
  <c r="L395" i="6"/>
  <c r="M395" i="6" s="1"/>
  <c r="H271" i="6"/>
  <c r="L954" i="6"/>
  <c r="M954" i="6" s="1"/>
  <c r="L223" i="6"/>
  <c r="M223" i="6" s="1"/>
  <c r="L1049" i="6"/>
  <c r="M1049" i="6" s="1"/>
  <c r="L1067" i="6"/>
  <c r="M1067" i="6" s="1"/>
  <c r="L991" i="6"/>
  <c r="M991" i="6" s="1"/>
  <c r="L935" i="6"/>
  <c r="M935" i="6" s="1"/>
  <c r="L951" i="6"/>
  <c r="M951" i="6" s="1"/>
  <c r="H999" i="6"/>
  <c r="L883" i="6"/>
  <c r="M883" i="6" s="1"/>
  <c r="L881" i="6"/>
  <c r="M881" i="6" s="1"/>
  <c r="L896" i="6"/>
  <c r="M896" i="6" s="1"/>
  <c r="L899" i="6"/>
  <c r="M899" i="6" s="1"/>
  <c r="L771" i="6"/>
  <c r="M771" i="6" s="1"/>
  <c r="L769" i="6"/>
  <c r="M769" i="6" s="1"/>
  <c r="L662" i="6"/>
  <c r="M662" i="6" s="1"/>
  <c r="L780" i="6"/>
  <c r="M780" i="6" s="1"/>
  <c r="L730" i="6"/>
  <c r="M730" i="6" s="1"/>
  <c r="L593" i="6"/>
  <c r="M593" i="6" s="1"/>
  <c r="L561" i="6"/>
  <c r="M561" i="6" s="1"/>
  <c r="L387" i="6"/>
  <c r="M387" i="6" s="1"/>
  <c r="L375" i="6"/>
  <c r="M375" i="6" s="1"/>
  <c r="L616" i="6"/>
  <c r="M616" i="6" s="1"/>
  <c r="L560" i="6"/>
  <c r="M560" i="6" s="1"/>
  <c r="L431" i="6"/>
  <c r="M431" i="6" s="1"/>
  <c r="L394" i="6"/>
  <c r="M394" i="6" s="1"/>
  <c r="L541" i="6"/>
  <c r="M541" i="6" s="1"/>
  <c r="L282" i="6"/>
  <c r="M282" i="6" s="1"/>
  <c r="L507" i="6"/>
  <c r="M507" i="6" s="1"/>
  <c r="L377" i="6"/>
  <c r="M377" i="6" s="1"/>
  <c r="L380" i="6"/>
  <c r="M380" i="6" s="1"/>
  <c r="L339" i="6"/>
  <c r="M339" i="6" s="1"/>
  <c r="L264" i="6"/>
  <c r="M264" i="6" s="1"/>
  <c r="L275" i="6"/>
  <c r="M275" i="6" s="1"/>
  <c r="L102" i="6"/>
  <c r="M102" i="6" s="1"/>
  <c r="L720" i="6"/>
  <c r="M720" i="6" s="1"/>
  <c r="H159" i="6"/>
  <c r="L225" i="6"/>
  <c r="M225" i="6" s="1"/>
  <c r="L163" i="6"/>
  <c r="M163" i="6" s="1"/>
  <c r="L226" i="6"/>
  <c r="M226" i="6" s="1"/>
  <c r="L167" i="6"/>
  <c r="M167" i="6" s="1"/>
  <c r="L158" i="6"/>
  <c r="M158" i="6" s="1"/>
  <c r="L156" i="6"/>
  <c r="M156" i="6" s="1"/>
  <c r="L283" i="6"/>
  <c r="M283" i="6" s="1"/>
  <c r="H429" i="8" l="1"/>
  <c r="L972" i="8"/>
  <c r="M972" i="8" s="1"/>
  <c r="K975" i="8"/>
  <c r="K492" i="8"/>
  <c r="K482" i="8"/>
  <c r="K487" i="8"/>
  <c r="H341" i="6"/>
  <c r="H381" i="8"/>
  <c r="H383" i="8" s="1"/>
  <c r="L356" i="8"/>
  <c r="M356" i="8" s="1"/>
  <c r="K359" i="8"/>
  <c r="H711" i="8"/>
  <c r="H706" i="8"/>
  <c r="H716" i="8"/>
  <c r="K415" i="8"/>
  <c r="L412" i="8"/>
  <c r="M412" i="8" s="1"/>
  <c r="H604" i="8"/>
  <c r="H599" i="8"/>
  <c r="H594" i="8"/>
  <c r="H818" i="8"/>
  <c r="H828" i="8"/>
  <c r="H823" i="8"/>
  <c r="L135" i="8"/>
  <c r="K151" i="8"/>
  <c r="K146" i="8"/>
  <c r="K156" i="8"/>
  <c r="K191" i="8"/>
  <c r="L188" i="8"/>
  <c r="M188" i="8" s="1"/>
  <c r="K919" i="8"/>
  <c r="L916" i="8"/>
  <c r="M916" i="8" s="1"/>
  <c r="H263" i="8"/>
  <c r="H268" i="8"/>
  <c r="H258" i="8"/>
  <c r="L863" i="8"/>
  <c r="M863" i="8" s="1"/>
  <c r="K884" i="8"/>
  <c r="K874" i="8"/>
  <c r="K879" i="8"/>
  <c r="H548" i="8"/>
  <c r="H543" i="8"/>
  <c r="H538" i="8"/>
  <c r="H762" i="8"/>
  <c r="H767" i="8"/>
  <c r="H772" i="8"/>
  <c r="M135" i="8"/>
  <c r="H156" i="8"/>
  <c r="H151" i="8"/>
  <c r="H146" i="8"/>
  <c r="L303" i="8"/>
  <c r="M303" i="8" s="1"/>
  <c r="K324" i="8"/>
  <c r="K314" i="8"/>
  <c r="K319" i="8"/>
  <c r="L807" i="8"/>
  <c r="M807" i="8" s="1"/>
  <c r="K818" i="8"/>
  <c r="K823" i="8"/>
  <c r="K828" i="8"/>
  <c r="L1028" i="8"/>
  <c r="M1028" i="8" s="1"/>
  <c r="K1031" i="8"/>
  <c r="L524" i="8"/>
  <c r="M524" i="8" s="1"/>
  <c r="K527" i="8"/>
  <c r="H437" i="8"/>
  <c r="H439" i="8" s="1"/>
  <c r="H373" i="8"/>
  <c r="L751" i="8"/>
  <c r="M751" i="8" s="1"/>
  <c r="K767" i="8"/>
  <c r="K762" i="8"/>
  <c r="K772" i="8"/>
  <c r="H100" i="8"/>
  <c r="H95" i="8"/>
  <c r="H90" i="8"/>
  <c r="L76" i="8"/>
  <c r="M76" i="8" s="1"/>
  <c r="K79" i="8"/>
  <c r="H655" i="8"/>
  <c r="H660" i="8"/>
  <c r="H650" i="8"/>
  <c r="H887" i="8"/>
  <c r="H996" i="8"/>
  <c r="H991" i="8"/>
  <c r="H986" i="8"/>
  <c r="H376" i="8"/>
  <c r="H378" i="8" s="1"/>
  <c r="H319" i="8"/>
  <c r="H324" i="8"/>
  <c r="H314" i="8"/>
  <c r="H1045" i="8"/>
  <c r="H205" i="8"/>
  <c r="H940" i="8"/>
  <c r="H930" i="8"/>
  <c r="H935" i="8"/>
  <c r="H1050" i="8"/>
  <c r="K583" i="8"/>
  <c r="L580" i="8"/>
  <c r="M580" i="8" s="1"/>
  <c r="H1053" i="8"/>
  <c r="H1055" i="8"/>
  <c r="L636" i="8"/>
  <c r="M636" i="8" s="1"/>
  <c r="K639" i="8"/>
  <c r="H471" i="8"/>
  <c r="M468" i="8"/>
  <c r="K695" i="8"/>
  <c r="L692" i="8"/>
  <c r="M692" i="8" s="1"/>
  <c r="H877" i="8"/>
  <c r="K247" i="8"/>
  <c r="L244" i="8"/>
  <c r="M244" i="8" s="1"/>
  <c r="H434" i="8"/>
  <c r="H351" i="6"/>
  <c r="H162" i="5"/>
  <c r="H342" i="5"/>
  <c r="H1002" i="5"/>
  <c r="H296" i="5"/>
  <c r="H298" i="5" s="1"/>
  <c r="H386" i="5"/>
  <c r="H106" i="5"/>
  <c r="H218" i="5"/>
  <c r="H946" i="5"/>
  <c r="H442" i="5"/>
  <c r="H1058" i="5"/>
  <c r="H351" i="5"/>
  <c r="H346" i="5"/>
  <c r="H607" i="5"/>
  <c r="H663" i="5"/>
  <c r="H290" i="5"/>
  <c r="H775" i="5"/>
  <c r="H498" i="5"/>
  <c r="H890" i="5"/>
  <c r="H722" i="5"/>
  <c r="H834" i="5"/>
  <c r="H285" i="5"/>
  <c r="H554" i="5"/>
  <c r="H352" i="6"/>
  <c r="H354" i="6" s="1"/>
  <c r="H775" i="6"/>
  <c r="H342" i="6"/>
  <c r="H344" i="6" s="1"/>
  <c r="H943" i="6"/>
  <c r="H218" i="6"/>
  <c r="H722" i="6"/>
  <c r="H106" i="6"/>
  <c r="H162" i="6"/>
  <c r="H347" i="6"/>
  <c r="H349" i="6" s="1"/>
  <c r="H607" i="6"/>
  <c r="H386" i="6"/>
  <c r="H442" i="6"/>
  <c r="H1002" i="6"/>
  <c r="A90" i="6"/>
  <c r="H495" i="6"/>
  <c r="H890" i="6"/>
  <c r="H274" i="6"/>
  <c r="H834" i="6"/>
  <c r="H551" i="6"/>
  <c r="H1058" i="6"/>
  <c r="H663" i="6"/>
  <c r="H325" i="8" l="1"/>
  <c r="H997" i="8"/>
  <c r="H999" i="8" s="1"/>
  <c r="L1031" i="8"/>
  <c r="M1031" i="8" s="1"/>
  <c r="K1047" i="8"/>
  <c r="K1052" i="8"/>
  <c r="K1042" i="8"/>
  <c r="H157" i="8"/>
  <c r="H541" i="8"/>
  <c r="H540" i="8"/>
  <c r="H539" i="8"/>
  <c r="K885" i="8"/>
  <c r="L885" i="8" s="1"/>
  <c r="M885" i="8" s="1"/>
  <c r="L884" i="8"/>
  <c r="M884" i="8" s="1"/>
  <c r="K148" i="8"/>
  <c r="K147" i="8"/>
  <c r="L146" i="8"/>
  <c r="M146" i="8" s="1"/>
  <c r="H600" i="8"/>
  <c r="H602" i="8" s="1"/>
  <c r="H712" i="8"/>
  <c r="H714" i="8" s="1"/>
  <c r="L247" i="8"/>
  <c r="M247" i="8" s="1"/>
  <c r="K263" i="8"/>
  <c r="K268" i="8"/>
  <c r="K258" i="8"/>
  <c r="L639" i="8"/>
  <c r="M639" i="8" s="1"/>
  <c r="K655" i="8"/>
  <c r="K660" i="8"/>
  <c r="K650" i="8"/>
  <c r="H936" i="8"/>
  <c r="H938" i="8" s="1"/>
  <c r="H320" i="8"/>
  <c r="H322" i="8" s="1"/>
  <c r="H656" i="8"/>
  <c r="H96" i="8"/>
  <c r="L772" i="8"/>
  <c r="M772" i="8" s="1"/>
  <c r="K773" i="8"/>
  <c r="K775" i="8" s="1"/>
  <c r="H768" i="8"/>
  <c r="H770" i="8" s="1"/>
  <c r="H544" i="8"/>
  <c r="H546" i="8" s="1"/>
  <c r="L191" i="8"/>
  <c r="M191" i="8" s="1"/>
  <c r="K212" i="8"/>
  <c r="K207" i="8"/>
  <c r="K202" i="8"/>
  <c r="K152" i="8"/>
  <c r="L151" i="8"/>
  <c r="M151" i="8" s="1"/>
  <c r="H819" i="8"/>
  <c r="H821" i="8" s="1"/>
  <c r="H605" i="8"/>
  <c r="L415" i="8"/>
  <c r="M415" i="8" s="1"/>
  <c r="K436" i="8"/>
  <c r="K431" i="8"/>
  <c r="K426" i="8"/>
  <c r="K484" i="8"/>
  <c r="K485" i="8" s="1"/>
  <c r="K483" i="8"/>
  <c r="L975" i="8"/>
  <c r="M975" i="8" s="1"/>
  <c r="K986" i="8"/>
  <c r="K991" i="8"/>
  <c r="K996" i="8"/>
  <c r="L695" i="8"/>
  <c r="M695" i="8" s="1"/>
  <c r="K711" i="8"/>
  <c r="K706" i="8"/>
  <c r="K716" i="8"/>
  <c r="H931" i="8"/>
  <c r="H933" i="8" s="1"/>
  <c r="H987" i="8"/>
  <c r="H989" i="8" s="1"/>
  <c r="H101" i="8"/>
  <c r="K763" i="8"/>
  <c r="L762" i="8"/>
  <c r="M762" i="8" s="1"/>
  <c r="K764" i="8"/>
  <c r="L527" i="8"/>
  <c r="M527" i="8" s="1"/>
  <c r="K538" i="8"/>
  <c r="K548" i="8"/>
  <c r="K543" i="8"/>
  <c r="K829" i="8"/>
  <c r="K831" i="8" s="1"/>
  <c r="L828" i="8"/>
  <c r="K320" i="8"/>
  <c r="L319" i="8"/>
  <c r="M319" i="8" s="1"/>
  <c r="H148" i="8"/>
  <c r="H147" i="8"/>
  <c r="H764" i="8"/>
  <c r="H763" i="8"/>
  <c r="H765" i="8" s="1"/>
  <c r="H549" i="8"/>
  <c r="H551" i="8"/>
  <c r="K880" i="8"/>
  <c r="L880" i="8" s="1"/>
  <c r="M880" i="8" s="1"/>
  <c r="L879" i="8"/>
  <c r="M879" i="8" s="1"/>
  <c r="H259" i="8"/>
  <c r="H717" i="8"/>
  <c r="H719" i="8" s="1"/>
  <c r="L359" i="8"/>
  <c r="M359" i="8" s="1"/>
  <c r="K375" i="8"/>
  <c r="K370" i="8"/>
  <c r="K380" i="8"/>
  <c r="K493" i="8"/>
  <c r="H487" i="8"/>
  <c r="H492" i="8"/>
  <c r="H482" i="8"/>
  <c r="L482" i="8" s="1"/>
  <c r="H663" i="8"/>
  <c r="H661" i="8"/>
  <c r="H91" i="8"/>
  <c r="H92" i="8"/>
  <c r="L818" i="8"/>
  <c r="M818" i="8" s="1"/>
  <c r="K819" i="8"/>
  <c r="K821" i="8" s="1"/>
  <c r="L324" i="8"/>
  <c r="M324" i="8" s="1"/>
  <c r="K325" i="8"/>
  <c r="L325" i="8" s="1"/>
  <c r="H773" i="8"/>
  <c r="H264" i="8"/>
  <c r="H266" i="8" s="1"/>
  <c r="H829" i="8"/>
  <c r="H831" i="8"/>
  <c r="M828" i="8"/>
  <c r="L487" i="8"/>
  <c r="K488" i="8"/>
  <c r="K490" i="8" s="1"/>
  <c r="L583" i="8"/>
  <c r="M583" i="8" s="1"/>
  <c r="K599" i="8"/>
  <c r="K604" i="8"/>
  <c r="K594" i="8"/>
  <c r="H941" i="8"/>
  <c r="H943" i="8" s="1"/>
  <c r="H315" i="8"/>
  <c r="H992" i="8"/>
  <c r="H994" i="8" s="1"/>
  <c r="H652" i="8"/>
  <c r="H653" i="8" s="1"/>
  <c r="H651" i="8"/>
  <c r="L79" i="8"/>
  <c r="M79" i="8" s="1"/>
  <c r="K100" i="8"/>
  <c r="K90" i="8"/>
  <c r="K95" i="8"/>
  <c r="L767" i="8"/>
  <c r="M767" i="8" s="1"/>
  <c r="K768" i="8"/>
  <c r="L768" i="8" s="1"/>
  <c r="K824" i="8"/>
  <c r="L823" i="8"/>
  <c r="M823" i="8" s="1"/>
  <c r="L314" i="8"/>
  <c r="M314" i="8" s="1"/>
  <c r="K315" i="8"/>
  <c r="L315" i="8" s="1"/>
  <c r="H152" i="8"/>
  <c r="H154" i="8" s="1"/>
  <c r="L874" i="8"/>
  <c r="M874" i="8" s="1"/>
  <c r="K875" i="8"/>
  <c r="L875" i="8" s="1"/>
  <c r="M875" i="8" s="1"/>
  <c r="H269" i="8"/>
  <c r="H271" i="8" s="1"/>
  <c r="L919" i="8"/>
  <c r="M919" i="8" s="1"/>
  <c r="K930" i="8"/>
  <c r="K935" i="8"/>
  <c r="K940" i="8"/>
  <c r="K157" i="8"/>
  <c r="L156" i="8"/>
  <c r="M156" i="8" s="1"/>
  <c r="H824" i="8"/>
  <c r="H826" i="8" s="1"/>
  <c r="H595" i="8"/>
  <c r="H596" i="8"/>
  <c r="H708" i="8"/>
  <c r="H707" i="8"/>
  <c r="L471" i="8"/>
  <c r="M471" i="8" s="1"/>
  <c r="H352" i="5"/>
  <c r="H286" i="5"/>
  <c r="H288" i="5" s="1"/>
  <c r="H291" i="5"/>
  <c r="H666" i="5"/>
  <c r="H458" i="5"/>
  <c r="H453" i="5"/>
  <c r="H463" i="5"/>
  <c r="H957" i="5"/>
  <c r="H967" i="5"/>
  <c r="H962" i="5"/>
  <c r="H127" i="5"/>
  <c r="H117" i="5"/>
  <c r="H122" i="5"/>
  <c r="H1018" i="5"/>
  <c r="H1023" i="5"/>
  <c r="H1013" i="5"/>
  <c r="H344" i="5"/>
  <c r="H738" i="5"/>
  <c r="H743" i="5"/>
  <c r="H733" i="5"/>
  <c r="H906" i="5"/>
  <c r="H911" i="5"/>
  <c r="H901" i="5"/>
  <c r="H855" i="5"/>
  <c r="H845" i="5"/>
  <c r="H850" i="5"/>
  <c r="H514" i="5"/>
  <c r="H519" i="5"/>
  <c r="H509" i="5"/>
  <c r="H778" i="5"/>
  <c r="H610" i="5"/>
  <c r="H239" i="5"/>
  <c r="H234" i="5"/>
  <c r="H229" i="5"/>
  <c r="H575" i="5"/>
  <c r="H565" i="5"/>
  <c r="H570" i="5"/>
  <c r="H347" i="5"/>
  <c r="H349" i="5" s="1"/>
  <c r="H1079" i="5"/>
  <c r="H1069" i="5"/>
  <c r="H1074" i="5"/>
  <c r="H407" i="5"/>
  <c r="H402" i="5"/>
  <c r="H397" i="5"/>
  <c r="H183" i="5"/>
  <c r="H173" i="5"/>
  <c r="H178" i="5"/>
  <c r="H402" i="6"/>
  <c r="H407" i="6"/>
  <c r="H397" i="6"/>
  <c r="H122" i="6"/>
  <c r="H117" i="6"/>
  <c r="H127" i="6"/>
  <c r="H946" i="6"/>
  <c r="H498" i="6"/>
  <c r="A91" i="6"/>
  <c r="H234" i="6"/>
  <c r="H229" i="6"/>
  <c r="H239" i="6"/>
  <c r="H666" i="6"/>
  <c r="H1079" i="6"/>
  <c r="H1074" i="6"/>
  <c r="H1069" i="6"/>
  <c r="H850" i="6"/>
  <c r="H855" i="6"/>
  <c r="H845" i="6"/>
  <c r="H901" i="6"/>
  <c r="H911" i="6"/>
  <c r="H906" i="6"/>
  <c r="H183" i="6"/>
  <c r="H173" i="6"/>
  <c r="H178" i="6"/>
  <c r="H738" i="6"/>
  <c r="H743" i="6"/>
  <c r="H733" i="6"/>
  <c r="H778" i="6"/>
  <c r="H554" i="6"/>
  <c r="H295" i="6"/>
  <c r="H290" i="6"/>
  <c r="H285" i="6"/>
  <c r="H1023" i="6"/>
  <c r="H1013" i="6"/>
  <c r="H1018" i="6"/>
  <c r="H458" i="6"/>
  <c r="H453" i="6"/>
  <c r="H463" i="6"/>
  <c r="H610" i="6"/>
  <c r="L763" i="8" l="1"/>
  <c r="H597" i="8"/>
  <c r="L320" i="8"/>
  <c r="M320" i="8" s="1"/>
  <c r="L152" i="8"/>
  <c r="M152" i="8" s="1"/>
  <c r="K770" i="8"/>
  <c r="L764" i="8"/>
  <c r="L147" i="8"/>
  <c r="M147" i="8" s="1"/>
  <c r="L824" i="8"/>
  <c r="M824" i="8" s="1"/>
  <c r="H149" i="8"/>
  <c r="K877" i="8"/>
  <c r="L877" i="8" s="1"/>
  <c r="M877" i="8" s="1"/>
  <c r="K882" i="8"/>
  <c r="L882" i="8" s="1"/>
  <c r="M882" i="8" s="1"/>
  <c r="K101" i="8"/>
  <c r="L101" i="8" s="1"/>
  <c r="L100" i="8"/>
  <c r="M100" i="8" s="1"/>
  <c r="K605" i="8"/>
  <c r="L605" i="8" s="1"/>
  <c r="M605" i="8" s="1"/>
  <c r="L604" i="8"/>
  <c r="M604" i="8" s="1"/>
  <c r="H493" i="8"/>
  <c r="K371" i="8"/>
  <c r="L371" i="8" s="1"/>
  <c r="M371" i="8" s="1"/>
  <c r="L370" i="8"/>
  <c r="M370" i="8" s="1"/>
  <c r="L831" i="8"/>
  <c r="M831" i="8" s="1"/>
  <c r="K717" i="8"/>
  <c r="L717" i="8" s="1"/>
  <c r="M717" i="8" s="1"/>
  <c r="L716" i="8"/>
  <c r="M716" i="8" s="1"/>
  <c r="K652" i="8"/>
  <c r="L652" i="8" s="1"/>
  <c r="K651" i="8"/>
  <c r="L651" i="8" s="1"/>
  <c r="M651" i="8" s="1"/>
  <c r="L650" i="8"/>
  <c r="M650" i="8" s="1"/>
  <c r="K259" i="8"/>
  <c r="L259" i="8" s="1"/>
  <c r="M259" i="8" s="1"/>
  <c r="L258" i="8"/>
  <c r="M258" i="8" s="1"/>
  <c r="M157" i="8"/>
  <c r="M325" i="8"/>
  <c r="L157" i="8"/>
  <c r="L930" i="8"/>
  <c r="M930" i="8" s="1"/>
  <c r="K931" i="8"/>
  <c r="L931" i="8" s="1"/>
  <c r="M931" i="8" s="1"/>
  <c r="K317" i="8"/>
  <c r="L770" i="8"/>
  <c r="M770" i="8" s="1"/>
  <c r="M315" i="8"/>
  <c r="K600" i="8"/>
  <c r="L600" i="8" s="1"/>
  <c r="M600" i="8" s="1"/>
  <c r="L599" i="8"/>
  <c r="M599" i="8" s="1"/>
  <c r="M487" i="8"/>
  <c r="H488" i="8"/>
  <c r="H490" i="8" s="1"/>
  <c r="L492" i="8"/>
  <c r="M492" i="8" s="1"/>
  <c r="K376" i="8"/>
  <c r="L376" i="8" s="1"/>
  <c r="M376" i="8" s="1"/>
  <c r="L375" i="8"/>
  <c r="M375" i="8" s="1"/>
  <c r="M763" i="8"/>
  <c r="K322" i="8"/>
  <c r="L322" i="8" s="1"/>
  <c r="M322" i="8" s="1"/>
  <c r="K544" i="8"/>
  <c r="L544" i="8" s="1"/>
  <c r="L543" i="8"/>
  <c r="M543" i="8" s="1"/>
  <c r="K546" i="8"/>
  <c r="L546" i="8" s="1"/>
  <c r="M546" i="8" s="1"/>
  <c r="M101" i="8"/>
  <c r="K707" i="8"/>
  <c r="L707" i="8" s="1"/>
  <c r="M707" i="8" s="1"/>
  <c r="L706" i="8"/>
  <c r="M706" i="8" s="1"/>
  <c r="K708" i="8"/>
  <c r="L708" i="8" s="1"/>
  <c r="K997" i="8"/>
  <c r="L997" i="8" s="1"/>
  <c r="L996" i="8"/>
  <c r="M996" i="8" s="1"/>
  <c r="K427" i="8"/>
  <c r="L427" i="8" s="1"/>
  <c r="M427" i="8" s="1"/>
  <c r="L426" i="8"/>
  <c r="M426" i="8" s="1"/>
  <c r="K661" i="8"/>
  <c r="L661" i="8" s="1"/>
  <c r="M661" i="8" s="1"/>
  <c r="L660" i="8"/>
  <c r="M660" i="8" s="1"/>
  <c r="K269" i="8"/>
  <c r="L269" i="8" s="1"/>
  <c r="M269" i="8" s="1"/>
  <c r="L268" i="8"/>
  <c r="M268" i="8" s="1"/>
  <c r="K887" i="8"/>
  <c r="L887" i="8" s="1"/>
  <c r="M887" i="8" s="1"/>
  <c r="K1043" i="8"/>
  <c r="L1043" i="8" s="1"/>
  <c r="M1043" i="8" s="1"/>
  <c r="L1042" i="8"/>
  <c r="M1042" i="8" s="1"/>
  <c r="H709" i="8"/>
  <c r="K159" i="8"/>
  <c r="K96" i="8"/>
  <c r="L96" i="8" s="1"/>
  <c r="M96" i="8" s="1"/>
  <c r="L95" i="8"/>
  <c r="M95" i="8" s="1"/>
  <c r="H317" i="8"/>
  <c r="K327" i="8"/>
  <c r="K549" i="8"/>
  <c r="L549" i="8" s="1"/>
  <c r="M549" i="8" s="1"/>
  <c r="L548" i="8"/>
  <c r="M548" i="8" s="1"/>
  <c r="K551" i="8"/>
  <c r="L551" i="8" s="1"/>
  <c r="M551" i="8" s="1"/>
  <c r="K765" i="8"/>
  <c r="L765" i="8" s="1"/>
  <c r="M765" i="8" s="1"/>
  <c r="L711" i="8"/>
  <c r="M711" i="8" s="1"/>
  <c r="K712" i="8"/>
  <c r="L712" i="8" s="1"/>
  <c r="K992" i="8"/>
  <c r="L992" i="8" s="1"/>
  <c r="M992" i="8" s="1"/>
  <c r="L991" i="8"/>
  <c r="M991" i="8" s="1"/>
  <c r="L431" i="8"/>
  <c r="M431" i="8" s="1"/>
  <c r="K432" i="8"/>
  <c r="L432" i="8" s="1"/>
  <c r="M432" i="8" s="1"/>
  <c r="K203" i="8"/>
  <c r="L203" i="8" s="1"/>
  <c r="M203" i="8" s="1"/>
  <c r="L202" i="8"/>
  <c r="M202" i="8" s="1"/>
  <c r="M544" i="8"/>
  <c r="L773" i="8"/>
  <c r="M773" i="8" s="1"/>
  <c r="H658" i="8"/>
  <c r="K656" i="8"/>
  <c r="L656" i="8" s="1"/>
  <c r="M656" i="8" s="1"/>
  <c r="L655" i="8"/>
  <c r="M655" i="8" s="1"/>
  <c r="L263" i="8"/>
  <c r="M263" i="8" s="1"/>
  <c r="K264" i="8"/>
  <c r="L264" i="8" s="1"/>
  <c r="M264" i="8" s="1"/>
  <c r="L148" i="8"/>
  <c r="K1053" i="8"/>
  <c r="L1053" i="8" s="1"/>
  <c r="M1053" i="8" s="1"/>
  <c r="L1052" i="8"/>
  <c r="M1052" i="8" s="1"/>
  <c r="H327" i="8"/>
  <c r="L935" i="8"/>
  <c r="M935" i="8" s="1"/>
  <c r="K936" i="8"/>
  <c r="L936" i="8" s="1"/>
  <c r="M936" i="8" s="1"/>
  <c r="L821" i="8"/>
  <c r="M821" i="8" s="1"/>
  <c r="K213" i="8"/>
  <c r="L213" i="8" s="1"/>
  <c r="M213" i="8" s="1"/>
  <c r="L212" i="8"/>
  <c r="M212" i="8" s="1"/>
  <c r="L940" i="8"/>
  <c r="M940" i="8" s="1"/>
  <c r="K941" i="8"/>
  <c r="L941" i="8" s="1"/>
  <c r="M941" i="8" s="1"/>
  <c r="K826" i="8"/>
  <c r="L826" i="8" s="1"/>
  <c r="M826" i="8" s="1"/>
  <c r="K91" i="8"/>
  <c r="L91" i="8" s="1"/>
  <c r="M91" i="8" s="1"/>
  <c r="K92" i="8"/>
  <c r="L92" i="8" s="1"/>
  <c r="L90" i="8"/>
  <c r="M90" i="8" s="1"/>
  <c r="K595" i="8"/>
  <c r="L595" i="8" s="1"/>
  <c r="M595" i="8" s="1"/>
  <c r="L594" i="8"/>
  <c r="M594" i="8" s="1"/>
  <c r="K596" i="8"/>
  <c r="L596" i="8" s="1"/>
  <c r="H775" i="8"/>
  <c r="L819" i="8"/>
  <c r="M819" i="8" s="1"/>
  <c r="H93" i="8"/>
  <c r="H483" i="8"/>
  <c r="M482" i="8"/>
  <c r="H484" i="8"/>
  <c r="K495" i="8"/>
  <c r="K383" i="8"/>
  <c r="L383" i="8" s="1"/>
  <c r="M383" i="8" s="1"/>
  <c r="L380" i="8"/>
  <c r="M380" i="8" s="1"/>
  <c r="K381" i="8"/>
  <c r="L381" i="8" s="1"/>
  <c r="M381" i="8" s="1"/>
  <c r="H261" i="8"/>
  <c r="L829" i="8"/>
  <c r="M829" i="8" s="1"/>
  <c r="K540" i="8"/>
  <c r="L540" i="8" s="1"/>
  <c r="L538" i="8"/>
  <c r="M538" i="8" s="1"/>
  <c r="K539" i="8"/>
  <c r="L539" i="8" s="1"/>
  <c r="M539" i="8" s="1"/>
  <c r="H103" i="8"/>
  <c r="L986" i="8"/>
  <c r="M986" i="8" s="1"/>
  <c r="K987" i="8"/>
  <c r="L987" i="8" s="1"/>
  <c r="M987" i="8" s="1"/>
  <c r="L484" i="8"/>
  <c r="K437" i="8"/>
  <c r="L437" i="8" s="1"/>
  <c r="M437" i="8" s="1"/>
  <c r="L436" i="8"/>
  <c r="M436" i="8" s="1"/>
  <c r="H607" i="8"/>
  <c r="K154" i="8"/>
  <c r="L154" i="8" s="1"/>
  <c r="M154" i="8" s="1"/>
  <c r="L207" i="8"/>
  <c r="M207" i="8" s="1"/>
  <c r="K208" i="8"/>
  <c r="L208" i="8" s="1"/>
  <c r="M208" i="8" s="1"/>
  <c r="M768" i="8"/>
  <c r="H98" i="8"/>
  <c r="M712" i="8"/>
  <c r="K149" i="8"/>
  <c r="L149" i="8" s="1"/>
  <c r="M149" i="8" s="1"/>
  <c r="D19" i="7" s="1"/>
  <c r="D32" i="7" s="1"/>
  <c r="H159" i="8"/>
  <c r="K1048" i="8"/>
  <c r="L1048" i="8" s="1"/>
  <c r="M1048" i="8" s="1"/>
  <c r="L1047" i="8"/>
  <c r="M1047" i="8" s="1"/>
  <c r="M997" i="8"/>
  <c r="H184" i="5"/>
  <c r="H576" i="5"/>
  <c r="H240" i="5"/>
  <c r="H242" i="5" s="1"/>
  <c r="H846" i="5"/>
  <c r="H848" i="5" s="1"/>
  <c r="H1019" i="5"/>
  <c r="H1021" i="5" s="1"/>
  <c r="H123" i="5"/>
  <c r="H125" i="5" s="1"/>
  <c r="H963" i="5"/>
  <c r="H965" i="5" s="1"/>
  <c r="H464" i="5"/>
  <c r="H466" i="5" s="1"/>
  <c r="H398" i="5"/>
  <c r="H1075" i="5"/>
  <c r="H799" i="5"/>
  <c r="H789" i="5"/>
  <c r="H794" i="5"/>
  <c r="H510" i="5"/>
  <c r="H511" i="5"/>
  <c r="H856" i="5"/>
  <c r="H858" i="5" s="1"/>
  <c r="H902" i="5"/>
  <c r="H735" i="5"/>
  <c r="H734" i="5"/>
  <c r="H119" i="5"/>
  <c r="H118" i="5"/>
  <c r="H968" i="5"/>
  <c r="H970" i="5" s="1"/>
  <c r="H454" i="5"/>
  <c r="H179" i="5"/>
  <c r="H181" i="5" s="1"/>
  <c r="H403" i="5"/>
  <c r="H405" i="5" s="1"/>
  <c r="H1070" i="5"/>
  <c r="H1072" i="5" s="1"/>
  <c r="H571" i="5"/>
  <c r="H230" i="5"/>
  <c r="H520" i="5"/>
  <c r="H522" i="5" s="1"/>
  <c r="H912" i="5"/>
  <c r="H914" i="5" s="1"/>
  <c r="H744" i="5"/>
  <c r="H746" i="5" s="1"/>
  <c r="H1014" i="5"/>
  <c r="H1016" i="5" s="1"/>
  <c r="H128" i="5"/>
  <c r="H130" i="5" s="1"/>
  <c r="H958" i="5"/>
  <c r="H960" i="5" s="1"/>
  <c r="H459" i="5"/>
  <c r="H461" i="5" s="1"/>
  <c r="H687" i="5"/>
  <c r="H682" i="5"/>
  <c r="H677" i="5"/>
  <c r="H293" i="5"/>
  <c r="H354" i="5"/>
  <c r="H174" i="5"/>
  <c r="H175" i="5"/>
  <c r="H408" i="5"/>
  <c r="H410" i="5" s="1"/>
  <c r="H1080" i="5"/>
  <c r="H1082" i="5" s="1"/>
  <c r="H567" i="5"/>
  <c r="H566" i="5"/>
  <c r="H235" i="5"/>
  <c r="H626" i="5"/>
  <c r="H631" i="5"/>
  <c r="H621" i="5"/>
  <c r="H515" i="5"/>
  <c r="H851" i="5"/>
  <c r="H907" i="5"/>
  <c r="H739" i="5"/>
  <c r="H741" i="5" s="1"/>
  <c r="H1024" i="5"/>
  <c r="H1026" i="5" s="1"/>
  <c r="H519" i="6"/>
  <c r="H509" i="6"/>
  <c r="H514" i="6"/>
  <c r="H118" i="6"/>
  <c r="H119" i="6"/>
  <c r="H912" i="6"/>
  <c r="H914" i="6" s="1"/>
  <c r="H856" i="6"/>
  <c r="H858" i="6" s="1"/>
  <c r="H1075" i="6"/>
  <c r="H677" i="6"/>
  <c r="H687" i="6"/>
  <c r="H682" i="6"/>
  <c r="H240" i="6"/>
  <c r="H242" i="6" s="1"/>
  <c r="H957" i="6"/>
  <c r="H967" i="6"/>
  <c r="H962" i="6"/>
  <c r="H123" i="6"/>
  <c r="H125" i="6" s="1"/>
  <c r="H398" i="6"/>
  <c r="H400" i="6" s="1"/>
  <c r="A92" i="6"/>
  <c r="H408" i="6"/>
  <c r="H464" i="6"/>
  <c r="H466" i="6" s="1"/>
  <c r="H1019" i="6"/>
  <c r="H286" i="6"/>
  <c r="H288" i="6" s="1"/>
  <c r="H739" i="6"/>
  <c r="H184" i="6"/>
  <c r="H186" i="6" s="1"/>
  <c r="H907" i="6"/>
  <c r="H909" i="6" s="1"/>
  <c r="H846" i="6"/>
  <c r="H848" i="6" s="1"/>
  <c r="H1070" i="6"/>
  <c r="H1072" i="6" s="1"/>
  <c r="H454" i="6"/>
  <c r="H456" i="6" s="1"/>
  <c r="H1014" i="6"/>
  <c r="H1016" i="6" s="1"/>
  <c r="H291" i="6"/>
  <c r="H293" i="6" s="1"/>
  <c r="H565" i="6"/>
  <c r="H575" i="6"/>
  <c r="H570" i="6"/>
  <c r="H459" i="6"/>
  <c r="H1024" i="6"/>
  <c r="H1026" i="6" s="1"/>
  <c r="H296" i="6"/>
  <c r="H735" i="6"/>
  <c r="H734" i="6"/>
  <c r="H736" i="6" s="1"/>
  <c r="H179" i="6"/>
  <c r="H902" i="6"/>
  <c r="H851" i="6"/>
  <c r="H853" i="6" s="1"/>
  <c r="H1080" i="6"/>
  <c r="H1082" i="6" s="1"/>
  <c r="H230" i="6"/>
  <c r="H232" i="6" s="1"/>
  <c r="H621" i="6"/>
  <c r="H626" i="6"/>
  <c r="H631" i="6"/>
  <c r="H799" i="6"/>
  <c r="H789" i="6"/>
  <c r="H794" i="6"/>
  <c r="H744" i="6"/>
  <c r="H746" i="6" s="1"/>
  <c r="H175" i="6"/>
  <c r="H174" i="6"/>
  <c r="H235" i="6"/>
  <c r="H237" i="6" s="1"/>
  <c r="H128" i="6"/>
  <c r="H403" i="6"/>
  <c r="H405" i="6" s="1"/>
  <c r="K658" i="8" l="1"/>
  <c r="L658" i="8" s="1"/>
  <c r="H176" i="6"/>
  <c r="L488" i="8"/>
  <c r="M488" i="8" s="1"/>
  <c r="K714" i="8"/>
  <c r="L714" i="8" s="1"/>
  <c r="M714" i="8" s="1"/>
  <c r="K103" i="8"/>
  <c r="L103" i="8" s="1"/>
  <c r="K709" i="8"/>
  <c r="H176" i="5"/>
  <c r="K1050" i="8"/>
  <c r="L1050" i="8" s="1"/>
  <c r="M1050" i="8" s="1"/>
  <c r="L327" i="8"/>
  <c r="H120" i="5"/>
  <c r="L317" i="8"/>
  <c r="M317" i="8" s="1"/>
  <c r="D22" i="7" s="1"/>
  <c r="D35" i="7" s="1"/>
  <c r="K373" i="8"/>
  <c r="L373" i="8" s="1"/>
  <c r="M373" i="8" s="1"/>
  <c r="D23" i="7" s="1"/>
  <c r="D36" i="7" s="1"/>
  <c r="K541" i="8"/>
  <c r="L541" i="8" s="1"/>
  <c r="M541" i="8" s="1"/>
  <c r="K933" i="8"/>
  <c r="L933" i="8" s="1"/>
  <c r="M933" i="8" s="1"/>
  <c r="K994" i="8"/>
  <c r="L994" i="8" s="1"/>
  <c r="M994" i="8" s="1"/>
  <c r="K999" i="8"/>
  <c r="L999" i="8" s="1"/>
  <c r="M999" i="8" s="1"/>
  <c r="K943" i="8"/>
  <c r="L943" i="8" s="1"/>
  <c r="M943" i="8" s="1"/>
  <c r="K439" i="8"/>
  <c r="L439" i="8" s="1"/>
  <c r="M439" i="8" s="1"/>
  <c r="D24" i="7" s="1"/>
  <c r="D37" i="7" s="1"/>
  <c r="K429" i="8"/>
  <c r="L429" i="8" s="1"/>
  <c r="M429" i="8" s="1"/>
  <c r="K266" i="8"/>
  <c r="L266" i="8" s="1"/>
  <c r="M266" i="8" s="1"/>
  <c r="K271" i="8"/>
  <c r="L271" i="8" s="1"/>
  <c r="M271" i="8" s="1"/>
  <c r="D21" i="7" s="1"/>
  <c r="D34" i="7" s="1"/>
  <c r="K261" i="8"/>
  <c r="K205" i="8"/>
  <c r="L205" i="8" s="1"/>
  <c r="M205" i="8" s="1"/>
  <c r="L493" i="8"/>
  <c r="M493" i="8" s="1"/>
  <c r="K719" i="8"/>
  <c r="L719" i="8" s="1"/>
  <c r="M719" i="8" s="1"/>
  <c r="H120" i="6"/>
  <c r="K210" i="8"/>
  <c r="L210" i="8" s="1"/>
  <c r="M210" i="8" s="1"/>
  <c r="M103" i="8"/>
  <c r="H485" i="8"/>
  <c r="K93" i="8"/>
  <c r="L93" i="8" s="1"/>
  <c r="L775" i="8"/>
  <c r="M775" i="8" s="1"/>
  <c r="K1055" i="8"/>
  <c r="L1055" i="8" s="1"/>
  <c r="M1055" i="8" s="1"/>
  <c r="M658" i="8"/>
  <c r="K434" i="8"/>
  <c r="L434" i="8" s="1"/>
  <c r="M434" i="8" s="1"/>
  <c r="K98" i="8"/>
  <c r="L98" i="8" s="1"/>
  <c r="M98" i="8" s="1"/>
  <c r="K1045" i="8"/>
  <c r="L1045" i="8" s="1"/>
  <c r="M1045" i="8" s="1"/>
  <c r="K378" i="8"/>
  <c r="L378" i="8" s="1"/>
  <c r="M378" i="8" s="1"/>
  <c r="K602" i="8"/>
  <c r="L602" i="8" s="1"/>
  <c r="M602" i="8" s="1"/>
  <c r="H495" i="8"/>
  <c r="L495" i="8" s="1"/>
  <c r="K607" i="8"/>
  <c r="L607" i="8" s="1"/>
  <c r="M607" i="8" s="1"/>
  <c r="L709" i="8"/>
  <c r="M709" i="8" s="1"/>
  <c r="H568" i="5"/>
  <c r="K989" i="8"/>
  <c r="L989" i="8" s="1"/>
  <c r="M989" i="8" s="1"/>
  <c r="M93" i="8"/>
  <c r="D18" i="7" s="1"/>
  <c r="D31" i="7" s="1"/>
  <c r="K597" i="8"/>
  <c r="L597" i="8" s="1"/>
  <c r="M597" i="8" s="1"/>
  <c r="K215" i="8"/>
  <c r="L215" i="8" s="1"/>
  <c r="M215" i="8" s="1"/>
  <c r="D20" i="7" s="1"/>
  <c r="D33" i="7" s="1"/>
  <c r="K938" i="8"/>
  <c r="L938" i="8" s="1"/>
  <c r="M938" i="8" s="1"/>
  <c r="M327" i="8"/>
  <c r="L483" i="8"/>
  <c r="M483" i="8" s="1"/>
  <c r="L159" i="8"/>
  <c r="M159" i="8" s="1"/>
  <c r="K663" i="8"/>
  <c r="L663" i="8" s="1"/>
  <c r="M663" i="8" s="1"/>
  <c r="L261" i="8"/>
  <c r="M261" i="8" s="1"/>
  <c r="K653" i="8"/>
  <c r="L653" i="8" s="1"/>
  <c r="M653" i="8" s="1"/>
  <c r="L490" i="8"/>
  <c r="M490" i="8" s="1"/>
  <c r="H632" i="5"/>
  <c r="H683" i="5"/>
  <c r="H685" i="5" s="1"/>
  <c r="H795" i="5"/>
  <c r="H797" i="5" s="1"/>
  <c r="H909" i="5"/>
  <c r="H627" i="5"/>
  <c r="H688" i="5"/>
  <c r="H904" i="5"/>
  <c r="H790" i="5"/>
  <c r="H791" i="5"/>
  <c r="H232" i="5"/>
  <c r="H512" i="5"/>
  <c r="H800" i="5"/>
  <c r="H802" i="5" s="1"/>
  <c r="H1077" i="5"/>
  <c r="H853" i="5"/>
  <c r="H517" i="5"/>
  <c r="H622" i="5"/>
  <c r="H623" i="5"/>
  <c r="H237" i="5"/>
  <c r="H678" i="5"/>
  <c r="H679" i="5"/>
  <c r="H573" i="5"/>
  <c r="H456" i="5"/>
  <c r="H736" i="5"/>
  <c r="H400" i="5"/>
  <c r="H578" i="5"/>
  <c r="H186" i="5"/>
  <c r="H741" i="6"/>
  <c r="H410" i="6"/>
  <c r="H791" i="6"/>
  <c r="H790" i="6"/>
  <c r="H181" i="6"/>
  <c r="H461" i="6"/>
  <c r="H632" i="6"/>
  <c r="H904" i="6"/>
  <c r="H298" i="6"/>
  <c r="H130" i="6"/>
  <c r="H795" i="6"/>
  <c r="H797" i="6" s="1"/>
  <c r="H627" i="6"/>
  <c r="H629" i="6"/>
  <c r="H567" i="6"/>
  <c r="H566" i="6"/>
  <c r="H1021" i="6"/>
  <c r="H800" i="6"/>
  <c r="H802" i="6" s="1"/>
  <c r="H623" i="6"/>
  <c r="H622" i="6"/>
  <c r="H571" i="6"/>
  <c r="H573" i="6" s="1"/>
  <c r="H576" i="6"/>
  <c r="H578" i="6" s="1"/>
  <c r="A93" i="6"/>
  <c r="H958" i="6"/>
  <c r="H683" i="6"/>
  <c r="H685" i="6" s="1"/>
  <c r="H515" i="6"/>
  <c r="H517" i="6" s="1"/>
  <c r="H688" i="6"/>
  <c r="H690" i="6" s="1"/>
  <c r="H510" i="6"/>
  <c r="H511" i="6"/>
  <c r="H512" i="6" s="1"/>
  <c r="H963" i="6"/>
  <c r="H965" i="6" s="1"/>
  <c r="H678" i="6"/>
  <c r="H680" i="6" s="1"/>
  <c r="H679" i="6"/>
  <c r="H1077" i="6"/>
  <c r="H520" i="6"/>
  <c r="H522" i="6" s="1"/>
  <c r="H968" i="6"/>
  <c r="H970" i="6" s="1"/>
  <c r="H568" i="6" l="1"/>
  <c r="H792" i="6"/>
  <c r="M495" i="8"/>
  <c r="M485" i="8"/>
  <c r="L485" i="8"/>
  <c r="H624" i="6"/>
  <c r="H792" i="5"/>
  <c r="H690" i="5"/>
  <c r="H624" i="5"/>
  <c r="H680" i="5"/>
  <c r="H629" i="5"/>
  <c r="H634" i="5"/>
  <c r="H960" i="6"/>
  <c r="A94" i="6"/>
  <c r="H634" i="6"/>
  <c r="L63" i="5" l="1"/>
  <c r="N67" i="5"/>
  <c r="A95" i="6"/>
  <c r="N69" i="5" l="1"/>
  <c r="H70" i="5"/>
  <c r="H67" i="5"/>
  <c r="N62" i="5"/>
  <c r="J65" i="5"/>
  <c r="J57" i="5"/>
  <c r="N55" i="5"/>
  <c r="J59" i="5"/>
  <c r="H57" i="5"/>
  <c r="H71" i="5"/>
  <c r="H63" i="5"/>
  <c r="L62" i="5"/>
  <c r="J72" i="5"/>
  <c r="L57" i="5"/>
  <c r="H55" i="5"/>
  <c r="H64" i="5"/>
  <c r="J58" i="5"/>
  <c r="H69" i="5"/>
  <c r="N66" i="5"/>
  <c r="J70" i="5"/>
  <c r="H62" i="5"/>
  <c r="H60" i="5"/>
  <c r="H58" i="5"/>
  <c r="J67" i="5"/>
  <c r="N57" i="5"/>
  <c r="J69" i="5"/>
  <c r="J68" i="5"/>
  <c r="H56" i="5"/>
  <c r="J62" i="5"/>
  <c r="L58" i="5"/>
  <c r="N68" i="5"/>
  <c r="H65" i="5"/>
  <c r="N59" i="5"/>
  <c r="J71" i="5"/>
  <c r="L55" i="5"/>
  <c r="L72" i="5"/>
  <c r="N60" i="5"/>
  <c r="L66" i="5"/>
  <c r="N58" i="5"/>
  <c r="L59" i="5"/>
  <c r="L65" i="5"/>
  <c r="H66" i="5"/>
  <c r="J63" i="5"/>
  <c r="N64" i="5"/>
  <c r="N72" i="5"/>
  <c r="H72" i="5"/>
  <c r="L68" i="5"/>
  <c r="L61" i="5"/>
  <c r="N56" i="5"/>
  <c r="J60" i="5"/>
  <c r="H59" i="5"/>
  <c r="H68" i="5"/>
  <c r="J56" i="5"/>
  <c r="N70" i="5"/>
  <c r="L64" i="5"/>
  <c r="J64" i="5"/>
  <c r="N61" i="5"/>
  <c r="L71" i="5"/>
  <c r="J55" i="5"/>
  <c r="L70" i="5"/>
  <c r="H61" i="5"/>
  <c r="L67" i="5"/>
  <c r="L69" i="5"/>
  <c r="N65" i="5"/>
  <c r="L56" i="5"/>
  <c r="J61" i="5"/>
  <c r="J66" i="5"/>
  <c r="N63" i="5"/>
  <c r="N71" i="5"/>
  <c r="I64" i="5"/>
  <c r="A96" i="6"/>
  <c r="C1045" i="4"/>
  <c r="L1044" i="4"/>
  <c r="I1040" i="4"/>
  <c r="I1039" i="4"/>
  <c r="I1038" i="4"/>
  <c r="F1038" i="4"/>
  <c r="I1037" i="4"/>
  <c r="G1037" i="4"/>
  <c r="F1037" i="4"/>
  <c r="I1036" i="4"/>
  <c r="F1036" i="4"/>
  <c r="I1034" i="4"/>
  <c r="K1034" i="4" s="1"/>
  <c r="L1034" i="4" s="1"/>
  <c r="M1034" i="4" s="1"/>
  <c r="H1034" i="4"/>
  <c r="F1033" i="4"/>
  <c r="G1032" i="4"/>
  <c r="H1032" i="4" s="1"/>
  <c r="C1031" i="4"/>
  <c r="C1028" i="4"/>
  <c r="K1026" i="4"/>
  <c r="L1026" i="4" s="1"/>
  <c r="M1026" i="4" s="1"/>
  <c r="H1026" i="4"/>
  <c r="J1024" i="4"/>
  <c r="K1024" i="4" s="1"/>
  <c r="C1019" i="4"/>
  <c r="L1017" i="4"/>
  <c r="M1017" i="4" s="1"/>
  <c r="J1017" i="4"/>
  <c r="K1017" i="4" s="1"/>
  <c r="H1017" i="4"/>
  <c r="L1016" i="4"/>
  <c r="M1016" i="4" s="1"/>
  <c r="J1015" i="4"/>
  <c r="J1013" i="4"/>
  <c r="K1013" i="4" s="1"/>
  <c r="L1013" i="4" s="1"/>
  <c r="M1013" i="4" s="1"/>
  <c r="H1013" i="4"/>
  <c r="E1007" i="4"/>
  <c r="E1006" i="4"/>
  <c r="J1029" i="4" s="1"/>
  <c r="K1029" i="4" s="1"/>
  <c r="E1005" i="4"/>
  <c r="G1040" i="4" s="1"/>
  <c r="H1040" i="4" s="1"/>
  <c r="E1004" i="4"/>
  <c r="K1003" i="4"/>
  <c r="E1003" i="4"/>
  <c r="C999" i="4"/>
  <c r="L988" i="4"/>
  <c r="I984" i="4"/>
  <c r="I983" i="4"/>
  <c r="I982" i="4"/>
  <c r="F982" i="4"/>
  <c r="I981" i="4"/>
  <c r="F981" i="4"/>
  <c r="I980" i="4"/>
  <c r="F980" i="4"/>
  <c r="I978" i="4"/>
  <c r="K978" i="4" s="1"/>
  <c r="L978" i="4" s="1"/>
  <c r="M978" i="4" s="1"/>
  <c r="H978" i="4"/>
  <c r="F977" i="4"/>
  <c r="C975" i="4"/>
  <c r="C972" i="4"/>
  <c r="K970" i="4"/>
  <c r="L970" i="4" s="1"/>
  <c r="M970" i="4" s="1"/>
  <c r="H970" i="4"/>
  <c r="C963" i="4"/>
  <c r="J961" i="4"/>
  <c r="K961" i="4" s="1"/>
  <c r="H961" i="4"/>
  <c r="L960" i="4"/>
  <c r="M960" i="4" s="1"/>
  <c r="J959" i="4"/>
  <c r="J957" i="4"/>
  <c r="K957" i="4" s="1"/>
  <c r="H957" i="4"/>
  <c r="E951" i="4"/>
  <c r="G977" i="4" s="1"/>
  <c r="H977" i="4" s="1"/>
  <c r="E950" i="4"/>
  <c r="G971" i="4" s="1"/>
  <c r="H971" i="4" s="1"/>
  <c r="E949" i="4"/>
  <c r="J967" i="4" s="1"/>
  <c r="K967" i="4" s="1"/>
  <c r="E948" i="4"/>
  <c r="K947" i="4"/>
  <c r="E947" i="4"/>
  <c r="C943" i="4"/>
  <c r="L932" i="4"/>
  <c r="I928" i="4"/>
  <c r="I927" i="4"/>
  <c r="I926" i="4"/>
  <c r="F926" i="4"/>
  <c r="I925" i="4"/>
  <c r="F925" i="4"/>
  <c r="I924" i="4"/>
  <c r="F924" i="4"/>
  <c r="I922" i="4"/>
  <c r="K922" i="4" s="1"/>
  <c r="L922" i="4" s="1"/>
  <c r="M922" i="4" s="1"/>
  <c r="H922" i="4"/>
  <c r="F921" i="4"/>
  <c r="C919" i="4"/>
  <c r="G917" i="4"/>
  <c r="H917" i="4" s="1"/>
  <c r="C916" i="4"/>
  <c r="K914" i="4"/>
  <c r="H914" i="4"/>
  <c r="L914" i="4" s="1"/>
  <c r="M914" i="4" s="1"/>
  <c r="J912" i="4"/>
  <c r="K912" i="4" s="1"/>
  <c r="G910" i="4"/>
  <c r="H910" i="4" s="1"/>
  <c r="C907" i="4"/>
  <c r="J905" i="4"/>
  <c r="K905" i="4" s="1"/>
  <c r="L905" i="4" s="1"/>
  <c r="M905" i="4" s="1"/>
  <c r="H905" i="4"/>
  <c r="L904" i="4"/>
  <c r="M904" i="4" s="1"/>
  <c r="J903" i="4"/>
  <c r="G902" i="4"/>
  <c r="H902" i="4" s="1"/>
  <c r="J901" i="4"/>
  <c r="K901" i="4" s="1"/>
  <c r="H901" i="4"/>
  <c r="E895" i="4"/>
  <c r="E894" i="4"/>
  <c r="J917" i="4" s="1"/>
  <c r="K917" i="4" s="1"/>
  <c r="L917" i="4" s="1"/>
  <c r="M917" i="4" s="1"/>
  <c r="E893" i="4"/>
  <c r="G928" i="4" s="1"/>
  <c r="H928" i="4" s="1"/>
  <c r="E892" i="4"/>
  <c r="K891" i="4"/>
  <c r="E891" i="4"/>
  <c r="C887" i="4"/>
  <c r="L876" i="4"/>
  <c r="I872" i="4"/>
  <c r="I871" i="4"/>
  <c r="I870" i="4"/>
  <c r="F870" i="4"/>
  <c r="I869" i="4"/>
  <c r="G869" i="4"/>
  <c r="F869" i="4"/>
  <c r="I868" i="4"/>
  <c r="F868" i="4"/>
  <c r="L866" i="4"/>
  <c r="M866" i="4" s="1"/>
  <c r="I866" i="4"/>
  <c r="K866" i="4" s="1"/>
  <c r="H866" i="4"/>
  <c r="F865" i="4"/>
  <c r="C863" i="4"/>
  <c r="C860" i="4"/>
  <c r="K858" i="4"/>
  <c r="H858" i="4"/>
  <c r="C851" i="4"/>
  <c r="J849" i="4"/>
  <c r="K849" i="4" s="1"/>
  <c r="L849" i="4" s="1"/>
  <c r="M849" i="4" s="1"/>
  <c r="H849" i="4"/>
  <c r="L848" i="4"/>
  <c r="M848" i="4" s="1"/>
  <c r="K845" i="4"/>
  <c r="J845" i="4"/>
  <c r="H845" i="4"/>
  <c r="E839" i="4"/>
  <c r="E838" i="4"/>
  <c r="G856" i="4" s="1"/>
  <c r="H856" i="4" s="1"/>
  <c r="E837" i="4"/>
  <c r="G872" i="4" s="1"/>
  <c r="H872" i="4" s="1"/>
  <c r="E836" i="4"/>
  <c r="K835" i="4"/>
  <c r="E835" i="4"/>
  <c r="C831" i="4"/>
  <c r="L820" i="4"/>
  <c r="I816" i="4"/>
  <c r="I815" i="4"/>
  <c r="I814" i="4"/>
  <c r="F814" i="4"/>
  <c r="I813" i="4"/>
  <c r="F813" i="4"/>
  <c r="I812" i="4"/>
  <c r="F812" i="4"/>
  <c r="K810" i="4"/>
  <c r="L810" i="4" s="1"/>
  <c r="M810" i="4" s="1"/>
  <c r="I810" i="4"/>
  <c r="H810" i="4"/>
  <c r="F809" i="4"/>
  <c r="C807" i="4"/>
  <c r="J805" i="4"/>
  <c r="K805" i="4" s="1"/>
  <c r="C804" i="4"/>
  <c r="G803" i="4"/>
  <c r="H803" i="4" s="1"/>
  <c r="M802" i="4"/>
  <c r="K802" i="4"/>
  <c r="L802" i="4" s="1"/>
  <c r="H802" i="4"/>
  <c r="I801" i="4"/>
  <c r="K801" i="4" s="1"/>
  <c r="C795" i="4"/>
  <c r="K793" i="4"/>
  <c r="L793" i="4" s="1"/>
  <c r="M793" i="4" s="1"/>
  <c r="J793" i="4"/>
  <c r="H793" i="4"/>
  <c r="L792" i="4"/>
  <c r="M792" i="4" s="1"/>
  <c r="H790" i="4"/>
  <c r="G790" i="4"/>
  <c r="J789" i="4"/>
  <c r="K789" i="4" s="1"/>
  <c r="H789" i="4"/>
  <c r="E783" i="4"/>
  <c r="E782" i="4"/>
  <c r="G806" i="4" s="1"/>
  <c r="H806" i="4" s="1"/>
  <c r="E781" i="4"/>
  <c r="G815" i="4" s="1"/>
  <c r="H815" i="4" s="1"/>
  <c r="E780" i="4"/>
  <c r="K779" i="4"/>
  <c r="E779" i="4"/>
  <c r="F801" i="4" s="1"/>
  <c r="H801" i="4" s="1"/>
  <c r="C765" i="4"/>
  <c r="I760" i="4"/>
  <c r="I759" i="4"/>
  <c r="G759" i="4"/>
  <c r="H759" i="4" s="1"/>
  <c r="I758" i="4"/>
  <c r="F758" i="4"/>
  <c r="I757" i="4"/>
  <c r="F757" i="4"/>
  <c r="I756" i="4"/>
  <c r="F756" i="4"/>
  <c r="K754" i="4"/>
  <c r="I754" i="4"/>
  <c r="H754" i="4"/>
  <c r="F753" i="4"/>
  <c r="C751" i="4"/>
  <c r="C748" i="4"/>
  <c r="K746" i="4"/>
  <c r="H746" i="4"/>
  <c r="G741" i="4"/>
  <c r="H741" i="4" s="1"/>
  <c r="C739" i="4"/>
  <c r="K737" i="4"/>
  <c r="L737" i="4" s="1"/>
  <c r="M737" i="4" s="1"/>
  <c r="J737" i="4"/>
  <c r="H737" i="4"/>
  <c r="L736" i="4"/>
  <c r="M736" i="4" s="1"/>
  <c r="J733" i="4"/>
  <c r="K733" i="4" s="1"/>
  <c r="L733" i="4" s="1"/>
  <c r="M733" i="4" s="1"/>
  <c r="H733" i="4"/>
  <c r="E727" i="4"/>
  <c r="E726" i="4"/>
  <c r="E725" i="4"/>
  <c r="E724" i="4"/>
  <c r="K723" i="4"/>
  <c r="E723" i="4"/>
  <c r="I745" i="4" s="1"/>
  <c r="K745" i="4" s="1"/>
  <c r="C709" i="4"/>
  <c r="I704" i="4"/>
  <c r="J703" i="4"/>
  <c r="I703" i="4"/>
  <c r="I702" i="4"/>
  <c r="F702" i="4"/>
  <c r="I701" i="4"/>
  <c r="F701" i="4"/>
  <c r="J700" i="4"/>
  <c r="I700" i="4"/>
  <c r="F700" i="4"/>
  <c r="I698" i="4"/>
  <c r="K698" i="4" s="1"/>
  <c r="H698" i="4"/>
  <c r="F697" i="4"/>
  <c r="C695" i="4"/>
  <c r="C692" i="4"/>
  <c r="K690" i="4"/>
  <c r="L690" i="4" s="1"/>
  <c r="M690" i="4" s="1"/>
  <c r="H690" i="4"/>
  <c r="J686" i="4"/>
  <c r="K686" i="4" s="1"/>
  <c r="C683" i="4"/>
  <c r="J681" i="4"/>
  <c r="K681" i="4" s="1"/>
  <c r="L681" i="4" s="1"/>
  <c r="M681" i="4" s="1"/>
  <c r="H681" i="4"/>
  <c r="L680" i="4"/>
  <c r="M680" i="4" s="1"/>
  <c r="J679" i="4"/>
  <c r="G678" i="4"/>
  <c r="H678" i="4" s="1"/>
  <c r="K677" i="4"/>
  <c r="J677" i="4"/>
  <c r="H677" i="4"/>
  <c r="E671" i="4"/>
  <c r="G696" i="4" s="1"/>
  <c r="H696" i="4" s="1"/>
  <c r="E670" i="4"/>
  <c r="G693" i="4" s="1"/>
  <c r="H693" i="4" s="1"/>
  <c r="E669" i="4"/>
  <c r="G704" i="4" s="1"/>
  <c r="H704" i="4" s="1"/>
  <c r="E668" i="4"/>
  <c r="K667" i="4"/>
  <c r="E667" i="4"/>
  <c r="C653" i="4"/>
  <c r="I648" i="4"/>
  <c r="I647" i="4"/>
  <c r="I646" i="4"/>
  <c r="F646" i="4"/>
  <c r="I645" i="4"/>
  <c r="G645" i="4"/>
  <c r="F645" i="4"/>
  <c r="I644" i="4"/>
  <c r="F644" i="4"/>
  <c r="I642" i="4"/>
  <c r="K642" i="4" s="1"/>
  <c r="L642" i="4" s="1"/>
  <c r="M642" i="4" s="1"/>
  <c r="H642" i="4"/>
  <c r="F641" i="4"/>
  <c r="C639" i="4"/>
  <c r="G637" i="4"/>
  <c r="H637" i="4" s="1"/>
  <c r="C636" i="4"/>
  <c r="K634" i="4"/>
  <c r="H634" i="4"/>
  <c r="C627" i="4"/>
  <c r="L625" i="4"/>
  <c r="M625" i="4" s="1"/>
  <c r="J625" i="4"/>
  <c r="K625" i="4" s="1"/>
  <c r="H625" i="4"/>
  <c r="L624" i="4"/>
  <c r="M624" i="4" s="1"/>
  <c r="J623" i="4"/>
  <c r="J621" i="4"/>
  <c r="K621" i="4" s="1"/>
  <c r="H621" i="4"/>
  <c r="E615" i="4"/>
  <c r="E614" i="4"/>
  <c r="J632" i="4" s="1"/>
  <c r="K632" i="4" s="1"/>
  <c r="E613" i="4"/>
  <c r="J645" i="4" s="1"/>
  <c r="E612" i="4"/>
  <c r="K611" i="4"/>
  <c r="E611" i="4"/>
  <c r="C597" i="4"/>
  <c r="J592" i="4"/>
  <c r="I592" i="4"/>
  <c r="I591" i="4"/>
  <c r="J590" i="4"/>
  <c r="I590" i="4"/>
  <c r="F590" i="4"/>
  <c r="I589" i="4"/>
  <c r="G589" i="4"/>
  <c r="F589" i="4"/>
  <c r="I588" i="4"/>
  <c r="F588" i="4"/>
  <c r="I586" i="4"/>
  <c r="K586" i="4" s="1"/>
  <c r="L586" i="4" s="1"/>
  <c r="M586" i="4" s="1"/>
  <c r="H586" i="4"/>
  <c r="F585" i="4"/>
  <c r="C583" i="4"/>
  <c r="C580" i="4"/>
  <c r="K578" i="4"/>
  <c r="H578" i="4"/>
  <c r="L578" i="4" s="1"/>
  <c r="M578" i="4" s="1"/>
  <c r="C571" i="4"/>
  <c r="J569" i="4"/>
  <c r="K569" i="4" s="1"/>
  <c r="H569" i="4"/>
  <c r="L568" i="4"/>
  <c r="M568" i="4" s="1"/>
  <c r="K565" i="4"/>
  <c r="J565" i="4"/>
  <c r="H565" i="4"/>
  <c r="E559" i="4"/>
  <c r="G585" i="4" s="1"/>
  <c r="H585" i="4" s="1"/>
  <c r="E558" i="4"/>
  <c r="J576" i="4" s="1"/>
  <c r="K576" i="4" s="1"/>
  <c r="E557" i="4"/>
  <c r="G592" i="4" s="1"/>
  <c r="H592" i="4" s="1"/>
  <c r="E556" i="4"/>
  <c r="K555" i="4"/>
  <c r="E555" i="4"/>
  <c r="C541" i="4"/>
  <c r="I536" i="4"/>
  <c r="J535" i="4"/>
  <c r="K535" i="4" s="1"/>
  <c r="I535" i="4"/>
  <c r="I534" i="4"/>
  <c r="F534" i="4"/>
  <c r="I533" i="4"/>
  <c r="F533" i="4"/>
  <c r="J532" i="4"/>
  <c r="I532" i="4"/>
  <c r="F532" i="4"/>
  <c r="I530" i="4"/>
  <c r="K530" i="4" s="1"/>
  <c r="H530" i="4"/>
  <c r="F529" i="4"/>
  <c r="G528" i="4"/>
  <c r="H528" i="4" s="1"/>
  <c r="C527" i="4"/>
  <c r="C524" i="4"/>
  <c r="L522" i="4"/>
  <c r="M522" i="4" s="1"/>
  <c r="K522" i="4"/>
  <c r="H522" i="4"/>
  <c r="C515" i="4"/>
  <c r="J513" i="4"/>
  <c r="K513" i="4" s="1"/>
  <c r="H513" i="4"/>
  <c r="L512" i="4"/>
  <c r="M512" i="4" s="1"/>
  <c r="K509" i="4"/>
  <c r="J509" i="4"/>
  <c r="H509" i="4"/>
  <c r="E503" i="4"/>
  <c r="E502" i="4"/>
  <c r="E501" i="4"/>
  <c r="J533" i="4" s="1"/>
  <c r="E500" i="4"/>
  <c r="K499" i="4"/>
  <c r="E499" i="4"/>
  <c r="C485" i="4"/>
  <c r="I480" i="4"/>
  <c r="I479" i="4"/>
  <c r="I478" i="4"/>
  <c r="F478" i="4"/>
  <c r="I477" i="4"/>
  <c r="G477" i="4"/>
  <c r="F477" i="4"/>
  <c r="I476" i="4"/>
  <c r="F476" i="4"/>
  <c r="I474" i="4"/>
  <c r="K474" i="4" s="1"/>
  <c r="L474" i="4" s="1"/>
  <c r="M474" i="4" s="1"/>
  <c r="H474" i="4"/>
  <c r="F473" i="4"/>
  <c r="G472" i="4"/>
  <c r="H472" i="4" s="1"/>
  <c r="C471" i="4"/>
  <c r="C468" i="4"/>
  <c r="K466" i="4"/>
  <c r="H466" i="4"/>
  <c r="J462" i="4"/>
  <c r="K462" i="4" s="1"/>
  <c r="C459" i="4"/>
  <c r="L457" i="4"/>
  <c r="M457" i="4" s="1"/>
  <c r="J457" i="4"/>
  <c r="K457" i="4" s="1"/>
  <c r="H457" i="4"/>
  <c r="L456" i="4"/>
  <c r="M456" i="4" s="1"/>
  <c r="J455" i="4"/>
  <c r="J453" i="4"/>
  <c r="K453" i="4" s="1"/>
  <c r="H453" i="4"/>
  <c r="E447" i="4"/>
  <c r="E446" i="4"/>
  <c r="G462" i="4" s="1"/>
  <c r="H462" i="4" s="1"/>
  <c r="E445" i="4"/>
  <c r="J480" i="4" s="1"/>
  <c r="K480" i="4" s="1"/>
  <c r="E444" i="4"/>
  <c r="K443" i="4"/>
  <c r="E443" i="4"/>
  <c r="C439" i="4"/>
  <c r="L428" i="4"/>
  <c r="I424" i="4"/>
  <c r="I423" i="4"/>
  <c r="I422" i="4"/>
  <c r="F422" i="4"/>
  <c r="I421" i="4"/>
  <c r="F421" i="4"/>
  <c r="I420" i="4"/>
  <c r="F420" i="4"/>
  <c r="I418" i="4"/>
  <c r="K418" i="4" s="1"/>
  <c r="L418" i="4" s="1"/>
  <c r="M418" i="4" s="1"/>
  <c r="H418" i="4"/>
  <c r="F417" i="4"/>
  <c r="C415" i="4"/>
  <c r="J414" i="4"/>
  <c r="K414" i="4" s="1"/>
  <c r="C412" i="4"/>
  <c r="K410" i="4"/>
  <c r="L410" i="4" s="1"/>
  <c r="M410" i="4" s="1"/>
  <c r="H410" i="4"/>
  <c r="J408" i="4"/>
  <c r="K408" i="4" s="1"/>
  <c r="C403" i="4"/>
  <c r="J401" i="4"/>
  <c r="K401" i="4" s="1"/>
  <c r="L401" i="4" s="1"/>
  <c r="M401" i="4" s="1"/>
  <c r="H401" i="4"/>
  <c r="L400" i="4"/>
  <c r="M400" i="4" s="1"/>
  <c r="G400" i="4"/>
  <c r="A398" i="4"/>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J397" i="4"/>
  <c r="K397" i="4" s="1"/>
  <c r="H397" i="4"/>
  <c r="A397" i="4"/>
  <c r="E391" i="4"/>
  <c r="E390" i="4"/>
  <c r="G414" i="4" s="1"/>
  <c r="H414" i="4" s="1"/>
  <c r="E389" i="4"/>
  <c r="I404" i="4" s="1"/>
  <c r="J404" i="4" s="1"/>
  <c r="K404" i="4" s="1"/>
  <c r="E388" i="4"/>
  <c r="K387" i="4"/>
  <c r="E387" i="4"/>
  <c r="F409" i="4" s="1"/>
  <c r="H409" i="4" s="1"/>
  <c r="C373" i="4"/>
  <c r="L372" i="4"/>
  <c r="I368" i="4"/>
  <c r="G368" i="4"/>
  <c r="H368" i="4" s="1"/>
  <c r="I367" i="4"/>
  <c r="G367" i="4"/>
  <c r="H367" i="4" s="1"/>
  <c r="I366" i="4"/>
  <c r="G366" i="4"/>
  <c r="F366" i="4"/>
  <c r="I365" i="4"/>
  <c r="G365" i="4"/>
  <c r="F365" i="4"/>
  <c r="I364" i="4"/>
  <c r="G364" i="4"/>
  <c r="F364" i="4"/>
  <c r="I362" i="4"/>
  <c r="K362" i="4" s="1"/>
  <c r="H362" i="4"/>
  <c r="F361" i="4"/>
  <c r="C359" i="4"/>
  <c r="C356" i="4"/>
  <c r="K354" i="4"/>
  <c r="H354" i="4"/>
  <c r="J351" i="4"/>
  <c r="K351" i="4" s="1"/>
  <c r="G351" i="4"/>
  <c r="H351" i="4" s="1"/>
  <c r="G349" i="4"/>
  <c r="H349" i="4" s="1"/>
  <c r="C347" i="4"/>
  <c r="J345" i="4"/>
  <c r="K345" i="4" s="1"/>
  <c r="L345" i="4" s="1"/>
  <c r="M345" i="4" s="1"/>
  <c r="H345" i="4"/>
  <c r="L344" i="4"/>
  <c r="M344" i="4" s="1"/>
  <c r="K341" i="4"/>
  <c r="J341" i="4"/>
  <c r="H341" i="4"/>
  <c r="E335" i="4"/>
  <c r="G360" i="4" s="1"/>
  <c r="H360" i="4" s="1"/>
  <c r="E334" i="4"/>
  <c r="E333" i="4"/>
  <c r="J364" i="4" s="1"/>
  <c r="E332" i="4"/>
  <c r="K331" i="4"/>
  <c r="E331" i="4"/>
  <c r="C317" i="4"/>
  <c r="L316" i="4"/>
  <c r="I312" i="4"/>
  <c r="I311" i="4"/>
  <c r="I310" i="4"/>
  <c r="F310" i="4"/>
  <c r="I309" i="4"/>
  <c r="F309" i="4"/>
  <c r="I308" i="4"/>
  <c r="F308" i="4"/>
  <c r="I306" i="4"/>
  <c r="K306" i="4" s="1"/>
  <c r="H306" i="4"/>
  <c r="F305" i="4"/>
  <c r="C303" i="4"/>
  <c r="C300" i="4"/>
  <c r="L298" i="4"/>
  <c r="M298" i="4" s="1"/>
  <c r="K298" i="4"/>
  <c r="H298" i="4"/>
  <c r="C291" i="4"/>
  <c r="J289" i="4"/>
  <c r="K289" i="4" s="1"/>
  <c r="L289" i="4" s="1"/>
  <c r="M289" i="4" s="1"/>
  <c r="H289" i="4"/>
  <c r="L288" i="4"/>
  <c r="M288" i="4" s="1"/>
  <c r="K285" i="4"/>
  <c r="H285" i="4"/>
  <c r="E279" i="4"/>
  <c r="E278" i="4"/>
  <c r="E277" i="4"/>
  <c r="G309" i="4" s="1"/>
  <c r="E276" i="4"/>
  <c r="K275" i="4"/>
  <c r="E275" i="4"/>
  <c r="F297" i="4" s="1"/>
  <c r="H297" i="4" s="1"/>
  <c r="C271" i="4"/>
  <c r="L260" i="4"/>
  <c r="I256" i="4"/>
  <c r="I255" i="4"/>
  <c r="I254" i="4"/>
  <c r="F254" i="4"/>
  <c r="I253" i="4"/>
  <c r="F253" i="4"/>
  <c r="I252" i="4"/>
  <c r="F252" i="4"/>
  <c r="I250" i="4"/>
  <c r="K250" i="4" s="1"/>
  <c r="H250" i="4"/>
  <c r="F249" i="4"/>
  <c r="C247" i="4"/>
  <c r="J246" i="4"/>
  <c r="K246" i="4" s="1"/>
  <c r="G246" i="4"/>
  <c r="H246" i="4" s="1"/>
  <c r="C244" i="4"/>
  <c r="G243" i="4"/>
  <c r="H243" i="4" s="1"/>
  <c r="K242" i="4"/>
  <c r="L242" i="4" s="1"/>
  <c r="M242" i="4" s="1"/>
  <c r="H242" i="4"/>
  <c r="F241" i="4"/>
  <c r="H241" i="4" s="1"/>
  <c r="J237" i="4"/>
  <c r="K237" i="4" s="1"/>
  <c r="C235" i="4"/>
  <c r="J234" i="4"/>
  <c r="K234" i="4" s="1"/>
  <c r="J233" i="4"/>
  <c r="K233" i="4" s="1"/>
  <c r="H233" i="4"/>
  <c r="L232" i="4"/>
  <c r="M232" i="4" s="1"/>
  <c r="J232" i="4"/>
  <c r="G231" i="4"/>
  <c r="J229" i="4"/>
  <c r="K229" i="4" s="1"/>
  <c r="L229" i="4" s="1"/>
  <c r="M229" i="4" s="1"/>
  <c r="H229" i="4"/>
  <c r="A229" i="4"/>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E223" i="4"/>
  <c r="E222" i="4"/>
  <c r="J245" i="4" s="1"/>
  <c r="K245" i="4" s="1"/>
  <c r="E221" i="4"/>
  <c r="E220" i="4"/>
  <c r="K219" i="4"/>
  <c r="E219" i="4"/>
  <c r="I241" i="4" s="1"/>
  <c r="K241" i="4" s="1"/>
  <c r="L241" i="4" s="1"/>
  <c r="M241" i="4" s="1"/>
  <c r="C215" i="4"/>
  <c r="L204" i="4"/>
  <c r="I200" i="4"/>
  <c r="I199" i="4"/>
  <c r="I198" i="4"/>
  <c r="F198" i="4"/>
  <c r="I197" i="4"/>
  <c r="F197" i="4"/>
  <c r="I196" i="4"/>
  <c r="F196" i="4"/>
  <c r="K194" i="4"/>
  <c r="I194" i="4"/>
  <c r="H194" i="4"/>
  <c r="F193" i="4"/>
  <c r="C191" i="4"/>
  <c r="J190" i="4"/>
  <c r="K190" i="4" s="1"/>
  <c r="L190" i="4" s="1"/>
  <c r="M190" i="4" s="1"/>
  <c r="G190" i="4"/>
  <c r="H190" i="4" s="1"/>
  <c r="C188" i="4"/>
  <c r="J187" i="4"/>
  <c r="K187" i="4" s="1"/>
  <c r="G187" i="4"/>
  <c r="H187" i="4" s="1"/>
  <c r="K186" i="4"/>
  <c r="H186" i="4"/>
  <c r="I185" i="4"/>
  <c r="K185" i="4" s="1"/>
  <c r="J181" i="4"/>
  <c r="K181" i="4" s="1"/>
  <c r="L181" i="4" s="1"/>
  <c r="M181" i="4" s="1"/>
  <c r="G181" i="4"/>
  <c r="H181" i="4" s="1"/>
  <c r="C179" i="4"/>
  <c r="J178" i="4"/>
  <c r="K178" i="4" s="1"/>
  <c r="G178" i="4"/>
  <c r="H178" i="4" s="1"/>
  <c r="K177" i="4"/>
  <c r="J177" i="4"/>
  <c r="H177" i="4"/>
  <c r="M176" i="4"/>
  <c r="L176" i="4"/>
  <c r="G175" i="4"/>
  <c r="L173" i="4"/>
  <c r="M173" i="4" s="1"/>
  <c r="J173" i="4"/>
  <c r="K173" i="4" s="1"/>
  <c r="H173" i="4"/>
  <c r="A173" i="4"/>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E167" i="4"/>
  <c r="E166" i="4"/>
  <c r="J189" i="4" s="1"/>
  <c r="K189" i="4" s="1"/>
  <c r="E165" i="4"/>
  <c r="E164" i="4"/>
  <c r="K163" i="4"/>
  <c r="E163" i="4"/>
  <c r="F185" i="4" s="1"/>
  <c r="H185" i="4" s="1"/>
  <c r="L185" i="4" s="1"/>
  <c r="M185" i="4" s="1"/>
  <c r="C149" i="4"/>
  <c r="I144" i="4"/>
  <c r="I143" i="4"/>
  <c r="I142" i="4"/>
  <c r="F142" i="4"/>
  <c r="I141" i="4"/>
  <c r="F141" i="4"/>
  <c r="I140" i="4"/>
  <c r="F140" i="4"/>
  <c r="I138" i="4"/>
  <c r="K138" i="4" s="1"/>
  <c r="H138" i="4"/>
  <c r="F137" i="4"/>
  <c r="C135" i="4"/>
  <c r="C132" i="4"/>
  <c r="K130" i="4"/>
  <c r="H130" i="4"/>
  <c r="C123" i="4"/>
  <c r="K121" i="4"/>
  <c r="L121" i="4" s="1"/>
  <c r="M121" i="4" s="1"/>
  <c r="J121" i="4"/>
  <c r="H121" i="4"/>
  <c r="L120" i="4"/>
  <c r="M120" i="4" s="1"/>
  <c r="J117" i="4"/>
  <c r="K117" i="4" s="1"/>
  <c r="L117" i="4" s="1"/>
  <c r="M117" i="4" s="1"/>
  <c r="H117" i="4"/>
  <c r="A117" i="4"/>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E111" i="4"/>
  <c r="E110" i="4"/>
  <c r="J131" i="4" s="1"/>
  <c r="K131" i="4" s="1"/>
  <c r="E109" i="4"/>
  <c r="E108" i="4"/>
  <c r="K107" i="4"/>
  <c r="E107" i="4"/>
  <c r="I129" i="4" s="1"/>
  <c r="K129" i="4" s="1"/>
  <c r="C93" i="4"/>
  <c r="I88" i="4"/>
  <c r="I87" i="4"/>
  <c r="I86" i="4"/>
  <c r="F86" i="4"/>
  <c r="I85" i="4"/>
  <c r="F85" i="4"/>
  <c r="I84" i="4"/>
  <c r="F84" i="4"/>
  <c r="K82" i="4"/>
  <c r="I82" i="4"/>
  <c r="H82" i="4"/>
  <c r="F81" i="4"/>
  <c r="C79" i="4"/>
  <c r="C76" i="4"/>
  <c r="K74" i="4"/>
  <c r="L74" i="4" s="1"/>
  <c r="M74" i="4" s="1"/>
  <c r="H74" i="4"/>
  <c r="C67" i="4"/>
  <c r="J65" i="4"/>
  <c r="K65" i="4" s="1"/>
  <c r="L65" i="4" s="1"/>
  <c r="M65" i="4" s="1"/>
  <c r="H65" i="4"/>
  <c r="M64" i="4"/>
  <c r="L64" i="4"/>
  <c r="J61" i="4"/>
  <c r="K61" i="4" s="1"/>
  <c r="H61" i="4"/>
  <c r="E55" i="4"/>
  <c r="E54" i="4"/>
  <c r="J75" i="4" s="1"/>
  <c r="K75" i="4" s="1"/>
  <c r="E53" i="4"/>
  <c r="E52" i="4"/>
  <c r="K51" i="4"/>
  <c r="E51" i="4"/>
  <c r="A61" i="4" s="1"/>
  <c r="A62" i="4" s="1"/>
  <c r="D47" i="4"/>
  <c r="B47" i="4"/>
  <c r="D46" i="4"/>
  <c r="B46" i="4"/>
  <c r="D45" i="4"/>
  <c r="B45" i="4"/>
  <c r="D44" i="4"/>
  <c r="B44" i="4"/>
  <c r="D43" i="4"/>
  <c r="B43" i="4"/>
  <c r="D42" i="4"/>
  <c r="B42" i="4"/>
  <c r="D41" i="4"/>
  <c r="B41" i="4"/>
  <c r="D40" i="4"/>
  <c r="B40" i="4"/>
  <c r="D39" i="4"/>
  <c r="B39" i="4"/>
  <c r="D38" i="4"/>
  <c r="B38" i="4"/>
  <c r="D37" i="4"/>
  <c r="B37" i="4"/>
  <c r="D36" i="4"/>
  <c r="B36" i="4"/>
  <c r="D35" i="4"/>
  <c r="B35" i="4"/>
  <c r="D34" i="4"/>
  <c r="B34" i="4"/>
  <c r="D33" i="4"/>
  <c r="B33" i="4"/>
  <c r="D32" i="4"/>
  <c r="B32" i="4"/>
  <c r="D31" i="4"/>
  <c r="B31" i="4"/>
  <c r="D30" i="4"/>
  <c r="B30" i="4"/>
  <c r="D29" i="4"/>
  <c r="B29" i="4"/>
  <c r="D28" i="4"/>
  <c r="B28" i="4"/>
  <c r="J22" i="4"/>
  <c r="G22" i="4"/>
  <c r="G47" i="4" s="1"/>
  <c r="K47" i="4" s="1"/>
  <c r="C22" i="4"/>
  <c r="J21" i="4"/>
  <c r="G21" i="4"/>
  <c r="G46" i="4" s="1"/>
  <c r="C21" i="4"/>
  <c r="J20" i="4"/>
  <c r="E1008" i="4" s="1"/>
  <c r="G20" i="4"/>
  <c r="G45" i="4" s="1"/>
  <c r="C20" i="4"/>
  <c r="J19" i="4"/>
  <c r="E952" i="4" s="1"/>
  <c r="G19" i="4"/>
  <c r="G44" i="4" s="1"/>
  <c r="C19" i="4"/>
  <c r="J18" i="4"/>
  <c r="E896" i="4" s="1"/>
  <c r="G18" i="4"/>
  <c r="G43" i="4" s="1"/>
  <c r="C18" i="4"/>
  <c r="J17" i="4"/>
  <c r="E840" i="4" s="1"/>
  <c r="J864" i="4" s="1"/>
  <c r="K864" i="4" s="1"/>
  <c r="G17" i="4"/>
  <c r="G42" i="4" s="1"/>
  <c r="C17" i="4"/>
  <c r="J16" i="4"/>
  <c r="E784" i="4" s="1"/>
  <c r="G16" i="4"/>
  <c r="G41" i="4" s="1"/>
  <c r="C16" i="4"/>
  <c r="J15" i="4"/>
  <c r="E728" i="4" s="1"/>
  <c r="G15" i="4"/>
  <c r="G40" i="4" s="1"/>
  <c r="C15" i="4"/>
  <c r="J14" i="4"/>
  <c r="E672" i="4" s="1"/>
  <c r="G14" i="4"/>
  <c r="G39" i="4" s="1"/>
  <c r="C14" i="4"/>
  <c r="J13" i="4"/>
  <c r="E616" i="4" s="1"/>
  <c r="J640" i="4" s="1"/>
  <c r="K640" i="4" s="1"/>
  <c r="G13" i="4"/>
  <c r="G38" i="4" s="1"/>
  <c r="C13" i="4"/>
  <c r="J12" i="4"/>
  <c r="E560" i="4" s="1"/>
  <c r="G12" i="4"/>
  <c r="G37" i="4" s="1"/>
  <c r="C12" i="4"/>
  <c r="J11" i="4"/>
  <c r="E504" i="4" s="1"/>
  <c r="J528" i="4" s="1"/>
  <c r="K528" i="4" s="1"/>
  <c r="G11" i="4"/>
  <c r="G36" i="4" s="1"/>
  <c r="C11" i="4"/>
  <c r="J10" i="4"/>
  <c r="E448" i="4" s="1"/>
  <c r="J473" i="4" s="1"/>
  <c r="K473" i="4" s="1"/>
  <c r="G10" i="4"/>
  <c r="G35" i="4" s="1"/>
  <c r="C10" i="4"/>
  <c r="J9" i="4"/>
  <c r="E392" i="4" s="1"/>
  <c r="G9" i="4"/>
  <c r="G34" i="4" s="1"/>
  <c r="J8" i="4"/>
  <c r="E336" i="4" s="1"/>
  <c r="G8" i="4"/>
  <c r="G33" i="4" s="1"/>
  <c r="J7" i="4"/>
  <c r="E280" i="4" s="1"/>
  <c r="G7" i="4"/>
  <c r="G32" i="4" s="1"/>
  <c r="J6" i="4"/>
  <c r="E224" i="4" s="1"/>
  <c r="G6" i="4"/>
  <c r="G31" i="4" s="1"/>
  <c r="J5" i="4"/>
  <c r="E168" i="4" s="1"/>
  <c r="G5" i="4"/>
  <c r="G30" i="4" s="1"/>
  <c r="J4" i="4"/>
  <c r="E112" i="4" s="1"/>
  <c r="G4" i="4"/>
  <c r="G29" i="4" s="1"/>
  <c r="J3" i="4"/>
  <c r="E56" i="4" s="1"/>
  <c r="G3" i="4"/>
  <c r="G28" i="4" s="1"/>
  <c r="F572" i="4" l="1"/>
  <c r="G572" i="4" s="1"/>
  <c r="H572" i="4" s="1"/>
  <c r="K364" i="4"/>
  <c r="H365" i="4"/>
  <c r="F684" i="4"/>
  <c r="G684" i="4" s="1"/>
  <c r="H684" i="4" s="1"/>
  <c r="H869" i="4"/>
  <c r="K533" i="4"/>
  <c r="F516" i="4"/>
  <c r="G516" i="4" s="1"/>
  <c r="H516" i="4" s="1"/>
  <c r="H645" i="4"/>
  <c r="K700" i="4"/>
  <c r="H1037" i="4"/>
  <c r="K532" i="4"/>
  <c r="L801" i="4"/>
  <c r="M801" i="4" s="1"/>
  <c r="H477" i="4"/>
  <c r="H589" i="4"/>
  <c r="K590" i="4"/>
  <c r="K645" i="4"/>
  <c r="L645" i="4" s="1"/>
  <c r="M645" i="4" s="1"/>
  <c r="M66" i="5"/>
  <c r="O72" i="5"/>
  <c r="O55" i="5"/>
  <c r="M62" i="5"/>
  <c r="I58" i="5"/>
  <c r="I69" i="5"/>
  <c r="O57" i="5"/>
  <c r="K72" i="5"/>
  <c r="O64" i="5"/>
  <c r="K71" i="5"/>
  <c r="K57" i="5"/>
  <c r="I67" i="5"/>
  <c r="I60" i="5"/>
  <c r="M64" i="5"/>
  <c r="M57" i="5"/>
  <c r="M60" i="5"/>
  <c r="M69" i="5"/>
  <c r="K66" i="5"/>
  <c r="O68" i="5"/>
  <c r="K703" i="4"/>
  <c r="K592" i="4"/>
  <c r="K70" i="5"/>
  <c r="O60" i="5"/>
  <c r="M63" i="5"/>
  <c r="K55" i="5"/>
  <c r="K65" i="5"/>
  <c r="O65" i="5"/>
  <c r="I56" i="5"/>
  <c r="M59" i="5"/>
  <c r="M71" i="5"/>
  <c r="I68" i="5"/>
  <c r="I59" i="5"/>
  <c r="O59" i="5"/>
  <c r="K69" i="5"/>
  <c r="I63" i="5"/>
  <c r="M58" i="5"/>
  <c r="K64" i="5"/>
  <c r="M56" i="5"/>
  <c r="K67" i="5"/>
  <c r="K56" i="5"/>
  <c r="I57" i="5"/>
  <c r="M67" i="5"/>
  <c r="K68" i="5"/>
  <c r="K59" i="5"/>
  <c r="K63" i="5"/>
  <c r="O70" i="5"/>
  <c r="O56" i="5"/>
  <c r="M61" i="5"/>
  <c r="M68" i="5"/>
  <c r="K58" i="5"/>
  <c r="O69" i="5"/>
  <c r="O58" i="5"/>
  <c r="I62" i="5"/>
  <c r="K61" i="5"/>
  <c r="O66" i="5"/>
  <c r="O61" i="5"/>
  <c r="I71" i="5"/>
  <c r="I55" i="5"/>
  <c r="O63" i="5"/>
  <c r="I61" i="5"/>
  <c r="M55" i="5"/>
  <c r="K62" i="5"/>
  <c r="M72" i="5"/>
  <c r="O67" i="5"/>
  <c r="I65" i="5"/>
  <c r="M65" i="5"/>
  <c r="I66" i="5"/>
  <c r="I72" i="5"/>
  <c r="O71" i="5"/>
  <c r="O62" i="5"/>
  <c r="I70" i="5"/>
  <c r="K60" i="5"/>
  <c r="A97" i="6"/>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M65" i="6"/>
  <c r="N66" i="6"/>
  <c r="L61" i="4"/>
  <c r="M61" i="4" s="1"/>
  <c r="L250" i="4"/>
  <c r="M250" i="4" s="1"/>
  <c r="L513" i="4"/>
  <c r="M513" i="4" s="1"/>
  <c r="L634" i="4"/>
  <c r="M634" i="4" s="1"/>
  <c r="J422" i="4"/>
  <c r="K422" i="4" s="1"/>
  <c r="A341" i="4"/>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I353" i="4"/>
  <c r="K353" i="4" s="1"/>
  <c r="J343" i="4"/>
  <c r="G358" i="4"/>
  <c r="H358" i="4" s="1"/>
  <c r="G355" i="4"/>
  <c r="H355" i="4" s="1"/>
  <c r="G352" i="4"/>
  <c r="H352" i="4" s="1"/>
  <c r="J350" i="4"/>
  <c r="K350" i="4" s="1"/>
  <c r="J342" i="4"/>
  <c r="K342" i="4" s="1"/>
  <c r="K347" i="4" s="1"/>
  <c r="G357" i="4"/>
  <c r="H357" i="4" s="1"/>
  <c r="J349" i="4"/>
  <c r="K349" i="4" s="1"/>
  <c r="G346" i="4"/>
  <c r="H346" i="4" s="1"/>
  <c r="J525" i="4"/>
  <c r="K525" i="4" s="1"/>
  <c r="L525" i="4" s="1"/>
  <c r="M525" i="4" s="1"/>
  <c r="G525" i="4"/>
  <c r="H525" i="4" s="1"/>
  <c r="J511" i="4"/>
  <c r="J520" i="4"/>
  <c r="K520" i="4" s="1"/>
  <c r="G510" i="4"/>
  <c r="H510" i="4" s="1"/>
  <c r="H515" i="4" s="1"/>
  <c r="L1029" i="4"/>
  <c r="M1029" i="4" s="1"/>
  <c r="G417" i="4"/>
  <c r="H417" i="4" s="1"/>
  <c r="J574" i="4"/>
  <c r="K574" i="4" s="1"/>
  <c r="L574" i="4" s="1"/>
  <c r="M574" i="4" s="1"/>
  <c r="J567" i="4"/>
  <c r="G581" i="4"/>
  <c r="H581" i="4" s="1"/>
  <c r="G574" i="4"/>
  <c r="H574" i="4" s="1"/>
  <c r="G566" i="4"/>
  <c r="H566" i="4" s="1"/>
  <c r="H571" i="4" s="1"/>
  <c r="L178" i="4"/>
  <c r="M178" i="4" s="1"/>
  <c r="L233" i="4"/>
  <c r="M233" i="4" s="1"/>
  <c r="H309" i="4"/>
  <c r="J344" i="4"/>
  <c r="L462" i="4"/>
  <c r="M462" i="4" s="1"/>
  <c r="G518" i="4"/>
  <c r="H518" i="4" s="1"/>
  <c r="L569" i="4"/>
  <c r="M569" i="4" s="1"/>
  <c r="G750" i="4"/>
  <c r="H750" i="4" s="1"/>
  <c r="G735" i="4"/>
  <c r="G760" i="4"/>
  <c r="H760" i="4" s="1"/>
  <c r="G758" i="4"/>
  <c r="H758" i="4" s="1"/>
  <c r="J743" i="4"/>
  <c r="K743" i="4" s="1"/>
  <c r="L743" i="4" s="1"/>
  <c r="M743" i="4" s="1"/>
  <c r="G743" i="4"/>
  <c r="H743" i="4" s="1"/>
  <c r="L789" i="4"/>
  <c r="M789" i="4" s="1"/>
  <c r="G921" i="4"/>
  <c r="H921" i="4" s="1"/>
  <c r="F73" i="4"/>
  <c r="H73" i="4" s="1"/>
  <c r="L130" i="4"/>
  <c r="M130" i="4" s="1"/>
  <c r="L187" i="4"/>
  <c r="M187" i="4" s="1"/>
  <c r="G301" i="4"/>
  <c r="H301" i="4" s="1"/>
  <c r="L306" i="4"/>
  <c r="M306" i="4" s="1"/>
  <c r="L351" i="4"/>
  <c r="M351" i="4" s="1"/>
  <c r="L354" i="4"/>
  <c r="M354" i="4" s="1"/>
  <c r="H364" i="4"/>
  <c r="L364" i="4" s="1"/>
  <c r="M364" i="4" s="1"/>
  <c r="G398" i="4"/>
  <c r="H398" i="4" s="1"/>
  <c r="G406" i="4"/>
  <c r="H406" i="4" s="1"/>
  <c r="I409" i="4"/>
  <c r="K409" i="4" s="1"/>
  <c r="L409" i="4" s="1"/>
  <c r="M409" i="4" s="1"/>
  <c r="G413" i="4"/>
  <c r="H413" i="4" s="1"/>
  <c r="J479" i="4"/>
  <c r="K479" i="4" s="1"/>
  <c r="L530" i="4"/>
  <c r="M530" i="4" s="1"/>
  <c r="G641" i="4"/>
  <c r="H641" i="4" s="1"/>
  <c r="J646" i="4"/>
  <c r="K646" i="4" s="1"/>
  <c r="J648" i="4"/>
  <c r="K648" i="4" s="1"/>
  <c r="L698" i="4"/>
  <c r="M698" i="4" s="1"/>
  <c r="G738" i="4"/>
  <c r="H738" i="4" s="1"/>
  <c r="J747" i="4"/>
  <c r="K747" i="4" s="1"/>
  <c r="G791" i="4"/>
  <c r="G794" i="4"/>
  <c r="H794" i="4" s="1"/>
  <c r="G797" i="4"/>
  <c r="H797" i="4" s="1"/>
  <c r="G800" i="4"/>
  <c r="H800" i="4" s="1"/>
  <c r="J803" i="4"/>
  <c r="K803" i="4" s="1"/>
  <c r="L803" i="4" s="1"/>
  <c r="M803" i="4" s="1"/>
  <c r="F852" i="4"/>
  <c r="G852" i="4" s="1"/>
  <c r="H852" i="4" s="1"/>
  <c r="G865" i="4"/>
  <c r="H865" i="4" s="1"/>
  <c r="F908" i="4"/>
  <c r="G908" i="4" s="1"/>
  <c r="H908" i="4" s="1"/>
  <c r="L957" i="4"/>
  <c r="M957" i="4" s="1"/>
  <c r="F964" i="4"/>
  <c r="G964" i="4" s="1"/>
  <c r="H964" i="4" s="1"/>
  <c r="G1029" i="4"/>
  <c r="H1029" i="4" s="1"/>
  <c r="J814" i="4"/>
  <c r="K814" i="4" s="1"/>
  <c r="I73" i="4"/>
  <c r="K73" i="4" s="1"/>
  <c r="F129" i="4"/>
  <c r="H129" i="4" s="1"/>
  <c r="L129" i="4" s="1"/>
  <c r="M129" i="4" s="1"/>
  <c r="J176" i="4"/>
  <c r="L186" i="4"/>
  <c r="M186" i="4" s="1"/>
  <c r="J243" i="4"/>
  <c r="K243" i="4" s="1"/>
  <c r="L243" i="4" s="1"/>
  <c r="M243" i="4" s="1"/>
  <c r="K366" i="4"/>
  <c r="J367" i="4"/>
  <c r="K367" i="4" s="1"/>
  <c r="L367" i="4" s="1"/>
  <c r="M367" i="4" s="1"/>
  <c r="J368" i="4"/>
  <c r="K368" i="4" s="1"/>
  <c r="L368" i="4" s="1"/>
  <c r="M368" i="4" s="1"/>
  <c r="G402" i="4"/>
  <c r="H402" i="4" s="1"/>
  <c r="J406" i="4"/>
  <c r="K406" i="4" s="1"/>
  <c r="L406" i="4" s="1"/>
  <c r="M406" i="4" s="1"/>
  <c r="J411" i="4"/>
  <c r="K411" i="4" s="1"/>
  <c r="J413" i="4"/>
  <c r="K413" i="4" s="1"/>
  <c r="F460" i="4"/>
  <c r="G460" i="4" s="1"/>
  <c r="H460" i="4" s="1"/>
  <c r="J464" i="4"/>
  <c r="K464" i="4" s="1"/>
  <c r="G469" i="4"/>
  <c r="H469" i="4" s="1"/>
  <c r="J476" i="4"/>
  <c r="K476" i="4" s="1"/>
  <c r="G529" i="4"/>
  <c r="H529" i="4" s="1"/>
  <c r="G533" i="4"/>
  <c r="H533" i="4" s="1"/>
  <c r="J534" i="4"/>
  <c r="K534" i="4" s="1"/>
  <c r="J536" i="4"/>
  <c r="K536" i="4" s="1"/>
  <c r="J588" i="4"/>
  <c r="K588" i="4" s="1"/>
  <c r="J591" i="4"/>
  <c r="K591" i="4" s="1"/>
  <c r="G630" i="4"/>
  <c r="H630" i="4" s="1"/>
  <c r="G640" i="4"/>
  <c r="H640" i="4" s="1"/>
  <c r="L640" i="4" s="1"/>
  <c r="M640" i="4" s="1"/>
  <c r="J644" i="4"/>
  <c r="K644" i="4" s="1"/>
  <c r="J688" i="4"/>
  <c r="K688" i="4" s="1"/>
  <c r="G701" i="4"/>
  <c r="H701" i="4" s="1"/>
  <c r="J702" i="4"/>
  <c r="K702" i="4" s="1"/>
  <c r="J704" i="4"/>
  <c r="K704" i="4" s="1"/>
  <c r="L704" i="4" s="1"/>
  <c r="M704" i="4" s="1"/>
  <c r="J734" i="4"/>
  <c r="K734" i="4" s="1"/>
  <c r="J738" i="4"/>
  <c r="K738" i="4" s="1"/>
  <c r="G809" i="4"/>
  <c r="H809" i="4" s="1"/>
  <c r="J791" i="4"/>
  <c r="J794" i="4"/>
  <c r="K794" i="4" s="1"/>
  <c r="L794" i="4" s="1"/>
  <c r="M794" i="4" s="1"/>
  <c r="J797" i="4"/>
  <c r="K797" i="4" s="1"/>
  <c r="J806" i="4"/>
  <c r="K806" i="4" s="1"/>
  <c r="G920" i="4"/>
  <c r="H920" i="4" s="1"/>
  <c r="G925" i="4"/>
  <c r="H925" i="4" s="1"/>
  <c r="L961" i="4"/>
  <c r="M961" i="4" s="1"/>
  <c r="F1020" i="4"/>
  <c r="G1020" i="4" s="1"/>
  <c r="H1020" i="4" s="1"/>
  <c r="G1033" i="4"/>
  <c r="H1033" i="4" s="1"/>
  <c r="J757" i="4"/>
  <c r="K757" i="4" s="1"/>
  <c r="L177" i="4"/>
  <c r="M177" i="4" s="1"/>
  <c r="G234" i="4"/>
  <c r="H234" i="4" s="1"/>
  <c r="L234" i="4" s="1"/>
  <c r="M234" i="4" s="1"/>
  <c r="G237" i="4"/>
  <c r="H237" i="4" s="1"/>
  <c r="L237" i="4" s="1"/>
  <c r="M237" i="4" s="1"/>
  <c r="A285" i="4"/>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I348" i="4"/>
  <c r="J348" i="4" s="1"/>
  <c r="K348" i="4" s="1"/>
  <c r="L362" i="4"/>
  <c r="M362" i="4" s="1"/>
  <c r="J365" i="4"/>
  <c r="K365" i="4" s="1"/>
  <c r="L365" i="4" s="1"/>
  <c r="M365" i="4" s="1"/>
  <c r="J366" i="4"/>
  <c r="J399" i="4"/>
  <c r="J405" i="4"/>
  <c r="K405" i="4" s="1"/>
  <c r="G408" i="4"/>
  <c r="H408" i="4" s="1"/>
  <c r="L408" i="4" s="1"/>
  <c r="M408" i="4" s="1"/>
  <c r="G454" i="4"/>
  <c r="H454" i="4" s="1"/>
  <c r="L466" i="4"/>
  <c r="M466" i="4" s="1"/>
  <c r="J529" i="4"/>
  <c r="K529" i="4" s="1"/>
  <c r="L529" i="4" s="1"/>
  <c r="M529" i="4" s="1"/>
  <c r="G584" i="4"/>
  <c r="H584" i="4" s="1"/>
  <c r="G622" i="4"/>
  <c r="H622" i="4" s="1"/>
  <c r="H627" i="4" s="1"/>
  <c r="F628" i="4"/>
  <c r="G628" i="4" s="1"/>
  <c r="H628" i="4" s="1"/>
  <c r="J647" i="4"/>
  <c r="K647" i="4" s="1"/>
  <c r="G686" i="4"/>
  <c r="H686" i="4" s="1"/>
  <c r="L686" i="4" s="1"/>
  <c r="M686" i="4" s="1"/>
  <c r="G697" i="4"/>
  <c r="H697" i="4" s="1"/>
  <c r="A789" i="4"/>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J792" i="4"/>
  <c r="J798" i="4"/>
  <c r="K798" i="4" s="1"/>
  <c r="G805" i="4"/>
  <c r="H805" i="4" s="1"/>
  <c r="L805" i="4" s="1"/>
  <c r="M805" i="4" s="1"/>
  <c r="L858" i="4"/>
  <c r="M858" i="4" s="1"/>
  <c r="G864" i="4"/>
  <c r="H864" i="4" s="1"/>
  <c r="G1014" i="4"/>
  <c r="H1014" i="4" s="1"/>
  <c r="G1022" i="4"/>
  <c r="H1022" i="4" s="1"/>
  <c r="A63" i="4"/>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J693" i="4"/>
  <c r="K693" i="4" s="1"/>
  <c r="L693" i="4" s="1"/>
  <c r="M693" i="4" s="1"/>
  <c r="J696" i="4"/>
  <c r="K696" i="4" s="1"/>
  <c r="J697" i="4"/>
  <c r="K697" i="4" s="1"/>
  <c r="J928" i="4"/>
  <c r="K928" i="4" s="1"/>
  <c r="J920" i="4"/>
  <c r="K920" i="4" s="1"/>
  <c r="J926" i="4"/>
  <c r="K926" i="4" s="1"/>
  <c r="J924" i="4"/>
  <c r="K924" i="4" s="1"/>
  <c r="J921" i="4"/>
  <c r="K921" i="4" s="1"/>
  <c r="L921" i="4" s="1"/>
  <c r="M921" i="4" s="1"/>
  <c r="J927" i="4"/>
  <c r="K927" i="4" s="1"/>
  <c r="O46" i="4"/>
  <c r="K46" i="4"/>
  <c r="M46" i="4"/>
  <c r="I46" i="4"/>
  <c r="J581" i="4"/>
  <c r="K581" i="4" s="1"/>
  <c r="L581" i="4" s="1"/>
  <c r="M581" i="4" s="1"/>
  <c r="J584" i="4"/>
  <c r="K584" i="4" s="1"/>
  <c r="J585" i="4"/>
  <c r="K585" i="4" s="1"/>
  <c r="L585" i="4" s="1"/>
  <c r="M585" i="4" s="1"/>
  <c r="J1040" i="4"/>
  <c r="K1040" i="4" s="1"/>
  <c r="J1032" i="4"/>
  <c r="K1032" i="4" s="1"/>
  <c r="J1038" i="4"/>
  <c r="K1038" i="4" s="1"/>
  <c r="J1036" i="4"/>
  <c r="K1036" i="4" s="1"/>
  <c r="J1033" i="4"/>
  <c r="K1033" i="4" s="1"/>
  <c r="L1033" i="4" s="1"/>
  <c r="M1033" i="4" s="1"/>
  <c r="J1039" i="4"/>
  <c r="K1039" i="4" s="1"/>
  <c r="L46" i="4"/>
  <c r="L47" i="4"/>
  <c r="H47" i="4"/>
  <c r="N47" i="4"/>
  <c r="J47" i="4"/>
  <c r="O47" i="4"/>
  <c r="J84" i="4"/>
  <c r="K84" i="4" s="1"/>
  <c r="J81" i="4"/>
  <c r="K81" i="4" s="1"/>
  <c r="J80" i="4"/>
  <c r="K80" i="4" s="1"/>
  <c r="F68" i="4"/>
  <c r="G68" i="4" s="1"/>
  <c r="H68" i="4" s="1"/>
  <c r="J88" i="4"/>
  <c r="K88" i="4" s="1"/>
  <c r="J87" i="4"/>
  <c r="K87" i="4" s="1"/>
  <c r="J86" i="4"/>
  <c r="K86" i="4" s="1"/>
  <c r="G85" i="4"/>
  <c r="H85" i="4" s="1"/>
  <c r="G81" i="4"/>
  <c r="H81" i="4" s="1"/>
  <c r="G80" i="4"/>
  <c r="H80" i="4" s="1"/>
  <c r="G66" i="4"/>
  <c r="H66" i="4" s="1"/>
  <c r="G69" i="4"/>
  <c r="H69" i="4" s="1"/>
  <c r="J71" i="4"/>
  <c r="K71" i="4" s="1"/>
  <c r="G78" i="4"/>
  <c r="H78" i="4" s="1"/>
  <c r="J85" i="4"/>
  <c r="K85" i="4" s="1"/>
  <c r="G86" i="4"/>
  <c r="H86" i="4" s="1"/>
  <c r="G87" i="4"/>
  <c r="H87" i="4" s="1"/>
  <c r="G88" i="4"/>
  <c r="H88" i="4" s="1"/>
  <c r="J144" i="4"/>
  <c r="K144" i="4" s="1"/>
  <c r="J143" i="4"/>
  <c r="K143" i="4" s="1"/>
  <c r="J142" i="4"/>
  <c r="K142" i="4" s="1"/>
  <c r="G141" i="4"/>
  <c r="H141" i="4" s="1"/>
  <c r="G137" i="4"/>
  <c r="H137" i="4" s="1"/>
  <c r="G136" i="4"/>
  <c r="H136" i="4" s="1"/>
  <c r="G133" i="4"/>
  <c r="H133" i="4" s="1"/>
  <c r="G128" i="4"/>
  <c r="H128" i="4" s="1"/>
  <c r="J126" i="4"/>
  <c r="K126" i="4" s="1"/>
  <c r="J119" i="4"/>
  <c r="G118" i="4"/>
  <c r="H118" i="4" s="1"/>
  <c r="J140" i="4"/>
  <c r="K140" i="4" s="1"/>
  <c r="J137" i="4"/>
  <c r="K137" i="4" s="1"/>
  <c r="L137" i="4" s="1"/>
  <c r="M137" i="4" s="1"/>
  <c r="J136" i="4"/>
  <c r="K136" i="4" s="1"/>
  <c r="F124" i="4"/>
  <c r="G124" i="4" s="1"/>
  <c r="H124" i="4" s="1"/>
  <c r="G122" i="4"/>
  <c r="H122" i="4" s="1"/>
  <c r="G125" i="4"/>
  <c r="H125" i="4" s="1"/>
  <c r="J127" i="4"/>
  <c r="K127" i="4" s="1"/>
  <c r="G134" i="4"/>
  <c r="H134" i="4" s="1"/>
  <c r="J141" i="4"/>
  <c r="K141" i="4" s="1"/>
  <c r="L141" i="4" s="1"/>
  <c r="M141" i="4" s="1"/>
  <c r="G142" i="4"/>
  <c r="H142" i="4" s="1"/>
  <c r="G143" i="4"/>
  <c r="H143" i="4" s="1"/>
  <c r="G144" i="4"/>
  <c r="H144" i="4" s="1"/>
  <c r="J196" i="4"/>
  <c r="K196" i="4" s="1"/>
  <c r="J193" i="4"/>
  <c r="K193" i="4" s="1"/>
  <c r="J192" i="4"/>
  <c r="K192" i="4" s="1"/>
  <c r="F180" i="4"/>
  <c r="G180" i="4" s="1"/>
  <c r="H180" i="4" s="1"/>
  <c r="J200" i="4"/>
  <c r="K200" i="4" s="1"/>
  <c r="J199" i="4"/>
  <c r="K199" i="4" s="1"/>
  <c r="J198" i="4"/>
  <c r="K198" i="4" s="1"/>
  <c r="G197" i="4"/>
  <c r="H197" i="4" s="1"/>
  <c r="G193" i="4"/>
  <c r="H193" i="4" s="1"/>
  <c r="G192" i="4"/>
  <c r="H192" i="4" s="1"/>
  <c r="J183" i="4"/>
  <c r="K183" i="4" s="1"/>
  <c r="J197" i="4"/>
  <c r="K197" i="4" s="1"/>
  <c r="G198" i="4"/>
  <c r="H198" i="4" s="1"/>
  <c r="G199" i="4"/>
  <c r="H199" i="4" s="1"/>
  <c r="G200" i="4"/>
  <c r="H200" i="4" s="1"/>
  <c r="J252" i="4"/>
  <c r="K252" i="4" s="1"/>
  <c r="J249" i="4"/>
  <c r="K249" i="4" s="1"/>
  <c r="J248" i="4"/>
  <c r="K248" i="4" s="1"/>
  <c r="F236" i="4"/>
  <c r="G236" i="4" s="1"/>
  <c r="H236" i="4" s="1"/>
  <c r="G256" i="4"/>
  <c r="H256" i="4" s="1"/>
  <c r="G255" i="4"/>
  <c r="H255" i="4" s="1"/>
  <c r="G254" i="4"/>
  <c r="H254" i="4" s="1"/>
  <c r="G239" i="4"/>
  <c r="H239" i="4" s="1"/>
  <c r="I236" i="4"/>
  <c r="J236" i="4" s="1"/>
  <c r="K236" i="4" s="1"/>
  <c r="J256" i="4"/>
  <c r="K256" i="4" s="1"/>
  <c r="J255" i="4"/>
  <c r="K255" i="4" s="1"/>
  <c r="J254" i="4"/>
  <c r="K254" i="4" s="1"/>
  <c r="G253" i="4"/>
  <c r="H253" i="4" s="1"/>
  <c r="G249" i="4"/>
  <c r="H249" i="4" s="1"/>
  <c r="G248" i="4"/>
  <c r="H248" i="4" s="1"/>
  <c r="J253" i="4"/>
  <c r="K253" i="4" s="1"/>
  <c r="G252" i="4"/>
  <c r="H252" i="4" s="1"/>
  <c r="J239" i="4"/>
  <c r="K239" i="4" s="1"/>
  <c r="N46" i="4"/>
  <c r="I47" i="4"/>
  <c r="J77" i="4"/>
  <c r="K77" i="4" s="1"/>
  <c r="J64" i="4"/>
  <c r="J66" i="4"/>
  <c r="K66" i="4" s="1"/>
  <c r="I68" i="4"/>
  <c r="J68" i="4" s="1"/>
  <c r="K68" i="4" s="1"/>
  <c r="J69" i="4"/>
  <c r="K69" i="4" s="1"/>
  <c r="L69" i="4" s="1"/>
  <c r="M69" i="4" s="1"/>
  <c r="G75" i="4"/>
  <c r="H75" i="4" s="1"/>
  <c r="L75" i="4" s="1"/>
  <c r="M75" i="4" s="1"/>
  <c r="J78" i="4"/>
  <c r="K78" i="4" s="1"/>
  <c r="L82" i="4"/>
  <c r="M82" i="4" s="1"/>
  <c r="G84" i="4"/>
  <c r="H84" i="4" s="1"/>
  <c r="J133" i="4"/>
  <c r="K133" i="4" s="1"/>
  <c r="J120" i="4"/>
  <c r="J122" i="4"/>
  <c r="K122" i="4" s="1"/>
  <c r="L122" i="4" s="1"/>
  <c r="M122" i="4" s="1"/>
  <c r="I124" i="4"/>
  <c r="J124" i="4" s="1"/>
  <c r="K124" i="4" s="1"/>
  <c r="J125" i="4"/>
  <c r="K125" i="4" s="1"/>
  <c r="G131" i="4"/>
  <c r="H131" i="4" s="1"/>
  <c r="L131" i="4" s="1"/>
  <c r="M131" i="4" s="1"/>
  <c r="J134" i="4"/>
  <c r="K134" i="4" s="1"/>
  <c r="L134" i="4" s="1"/>
  <c r="M134" i="4" s="1"/>
  <c r="L138" i="4"/>
  <c r="M138" i="4" s="1"/>
  <c r="G140" i="4"/>
  <c r="H140" i="4" s="1"/>
  <c r="I180" i="4"/>
  <c r="J180" i="4" s="1"/>
  <c r="K180" i="4" s="1"/>
  <c r="L194" i="4"/>
  <c r="M194" i="4" s="1"/>
  <c r="G196" i="4"/>
  <c r="H196" i="4" s="1"/>
  <c r="L246" i="4"/>
  <c r="M246" i="4" s="1"/>
  <c r="L285" i="4"/>
  <c r="M285" i="4" s="1"/>
  <c r="L349" i="4"/>
  <c r="M349" i="4" s="1"/>
  <c r="H46" i="4"/>
  <c r="L342" i="4"/>
  <c r="M342" i="4" s="1"/>
  <c r="L864" i="4"/>
  <c r="M864" i="4" s="1"/>
  <c r="J46" i="4"/>
  <c r="M47" i="4"/>
  <c r="G63" i="4"/>
  <c r="G71" i="4"/>
  <c r="H71" i="4" s="1"/>
  <c r="G119" i="4"/>
  <c r="G127" i="4"/>
  <c r="H127" i="4" s="1"/>
  <c r="G183" i="4"/>
  <c r="H183" i="4" s="1"/>
  <c r="J287" i="4"/>
  <c r="J294" i="4"/>
  <c r="K294" i="4" s="1"/>
  <c r="G296" i="4"/>
  <c r="H296" i="4" s="1"/>
  <c r="G304" i="4"/>
  <c r="H304" i="4" s="1"/>
  <c r="J308" i="4"/>
  <c r="K308" i="4" s="1"/>
  <c r="J311" i="4"/>
  <c r="K311" i="4" s="1"/>
  <c r="L350" i="4"/>
  <c r="M350" i="4" s="1"/>
  <c r="G361" i="4"/>
  <c r="H361" i="4" s="1"/>
  <c r="J416" i="4"/>
  <c r="K416" i="4" s="1"/>
  <c r="J424" i="4"/>
  <c r="K424" i="4" s="1"/>
  <c r="J982" i="4"/>
  <c r="K982" i="4" s="1"/>
  <c r="J976" i="4"/>
  <c r="K976" i="4" s="1"/>
  <c r="J984" i="4"/>
  <c r="K984" i="4" s="1"/>
  <c r="J977" i="4"/>
  <c r="K977" i="4" s="1"/>
  <c r="L977" i="4" s="1"/>
  <c r="M977" i="4" s="1"/>
  <c r="G62" i="4"/>
  <c r="H62" i="4" s="1"/>
  <c r="H67" i="4" s="1"/>
  <c r="J63" i="4"/>
  <c r="J70" i="4"/>
  <c r="K70" i="4" s="1"/>
  <c r="G72" i="4"/>
  <c r="H72" i="4" s="1"/>
  <c r="G77" i="4"/>
  <c r="H77" i="4" s="1"/>
  <c r="J118" i="4"/>
  <c r="K118" i="4" s="1"/>
  <c r="G120" i="4"/>
  <c r="G126" i="4"/>
  <c r="H126" i="4" s="1"/>
  <c r="J128" i="4"/>
  <c r="K128" i="4" s="1"/>
  <c r="L128" i="4" s="1"/>
  <c r="M128" i="4" s="1"/>
  <c r="G174" i="4"/>
  <c r="H174" i="4" s="1"/>
  <c r="H179" i="4" s="1"/>
  <c r="J175" i="4"/>
  <c r="J182" i="4"/>
  <c r="K182" i="4" s="1"/>
  <c r="G184" i="4"/>
  <c r="H184" i="4" s="1"/>
  <c r="G189" i="4"/>
  <c r="H189" i="4" s="1"/>
  <c r="L189" i="4" s="1"/>
  <c r="M189" i="4" s="1"/>
  <c r="G230" i="4"/>
  <c r="H230" i="4" s="1"/>
  <c r="J231" i="4"/>
  <c r="J238" i="4"/>
  <c r="K238" i="4" s="1"/>
  <c r="L238" i="4" s="1"/>
  <c r="M238" i="4" s="1"/>
  <c r="G240" i="4"/>
  <c r="H240" i="4" s="1"/>
  <c r="G245" i="4"/>
  <c r="H245" i="4" s="1"/>
  <c r="L245" i="4" s="1"/>
  <c r="M245" i="4" s="1"/>
  <c r="G286" i="4"/>
  <c r="H286" i="4" s="1"/>
  <c r="G290" i="4"/>
  <c r="H290" i="4" s="1"/>
  <c r="I292" i="4"/>
  <c r="J292" i="4" s="1"/>
  <c r="K292" i="4" s="1"/>
  <c r="J293" i="4"/>
  <c r="K293" i="4" s="1"/>
  <c r="G295" i="4"/>
  <c r="H295" i="4" s="1"/>
  <c r="I297" i="4"/>
  <c r="K297" i="4" s="1"/>
  <c r="L297" i="4" s="1"/>
  <c r="M297" i="4" s="1"/>
  <c r="J304" i="4"/>
  <c r="K304" i="4" s="1"/>
  <c r="G308" i="4"/>
  <c r="H308" i="4" s="1"/>
  <c r="J357" i="4"/>
  <c r="K357" i="4" s="1"/>
  <c r="L357" i="4" s="1"/>
  <c r="M357" i="4" s="1"/>
  <c r="J352" i="4"/>
  <c r="K352" i="4" s="1"/>
  <c r="L352" i="4" s="1"/>
  <c r="M352" i="4" s="1"/>
  <c r="G350" i="4"/>
  <c r="H350" i="4" s="1"/>
  <c r="G344" i="4"/>
  <c r="G342" i="4"/>
  <c r="H342" i="4" s="1"/>
  <c r="H347" i="4" s="1"/>
  <c r="J346" i="4"/>
  <c r="K346" i="4" s="1"/>
  <c r="L346" i="4" s="1"/>
  <c r="M346" i="4" s="1"/>
  <c r="F353" i="4"/>
  <c r="H353" i="4" s="1"/>
  <c r="L353" i="4" s="1"/>
  <c r="M353" i="4" s="1"/>
  <c r="J355" i="4"/>
  <c r="K355" i="4" s="1"/>
  <c r="L355" i="4" s="1"/>
  <c r="M355" i="4" s="1"/>
  <c r="J358" i="4"/>
  <c r="K358" i="4" s="1"/>
  <c r="G424" i="4"/>
  <c r="H424" i="4" s="1"/>
  <c r="G423" i="4"/>
  <c r="H423" i="4" s="1"/>
  <c r="G422" i="4"/>
  <c r="H422" i="4" s="1"/>
  <c r="G407" i="4"/>
  <c r="H407" i="4" s="1"/>
  <c r="J421" i="4"/>
  <c r="K421" i="4" s="1"/>
  <c r="G420" i="4"/>
  <c r="H420" i="4" s="1"/>
  <c r="J407" i="4"/>
  <c r="K407" i="4" s="1"/>
  <c r="L397" i="4"/>
  <c r="M397" i="4" s="1"/>
  <c r="F404" i="4"/>
  <c r="G404" i="4" s="1"/>
  <c r="H404" i="4" s="1"/>
  <c r="J417" i="4"/>
  <c r="K417" i="4" s="1"/>
  <c r="L417" i="4" s="1"/>
  <c r="M417" i="4" s="1"/>
  <c r="I465" i="4"/>
  <c r="K465" i="4" s="1"/>
  <c r="A453" i="4"/>
  <c r="F465" i="4"/>
  <c r="H465" i="4" s="1"/>
  <c r="J470" i="4"/>
  <c r="K470" i="4" s="1"/>
  <c r="J467" i="4"/>
  <c r="K467" i="4" s="1"/>
  <c r="G470" i="4"/>
  <c r="H470" i="4" s="1"/>
  <c r="G467" i="4"/>
  <c r="H467" i="4" s="1"/>
  <c r="J469" i="4"/>
  <c r="K469" i="4" s="1"/>
  <c r="L469" i="4" s="1"/>
  <c r="M469" i="4" s="1"/>
  <c r="J461" i="4"/>
  <c r="K461" i="4" s="1"/>
  <c r="G458" i="4"/>
  <c r="H458" i="4" s="1"/>
  <c r="H459" i="4" s="1"/>
  <c r="G461" i="4"/>
  <c r="H461" i="4" s="1"/>
  <c r="J458" i="4"/>
  <c r="K458" i="4" s="1"/>
  <c r="J456" i="4"/>
  <c r="G455" i="4"/>
  <c r="J454" i="4"/>
  <c r="K454" i="4" s="1"/>
  <c r="G456" i="4"/>
  <c r="G464" i="4"/>
  <c r="H464" i="4" s="1"/>
  <c r="L464" i="4" s="1"/>
  <c r="M464" i="4" s="1"/>
  <c r="L734" i="4"/>
  <c r="M734" i="4" s="1"/>
  <c r="K739" i="4"/>
  <c r="G312" i="4"/>
  <c r="H312" i="4" s="1"/>
  <c r="G311" i="4"/>
  <c r="H311" i="4" s="1"/>
  <c r="G310" i="4"/>
  <c r="H310" i="4" s="1"/>
  <c r="G288" i="4"/>
  <c r="F292" i="4"/>
  <c r="G292" i="4" s="1"/>
  <c r="H292" i="4" s="1"/>
  <c r="G294" i="4"/>
  <c r="H294" i="4" s="1"/>
  <c r="J296" i="4"/>
  <c r="K296" i="4" s="1"/>
  <c r="L296" i="4" s="1"/>
  <c r="M296" i="4" s="1"/>
  <c r="J301" i="4"/>
  <c r="K301" i="4" s="1"/>
  <c r="L301" i="4" s="1"/>
  <c r="M301" i="4" s="1"/>
  <c r="G302" i="4"/>
  <c r="H302" i="4" s="1"/>
  <c r="G305" i="4"/>
  <c r="H305" i="4" s="1"/>
  <c r="J310" i="4"/>
  <c r="K310" i="4" s="1"/>
  <c r="L310" i="4" s="1"/>
  <c r="M310" i="4" s="1"/>
  <c r="J312" i="4"/>
  <c r="K312" i="4" s="1"/>
  <c r="L341" i="4"/>
  <c r="M341" i="4" s="1"/>
  <c r="L414" i="4"/>
  <c r="M414" i="4" s="1"/>
  <c r="L453" i="4"/>
  <c r="M453" i="4" s="1"/>
  <c r="L509" i="4"/>
  <c r="M509" i="4" s="1"/>
  <c r="L532" i="4"/>
  <c r="M532" i="4" s="1"/>
  <c r="L565" i="4"/>
  <c r="M565" i="4" s="1"/>
  <c r="L738" i="4"/>
  <c r="M738" i="4" s="1"/>
  <c r="J865" i="4"/>
  <c r="K865" i="4" s="1"/>
  <c r="J871" i="4"/>
  <c r="K871" i="4" s="1"/>
  <c r="J868" i="4"/>
  <c r="K868" i="4" s="1"/>
  <c r="J872" i="4"/>
  <c r="K872" i="4" s="1"/>
  <c r="J870" i="4"/>
  <c r="K870" i="4" s="1"/>
  <c r="J62" i="4"/>
  <c r="K62" i="4" s="1"/>
  <c r="G64" i="4"/>
  <c r="G70" i="4"/>
  <c r="H70" i="4" s="1"/>
  <c r="J72" i="4"/>
  <c r="K72" i="4" s="1"/>
  <c r="L72" i="4" s="1"/>
  <c r="M72" i="4" s="1"/>
  <c r="J174" i="4"/>
  <c r="K174" i="4" s="1"/>
  <c r="G176" i="4"/>
  <c r="G182" i="4"/>
  <c r="H182" i="4" s="1"/>
  <c r="J184" i="4"/>
  <c r="K184" i="4" s="1"/>
  <c r="L184" i="4" s="1"/>
  <c r="M184" i="4" s="1"/>
  <c r="J230" i="4"/>
  <c r="K230" i="4" s="1"/>
  <c r="L230" i="4" s="1"/>
  <c r="M230" i="4" s="1"/>
  <c r="G232" i="4"/>
  <c r="G238" i="4"/>
  <c r="H238" i="4" s="1"/>
  <c r="J240" i="4"/>
  <c r="K240" i="4" s="1"/>
  <c r="L240" i="4" s="1"/>
  <c r="M240" i="4" s="1"/>
  <c r="J302" i="4"/>
  <c r="K302" i="4" s="1"/>
  <c r="L302" i="4" s="1"/>
  <c r="M302" i="4" s="1"/>
  <c r="J299" i="4"/>
  <c r="K299" i="4" s="1"/>
  <c r="J286" i="4"/>
  <c r="K286" i="4" s="1"/>
  <c r="J288" i="4"/>
  <c r="J290" i="4"/>
  <c r="K290" i="4" s="1"/>
  <c r="G293" i="4"/>
  <c r="H293" i="4" s="1"/>
  <c r="J295" i="4"/>
  <c r="K295" i="4" s="1"/>
  <c r="G299" i="4"/>
  <c r="H299" i="4" s="1"/>
  <c r="J305" i="4"/>
  <c r="K305" i="4" s="1"/>
  <c r="L305" i="4" s="1"/>
  <c r="M305" i="4" s="1"/>
  <c r="J309" i="4"/>
  <c r="K309" i="4" s="1"/>
  <c r="H366" i="4"/>
  <c r="G416" i="4"/>
  <c r="H416" i="4" s="1"/>
  <c r="J420" i="4"/>
  <c r="K420" i="4" s="1"/>
  <c r="G421" i="4"/>
  <c r="H421" i="4" s="1"/>
  <c r="J423" i="4"/>
  <c r="K423" i="4" s="1"/>
  <c r="L528" i="4"/>
  <c r="M528" i="4" s="1"/>
  <c r="L592" i="4"/>
  <c r="M592" i="4" s="1"/>
  <c r="J637" i="4"/>
  <c r="K637" i="4" s="1"/>
  <c r="L637" i="4" s="1"/>
  <c r="M637" i="4" s="1"/>
  <c r="L621" i="4"/>
  <c r="M621" i="4" s="1"/>
  <c r="J641" i="4"/>
  <c r="K641" i="4" s="1"/>
  <c r="L641" i="4" s="1"/>
  <c r="M641" i="4" s="1"/>
  <c r="L677" i="4"/>
  <c r="M677" i="4" s="1"/>
  <c r="F348" i="4"/>
  <c r="G348" i="4" s="1"/>
  <c r="H348" i="4" s="1"/>
  <c r="J360" i="4"/>
  <c r="K360" i="4" s="1"/>
  <c r="J361" i="4"/>
  <c r="K361" i="4" s="1"/>
  <c r="J398" i="4"/>
  <c r="K398" i="4" s="1"/>
  <c r="L398" i="4" s="1"/>
  <c r="M398" i="4" s="1"/>
  <c r="J400" i="4"/>
  <c r="J402" i="4"/>
  <c r="K402" i="4" s="1"/>
  <c r="L402" i="4" s="1"/>
  <c r="M402" i="4" s="1"/>
  <c r="G405" i="4"/>
  <c r="H405" i="4" s="1"/>
  <c r="L405" i="4" s="1"/>
  <c r="M405" i="4" s="1"/>
  <c r="G411" i="4"/>
  <c r="H411" i="4" s="1"/>
  <c r="L411" i="4" s="1"/>
  <c r="M411" i="4" s="1"/>
  <c r="J463" i="4"/>
  <c r="K463" i="4" s="1"/>
  <c r="J472" i="4"/>
  <c r="K472" i="4" s="1"/>
  <c r="G473" i="4"/>
  <c r="H473" i="4" s="1"/>
  <c r="L473" i="4" s="1"/>
  <c r="M473" i="4" s="1"/>
  <c r="J518" i="4"/>
  <c r="K518" i="4" s="1"/>
  <c r="L518" i="4" s="1"/>
  <c r="M518" i="4" s="1"/>
  <c r="I577" i="4"/>
  <c r="K577" i="4" s="1"/>
  <c r="A565" i="4"/>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F577" i="4"/>
  <c r="H577" i="4" s="1"/>
  <c r="J582" i="4"/>
  <c r="K582" i="4" s="1"/>
  <c r="J579" i="4"/>
  <c r="K579" i="4" s="1"/>
  <c r="J573" i="4"/>
  <c r="K573" i="4" s="1"/>
  <c r="G570" i="4"/>
  <c r="H570" i="4" s="1"/>
  <c r="G582" i="4"/>
  <c r="H582" i="4" s="1"/>
  <c r="G579" i="4"/>
  <c r="H579" i="4" s="1"/>
  <c r="G573" i="4"/>
  <c r="H573" i="4" s="1"/>
  <c r="J570" i="4"/>
  <c r="K570" i="4" s="1"/>
  <c r="L570" i="4" s="1"/>
  <c r="M570" i="4" s="1"/>
  <c r="J568" i="4"/>
  <c r="G567" i="4"/>
  <c r="J566" i="4"/>
  <c r="K566" i="4" s="1"/>
  <c r="G568" i="4"/>
  <c r="G576" i="4"/>
  <c r="H576" i="4" s="1"/>
  <c r="L576" i="4" s="1"/>
  <c r="M576" i="4" s="1"/>
  <c r="J630" i="4"/>
  <c r="K630" i="4" s="1"/>
  <c r="L630" i="4" s="1"/>
  <c r="M630" i="4" s="1"/>
  <c r="I689" i="4"/>
  <c r="K689" i="4" s="1"/>
  <c r="A677" i="4"/>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F689" i="4"/>
  <c r="H689" i="4" s="1"/>
  <c r="J694" i="4"/>
  <c r="K694" i="4" s="1"/>
  <c r="J691" i="4"/>
  <c r="K691" i="4" s="1"/>
  <c r="J685" i="4"/>
  <c r="K685" i="4" s="1"/>
  <c r="G682" i="4"/>
  <c r="H682" i="4" s="1"/>
  <c r="H683" i="4" s="1"/>
  <c r="G694" i="4"/>
  <c r="H694" i="4" s="1"/>
  <c r="G691" i="4"/>
  <c r="H691" i="4" s="1"/>
  <c r="G685" i="4"/>
  <c r="H685" i="4" s="1"/>
  <c r="J682" i="4"/>
  <c r="K682" i="4" s="1"/>
  <c r="L682" i="4" s="1"/>
  <c r="M682" i="4" s="1"/>
  <c r="J680" i="4"/>
  <c r="G679" i="4"/>
  <c r="J678" i="4"/>
  <c r="K678" i="4" s="1"/>
  <c r="G680" i="4"/>
  <c r="G688" i="4"/>
  <c r="H688" i="4" s="1"/>
  <c r="L688" i="4" s="1"/>
  <c r="M688" i="4" s="1"/>
  <c r="G736" i="4"/>
  <c r="J813" i="4"/>
  <c r="K813" i="4" s="1"/>
  <c r="G812" i="4"/>
  <c r="H812" i="4" s="1"/>
  <c r="G814" i="4"/>
  <c r="H814" i="4" s="1"/>
  <c r="J812" i="4"/>
  <c r="K812" i="4" s="1"/>
  <c r="J808" i="4"/>
  <c r="K808" i="4" s="1"/>
  <c r="F796" i="4"/>
  <c r="G796" i="4" s="1"/>
  <c r="H796" i="4" s="1"/>
  <c r="G816" i="4"/>
  <c r="H816" i="4" s="1"/>
  <c r="J815" i="4"/>
  <c r="K815" i="4" s="1"/>
  <c r="G808" i="4"/>
  <c r="H808" i="4" s="1"/>
  <c r="J809" i="4"/>
  <c r="K809" i="4" s="1"/>
  <c r="J799" i="4"/>
  <c r="K799" i="4" s="1"/>
  <c r="I796" i="4"/>
  <c r="J796" i="4" s="1"/>
  <c r="K796" i="4" s="1"/>
  <c r="H795" i="4"/>
  <c r="G799" i="4"/>
  <c r="H799" i="4" s="1"/>
  <c r="G813" i="4"/>
  <c r="H813" i="4" s="1"/>
  <c r="J816" i="4"/>
  <c r="K816" i="4" s="1"/>
  <c r="G480" i="4"/>
  <c r="H480" i="4" s="1"/>
  <c r="L480" i="4" s="1"/>
  <c r="M480" i="4" s="1"/>
  <c r="G479" i="4"/>
  <c r="H479" i="4" s="1"/>
  <c r="L479" i="4" s="1"/>
  <c r="M479" i="4" s="1"/>
  <c r="G478" i="4"/>
  <c r="H478" i="4" s="1"/>
  <c r="J477" i="4"/>
  <c r="K477" i="4" s="1"/>
  <c r="G476" i="4"/>
  <c r="H476" i="4" s="1"/>
  <c r="I460" i="4"/>
  <c r="J460" i="4" s="1"/>
  <c r="K460" i="4" s="1"/>
  <c r="L460" i="4" s="1"/>
  <c r="M460" i="4" s="1"/>
  <c r="G463" i="4"/>
  <c r="H463" i="4" s="1"/>
  <c r="J478" i="4"/>
  <c r="K478" i="4" s="1"/>
  <c r="F521" i="4"/>
  <c r="H521" i="4" s="1"/>
  <c r="I521" i="4"/>
  <c r="K521" i="4" s="1"/>
  <c r="A509" i="4"/>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G526" i="4"/>
  <c r="H526" i="4" s="1"/>
  <c r="G523" i="4"/>
  <c r="H523" i="4" s="1"/>
  <c r="G517" i="4"/>
  <c r="H517" i="4" s="1"/>
  <c r="J514" i="4"/>
  <c r="K514" i="4" s="1"/>
  <c r="J512" i="4"/>
  <c r="G511" i="4"/>
  <c r="J526" i="4"/>
  <c r="K526" i="4" s="1"/>
  <c r="J523" i="4"/>
  <c r="K523" i="4" s="1"/>
  <c r="J517" i="4"/>
  <c r="K517" i="4" s="1"/>
  <c r="G514" i="4"/>
  <c r="H514" i="4" s="1"/>
  <c r="J510" i="4"/>
  <c r="K510" i="4" s="1"/>
  <c r="G512" i="4"/>
  <c r="G520" i="4"/>
  <c r="H520" i="4" s="1"/>
  <c r="L520" i="4" s="1"/>
  <c r="M520" i="4" s="1"/>
  <c r="F633" i="4"/>
  <c r="H633" i="4" s="1"/>
  <c r="I633" i="4"/>
  <c r="K633" i="4" s="1"/>
  <c r="A621" i="4"/>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G638" i="4"/>
  <c r="H638" i="4" s="1"/>
  <c r="G635" i="4"/>
  <c r="H635" i="4" s="1"/>
  <c r="G629" i="4"/>
  <c r="H629" i="4" s="1"/>
  <c r="J626" i="4"/>
  <c r="K626" i="4" s="1"/>
  <c r="J624" i="4"/>
  <c r="G623" i="4"/>
  <c r="J638" i="4"/>
  <c r="K638" i="4" s="1"/>
  <c r="L638" i="4" s="1"/>
  <c r="M638" i="4" s="1"/>
  <c r="J635" i="4"/>
  <c r="K635" i="4" s="1"/>
  <c r="J629" i="4"/>
  <c r="K629" i="4" s="1"/>
  <c r="G626" i="4"/>
  <c r="H626" i="4" s="1"/>
  <c r="J622" i="4"/>
  <c r="K622" i="4" s="1"/>
  <c r="G624" i="4"/>
  <c r="G632" i="4"/>
  <c r="H632" i="4" s="1"/>
  <c r="L632" i="4" s="1"/>
  <c r="M632" i="4" s="1"/>
  <c r="F745" i="4"/>
  <c r="H745" i="4" s="1"/>
  <c r="L745" i="4" s="1"/>
  <c r="M745" i="4" s="1"/>
  <c r="A733" i="4"/>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G749" i="4"/>
  <c r="H749" i="4" s="1"/>
  <c r="G744" i="4"/>
  <c r="H744" i="4" s="1"/>
  <c r="J742" i="4"/>
  <c r="K742" i="4" s="1"/>
  <c r="L742" i="4" s="1"/>
  <c r="M742" i="4" s="1"/>
  <c r="J735" i="4"/>
  <c r="G734" i="4"/>
  <c r="H734" i="4" s="1"/>
  <c r="H739" i="4" s="1"/>
  <c r="J749" i="4"/>
  <c r="K749" i="4" s="1"/>
  <c r="J750" i="4"/>
  <c r="K750" i="4" s="1"/>
  <c r="L750" i="4" s="1"/>
  <c r="M750" i="4" s="1"/>
  <c r="G747" i="4"/>
  <c r="H747" i="4" s="1"/>
  <c r="J744" i="4"/>
  <c r="K744" i="4" s="1"/>
  <c r="G742" i="4"/>
  <c r="H742" i="4" s="1"/>
  <c r="J741" i="4"/>
  <c r="K741" i="4" s="1"/>
  <c r="L741" i="4" s="1"/>
  <c r="M741" i="4" s="1"/>
  <c r="J736" i="4"/>
  <c r="I857" i="4"/>
  <c r="K857" i="4" s="1"/>
  <c r="A845" i="4"/>
  <c r="A846" i="4" s="1"/>
  <c r="A847" i="4" s="1"/>
  <c r="A848" i="4" s="1"/>
  <c r="A849" i="4" s="1"/>
  <c r="A850" i="4" s="1"/>
  <c r="A851" i="4" s="1"/>
  <c r="A852" i="4" s="1"/>
  <c r="A853" i="4" s="1"/>
  <c r="A854" i="4" s="1"/>
  <c r="A855" i="4" s="1"/>
  <c r="A856" i="4" s="1"/>
  <c r="A857" i="4" s="1"/>
  <c r="A858" i="4" s="1"/>
  <c r="A859" i="4" s="1"/>
  <c r="A860" i="4" s="1"/>
  <c r="A861" i="4" s="1"/>
  <c r="A862" i="4" s="1"/>
  <c r="A863" i="4" s="1"/>
  <c r="A864" i="4" s="1"/>
  <c r="A865" i="4" s="1"/>
  <c r="A866" i="4" s="1"/>
  <c r="A867" i="4" s="1"/>
  <c r="A868" i="4" s="1"/>
  <c r="A869" i="4" s="1"/>
  <c r="A870" i="4" s="1"/>
  <c r="A871" i="4" s="1"/>
  <c r="A872" i="4" s="1"/>
  <c r="A873" i="4" s="1"/>
  <c r="A874" i="4" s="1"/>
  <c r="A875" i="4" s="1"/>
  <c r="A876" i="4" s="1"/>
  <c r="A877" i="4" s="1"/>
  <c r="A878" i="4" s="1"/>
  <c r="A879" i="4" s="1"/>
  <c r="A880" i="4" s="1"/>
  <c r="A881" i="4" s="1"/>
  <c r="A882" i="4" s="1"/>
  <c r="A883" i="4" s="1"/>
  <c r="A884" i="4" s="1"/>
  <c r="A885" i="4" s="1"/>
  <c r="A886" i="4" s="1"/>
  <c r="A887" i="4" s="1"/>
  <c r="A888" i="4" s="1"/>
  <c r="F857" i="4"/>
  <c r="H857" i="4" s="1"/>
  <c r="J862" i="4"/>
  <c r="K862" i="4" s="1"/>
  <c r="J859" i="4"/>
  <c r="K859" i="4" s="1"/>
  <c r="J853" i="4"/>
  <c r="K853" i="4" s="1"/>
  <c r="G850" i="4"/>
  <c r="H850" i="4" s="1"/>
  <c r="G862" i="4"/>
  <c r="H862" i="4" s="1"/>
  <c r="G859" i="4"/>
  <c r="H859" i="4" s="1"/>
  <c r="G853" i="4"/>
  <c r="H853" i="4" s="1"/>
  <c r="J850" i="4"/>
  <c r="K850" i="4" s="1"/>
  <c r="L850" i="4" s="1"/>
  <c r="M850" i="4" s="1"/>
  <c r="J848" i="4"/>
  <c r="G847" i="4"/>
  <c r="G861" i="4"/>
  <c r="H861" i="4" s="1"/>
  <c r="J856" i="4"/>
  <c r="K856" i="4" s="1"/>
  <c r="L856" i="4" s="1"/>
  <c r="M856" i="4" s="1"/>
  <c r="G854" i="4"/>
  <c r="H854" i="4" s="1"/>
  <c r="J847" i="4"/>
  <c r="G846" i="4"/>
  <c r="H846" i="4" s="1"/>
  <c r="J854" i="4"/>
  <c r="K854" i="4" s="1"/>
  <c r="J846" i="4"/>
  <c r="K846" i="4" s="1"/>
  <c r="G848" i="4"/>
  <c r="J861" i="4"/>
  <c r="K861" i="4" s="1"/>
  <c r="L861" i="4" s="1"/>
  <c r="M861" i="4" s="1"/>
  <c r="I516" i="4"/>
  <c r="J516" i="4" s="1"/>
  <c r="K516" i="4" s="1"/>
  <c r="G519" i="4"/>
  <c r="H519" i="4" s="1"/>
  <c r="G534" i="4"/>
  <c r="H534" i="4" s="1"/>
  <c r="G535" i="4"/>
  <c r="H535" i="4" s="1"/>
  <c r="G536" i="4"/>
  <c r="H536" i="4" s="1"/>
  <c r="J575" i="4"/>
  <c r="K575" i="4" s="1"/>
  <c r="G588" i="4"/>
  <c r="H588" i="4" s="1"/>
  <c r="J589" i="4"/>
  <c r="K589" i="4" s="1"/>
  <c r="I628" i="4"/>
  <c r="J628" i="4" s="1"/>
  <c r="K628" i="4" s="1"/>
  <c r="L628" i="4" s="1"/>
  <c r="M628" i="4" s="1"/>
  <c r="G631" i="4"/>
  <c r="H631" i="4" s="1"/>
  <c r="G646" i="4"/>
  <c r="H646" i="4" s="1"/>
  <c r="G647" i="4"/>
  <c r="H647" i="4" s="1"/>
  <c r="G648" i="4"/>
  <c r="H648" i="4" s="1"/>
  <c r="J687" i="4"/>
  <c r="K687" i="4" s="1"/>
  <c r="G700" i="4"/>
  <c r="H700" i="4" s="1"/>
  <c r="J701" i="4"/>
  <c r="K701" i="4" s="1"/>
  <c r="J760" i="4"/>
  <c r="K760" i="4" s="1"/>
  <c r="J759" i="4"/>
  <c r="K759" i="4" s="1"/>
  <c r="J758" i="4"/>
  <c r="K758" i="4" s="1"/>
  <c r="G757" i="4"/>
  <c r="H757" i="4" s="1"/>
  <c r="G753" i="4"/>
  <c r="H753" i="4" s="1"/>
  <c r="G752" i="4"/>
  <c r="H752" i="4" s="1"/>
  <c r="J756" i="4"/>
  <c r="K756" i="4" s="1"/>
  <c r="J753" i="4"/>
  <c r="K753" i="4" s="1"/>
  <c r="J752" i="4"/>
  <c r="K752" i="4" s="1"/>
  <c r="I740" i="4"/>
  <c r="J740" i="4" s="1"/>
  <c r="K740" i="4" s="1"/>
  <c r="L746" i="4"/>
  <c r="M746" i="4" s="1"/>
  <c r="L806" i="4"/>
  <c r="M806" i="4" s="1"/>
  <c r="L901" i="4"/>
  <c r="M901" i="4" s="1"/>
  <c r="J519" i="4"/>
  <c r="K519" i="4" s="1"/>
  <c r="G532" i="4"/>
  <c r="H532" i="4" s="1"/>
  <c r="I572" i="4"/>
  <c r="J572" i="4" s="1"/>
  <c r="K572" i="4" s="1"/>
  <c r="L572" i="4" s="1"/>
  <c r="M572" i="4" s="1"/>
  <c r="G575" i="4"/>
  <c r="H575" i="4" s="1"/>
  <c r="G590" i="4"/>
  <c r="H590" i="4" s="1"/>
  <c r="L590" i="4" s="1"/>
  <c r="M590" i="4" s="1"/>
  <c r="G591" i="4"/>
  <c r="H591" i="4" s="1"/>
  <c r="J631" i="4"/>
  <c r="K631" i="4" s="1"/>
  <c r="L631" i="4" s="1"/>
  <c r="M631" i="4" s="1"/>
  <c r="G644" i="4"/>
  <c r="H644" i="4" s="1"/>
  <c r="I684" i="4"/>
  <c r="J684" i="4" s="1"/>
  <c r="K684" i="4" s="1"/>
  <c r="L684" i="4" s="1"/>
  <c r="M684" i="4" s="1"/>
  <c r="G687" i="4"/>
  <c r="H687" i="4" s="1"/>
  <c r="G702" i="4"/>
  <c r="H702" i="4" s="1"/>
  <c r="G703" i="4"/>
  <c r="H703" i="4" s="1"/>
  <c r="F740" i="4"/>
  <c r="G740" i="4" s="1"/>
  <c r="H740" i="4" s="1"/>
  <c r="L754" i="4"/>
  <c r="M754" i="4" s="1"/>
  <c r="G756" i="4"/>
  <c r="H756" i="4" s="1"/>
  <c r="J910" i="4"/>
  <c r="K910" i="4" s="1"/>
  <c r="L910" i="4" s="1"/>
  <c r="M910" i="4" s="1"/>
  <c r="G958" i="4"/>
  <c r="H958" i="4" s="1"/>
  <c r="J960" i="4"/>
  <c r="G965" i="4"/>
  <c r="H965" i="4" s="1"/>
  <c r="G968" i="4"/>
  <c r="H968" i="4" s="1"/>
  <c r="J790" i="4"/>
  <c r="K790" i="4" s="1"/>
  <c r="L790" i="4" s="1"/>
  <c r="M790" i="4" s="1"/>
  <c r="G792" i="4"/>
  <c r="G798" i="4"/>
  <c r="H798" i="4" s="1"/>
  <c r="L798" i="4" s="1"/>
  <c r="M798" i="4" s="1"/>
  <c r="J800" i="4"/>
  <c r="K800" i="4" s="1"/>
  <c r="L845" i="4"/>
  <c r="M845" i="4" s="1"/>
  <c r="I913" i="4"/>
  <c r="K913" i="4" s="1"/>
  <c r="A901" i="4"/>
  <c r="A902" i="4" s="1"/>
  <c r="A903" i="4" s="1"/>
  <c r="A904" i="4" s="1"/>
  <c r="A905" i="4" s="1"/>
  <c r="A906" i="4" s="1"/>
  <c r="A907" i="4" s="1"/>
  <c r="A908" i="4" s="1"/>
  <c r="A909" i="4" s="1"/>
  <c r="A910" i="4" s="1"/>
  <c r="A911" i="4" s="1"/>
  <c r="A912" i="4" s="1"/>
  <c r="A913" i="4" s="1"/>
  <c r="A914" i="4" s="1"/>
  <c r="A915" i="4" s="1"/>
  <c r="A916" i="4" s="1"/>
  <c r="A917" i="4" s="1"/>
  <c r="A918" i="4" s="1"/>
  <c r="A919" i="4" s="1"/>
  <c r="A920" i="4" s="1"/>
  <c r="A921" i="4" s="1"/>
  <c r="A922" i="4" s="1"/>
  <c r="A923" i="4" s="1"/>
  <c r="A924" i="4" s="1"/>
  <c r="A925" i="4" s="1"/>
  <c r="A926" i="4" s="1"/>
  <c r="A927" i="4" s="1"/>
  <c r="A928" i="4" s="1"/>
  <c r="A929" i="4" s="1"/>
  <c r="A930" i="4" s="1"/>
  <c r="A931" i="4" s="1"/>
  <c r="A932" i="4" s="1"/>
  <c r="A933" i="4" s="1"/>
  <c r="A934" i="4" s="1"/>
  <c r="A935" i="4" s="1"/>
  <c r="A936" i="4" s="1"/>
  <c r="A937" i="4" s="1"/>
  <c r="A938" i="4" s="1"/>
  <c r="A939" i="4" s="1"/>
  <c r="A940" i="4" s="1"/>
  <c r="A941" i="4" s="1"/>
  <c r="A942" i="4" s="1"/>
  <c r="A943" i="4" s="1"/>
  <c r="A944" i="4" s="1"/>
  <c r="F913" i="4"/>
  <c r="H913" i="4" s="1"/>
  <c r="J918" i="4"/>
  <c r="K918" i="4" s="1"/>
  <c r="J915" i="4"/>
  <c r="K915" i="4" s="1"/>
  <c r="J909" i="4"/>
  <c r="K909" i="4" s="1"/>
  <c r="G906" i="4"/>
  <c r="H906" i="4" s="1"/>
  <c r="H907" i="4" s="1"/>
  <c r="G918" i="4"/>
  <c r="H918" i="4" s="1"/>
  <c r="G915" i="4"/>
  <c r="H915" i="4" s="1"/>
  <c r="G909" i="4"/>
  <c r="H909" i="4" s="1"/>
  <c r="J906" i="4"/>
  <c r="K906" i="4" s="1"/>
  <c r="L906" i="4" s="1"/>
  <c r="M906" i="4" s="1"/>
  <c r="J904" i="4"/>
  <c r="G903" i="4"/>
  <c r="J902" i="4"/>
  <c r="K902" i="4" s="1"/>
  <c r="G904" i="4"/>
  <c r="G912" i="4"/>
  <c r="H912" i="4" s="1"/>
  <c r="L912" i="4" s="1"/>
  <c r="M912" i="4" s="1"/>
  <c r="I969" i="4"/>
  <c r="K969" i="4" s="1"/>
  <c r="A957" i="4"/>
  <c r="A958" i="4" s="1"/>
  <c r="A959" i="4" s="1"/>
  <c r="A960" i="4" s="1"/>
  <c r="A961" i="4" s="1"/>
  <c r="A962" i="4" s="1"/>
  <c r="A963" i="4" s="1"/>
  <c r="A964" i="4" s="1"/>
  <c r="A965" i="4" s="1"/>
  <c r="A966" i="4" s="1"/>
  <c r="A967" i="4" s="1"/>
  <c r="A968" i="4" s="1"/>
  <c r="A969" i="4" s="1"/>
  <c r="A970" i="4" s="1"/>
  <c r="A971" i="4" s="1"/>
  <c r="A972" i="4" s="1"/>
  <c r="A973" i="4" s="1"/>
  <c r="A974" i="4" s="1"/>
  <c r="A975" i="4" s="1"/>
  <c r="A976" i="4" s="1"/>
  <c r="A977" i="4" s="1"/>
  <c r="A978" i="4" s="1"/>
  <c r="A979" i="4" s="1"/>
  <c r="A980" i="4" s="1"/>
  <c r="A981" i="4" s="1"/>
  <c r="A982" i="4" s="1"/>
  <c r="A983" i="4" s="1"/>
  <c r="A984" i="4" s="1"/>
  <c r="A985" i="4" s="1"/>
  <c r="A986" i="4" s="1"/>
  <c r="A987" i="4" s="1"/>
  <c r="A988" i="4" s="1"/>
  <c r="A989" i="4" s="1"/>
  <c r="A990" i="4" s="1"/>
  <c r="A991" i="4" s="1"/>
  <c r="A992" i="4" s="1"/>
  <c r="A993" i="4" s="1"/>
  <c r="A994" i="4" s="1"/>
  <c r="A995" i="4" s="1"/>
  <c r="A996" i="4" s="1"/>
  <c r="A997" i="4" s="1"/>
  <c r="A998" i="4" s="1"/>
  <c r="A999" i="4" s="1"/>
  <c r="A1000" i="4" s="1"/>
  <c r="F969" i="4"/>
  <c r="H969" i="4" s="1"/>
  <c r="J974" i="4"/>
  <c r="K974" i="4" s="1"/>
  <c r="J971" i="4"/>
  <c r="K971" i="4" s="1"/>
  <c r="L971" i="4" s="1"/>
  <c r="M971" i="4" s="1"/>
  <c r="J965" i="4"/>
  <c r="K965" i="4" s="1"/>
  <c r="L965" i="4" s="1"/>
  <c r="M965" i="4" s="1"/>
  <c r="G962" i="4"/>
  <c r="H962" i="4" s="1"/>
  <c r="G974" i="4"/>
  <c r="H974" i="4" s="1"/>
  <c r="J973" i="4"/>
  <c r="K973" i="4" s="1"/>
  <c r="J968" i="4"/>
  <c r="K968" i="4" s="1"/>
  <c r="G966" i="4"/>
  <c r="H966" i="4" s="1"/>
  <c r="J962" i="4"/>
  <c r="K962" i="4" s="1"/>
  <c r="G959" i="4"/>
  <c r="J958" i="4"/>
  <c r="K958" i="4" s="1"/>
  <c r="J966" i="4"/>
  <c r="K966" i="4" s="1"/>
  <c r="L966" i="4" s="1"/>
  <c r="M966" i="4" s="1"/>
  <c r="G960" i="4"/>
  <c r="G973" i="4"/>
  <c r="H973" i="4" s="1"/>
  <c r="J855" i="4"/>
  <c r="K855" i="4" s="1"/>
  <c r="G868" i="4"/>
  <c r="H868" i="4" s="1"/>
  <c r="J869" i="4"/>
  <c r="K869" i="4" s="1"/>
  <c r="L869" i="4" s="1"/>
  <c r="M869" i="4" s="1"/>
  <c r="J911" i="4"/>
  <c r="K911" i="4" s="1"/>
  <c r="L911" i="4" s="1"/>
  <c r="M911" i="4" s="1"/>
  <c r="G924" i="4"/>
  <c r="H924" i="4" s="1"/>
  <c r="J925" i="4"/>
  <c r="K925" i="4" s="1"/>
  <c r="G976" i="4"/>
  <c r="H976" i="4" s="1"/>
  <c r="H1019" i="4"/>
  <c r="I852" i="4"/>
  <c r="J852" i="4" s="1"/>
  <c r="K852" i="4" s="1"/>
  <c r="G855" i="4"/>
  <c r="H855" i="4" s="1"/>
  <c r="G870" i="4"/>
  <c r="H870" i="4" s="1"/>
  <c r="G871" i="4"/>
  <c r="H871" i="4" s="1"/>
  <c r="I908" i="4"/>
  <c r="J908" i="4" s="1"/>
  <c r="K908" i="4" s="1"/>
  <c r="G911" i="4"/>
  <c r="H911" i="4" s="1"/>
  <c r="G926" i="4"/>
  <c r="H926" i="4" s="1"/>
  <c r="G927" i="4"/>
  <c r="H927" i="4" s="1"/>
  <c r="G984" i="4"/>
  <c r="H984" i="4" s="1"/>
  <c r="G983" i="4"/>
  <c r="H983" i="4" s="1"/>
  <c r="G982" i="4"/>
  <c r="H982" i="4" s="1"/>
  <c r="J981" i="4"/>
  <c r="K981" i="4" s="1"/>
  <c r="G980" i="4"/>
  <c r="H980" i="4" s="1"/>
  <c r="I964" i="4"/>
  <c r="J964" i="4" s="1"/>
  <c r="K964" i="4" s="1"/>
  <c r="G967" i="4"/>
  <c r="H967" i="4" s="1"/>
  <c r="L967" i="4" s="1"/>
  <c r="M967" i="4" s="1"/>
  <c r="J980" i="4"/>
  <c r="K980" i="4" s="1"/>
  <c r="G981" i="4"/>
  <c r="H981" i="4" s="1"/>
  <c r="J983" i="4"/>
  <c r="K983" i="4" s="1"/>
  <c r="J1022" i="4"/>
  <c r="K1022" i="4" s="1"/>
  <c r="L1022" i="4" s="1"/>
  <c r="M1022" i="4" s="1"/>
  <c r="I1025" i="4"/>
  <c r="K1025" i="4" s="1"/>
  <c r="A1013" i="4"/>
  <c r="A1014" i="4" s="1"/>
  <c r="A1015" i="4" s="1"/>
  <c r="A1016" i="4" s="1"/>
  <c r="A1017" i="4" s="1"/>
  <c r="A1018" i="4" s="1"/>
  <c r="A1019" i="4" s="1"/>
  <c r="A1020" i="4" s="1"/>
  <c r="A1021" i="4" s="1"/>
  <c r="A1022" i="4" s="1"/>
  <c r="A1023" i="4" s="1"/>
  <c r="A1024" i="4" s="1"/>
  <c r="A1025" i="4" s="1"/>
  <c r="A1026" i="4" s="1"/>
  <c r="A1027" i="4" s="1"/>
  <c r="A1028" i="4" s="1"/>
  <c r="A1029" i="4" s="1"/>
  <c r="A1030" i="4" s="1"/>
  <c r="A1031" i="4" s="1"/>
  <c r="A1032" i="4" s="1"/>
  <c r="A1033" i="4" s="1"/>
  <c r="A1034" i="4" s="1"/>
  <c r="A1035" i="4" s="1"/>
  <c r="A1036" i="4" s="1"/>
  <c r="A1037" i="4" s="1"/>
  <c r="A1038" i="4" s="1"/>
  <c r="A1039" i="4" s="1"/>
  <c r="A1040" i="4" s="1"/>
  <c r="A1041" i="4" s="1"/>
  <c r="A1042" i="4" s="1"/>
  <c r="A1043" i="4" s="1"/>
  <c r="A1044" i="4" s="1"/>
  <c r="A1045" i="4" s="1"/>
  <c r="A1046" i="4" s="1"/>
  <c r="A1047" i="4" s="1"/>
  <c r="A1048" i="4" s="1"/>
  <c r="A1049" i="4" s="1"/>
  <c r="A1050" i="4" s="1"/>
  <c r="A1051" i="4" s="1"/>
  <c r="A1052" i="4" s="1"/>
  <c r="A1053" i="4" s="1"/>
  <c r="A1054" i="4" s="1"/>
  <c r="A1055" i="4" s="1"/>
  <c r="A1056" i="4" s="1"/>
  <c r="F1025" i="4"/>
  <c r="H1025" i="4" s="1"/>
  <c r="J1030" i="4"/>
  <c r="K1030" i="4" s="1"/>
  <c r="J1027" i="4"/>
  <c r="K1027" i="4" s="1"/>
  <c r="J1021" i="4"/>
  <c r="K1021" i="4" s="1"/>
  <c r="G1018" i="4"/>
  <c r="H1018" i="4" s="1"/>
  <c r="G1030" i="4"/>
  <c r="H1030" i="4" s="1"/>
  <c r="G1027" i="4"/>
  <c r="H1027" i="4" s="1"/>
  <c r="G1021" i="4"/>
  <c r="H1021" i="4" s="1"/>
  <c r="J1018" i="4"/>
  <c r="K1018" i="4" s="1"/>
  <c r="L1018" i="4" s="1"/>
  <c r="M1018" i="4" s="1"/>
  <c r="J1016" i="4"/>
  <c r="G1015" i="4"/>
  <c r="J1014" i="4"/>
  <c r="K1014" i="4" s="1"/>
  <c r="G1016" i="4"/>
  <c r="G1024" i="4"/>
  <c r="H1024" i="4" s="1"/>
  <c r="L1024" i="4" s="1"/>
  <c r="M1024" i="4" s="1"/>
  <c r="J1023" i="4"/>
  <c r="K1023" i="4" s="1"/>
  <c r="G1036" i="4"/>
  <c r="H1036" i="4" s="1"/>
  <c r="J1037" i="4"/>
  <c r="K1037" i="4" s="1"/>
  <c r="L1037" i="4" s="1"/>
  <c r="M1037" i="4" s="1"/>
  <c r="I1020" i="4"/>
  <c r="J1020" i="4" s="1"/>
  <c r="K1020" i="4" s="1"/>
  <c r="L1020" i="4" s="1"/>
  <c r="M1020" i="4" s="1"/>
  <c r="G1023" i="4"/>
  <c r="H1023" i="4" s="1"/>
  <c r="G1038" i="4"/>
  <c r="H1038" i="4" s="1"/>
  <c r="G1039" i="4"/>
  <c r="H1039" i="4" s="1"/>
  <c r="L197" i="4" l="1"/>
  <c r="M197" i="4" s="1"/>
  <c r="L758" i="4"/>
  <c r="M758" i="4" s="1"/>
  <c r="L309" i="4"/>
  <c r="M309" i="4" s="1"/>
  <c r="L533" i="4"/>
  <c r="M533" i="4" s="1"/>
  <c r="L516" i="4"/>
  <c r="M516" i="4" s="1"/>
  <c r="L702" i="4"/>
  <c r="M702" i="4" s="1"/>
  <c r="L589" i="4"/>
  <c r="M589" i="4" s="1"/>
  <c r="L925" i="4"/>
  <c r="M925" i="4" s="1"/>
  <c r="L964" i="4"/>
  <c r="M964" i="4" s="1"/>
  <c r="L852" i="4"/>
  <c r="M852" i="4" s="1"/>
  <c r="L757" i="4"/>
  <c r="M757" i="4" s="1"/>
  <c r="L701" i="4"/>
  <c r="M701" i="4" s="1"/>
  <c r="L477" i="4"/>
  <c r="M477" i="4" s="1"/>
  <c r="L980" i="4"/>
  <c r="M980" i="4" s="1"/>
  <c r="L969" i="4"/>
  <c r="M969" i="4" s="1"/>
  <c r="L913" i="4"/>
  <c r="M913" i="4" s="1"/>
  <c r="L700" i="4"/>
  <c r="M700" i="4" s="1"/>
  <c r="L534" i="4"/>
  <c r="M534" i="4" s="1"/>
  <c r="L366" i="4"/>
  <c r="M366" i="4" s="1"/>
  <c r="L73" i="4"/>
  <c r="M73" i="4" s="1"/>
  <c r="L1025" i="4"/>
  <c r="M1025" i="4" s="1"/>
  <c r="L981" i="4"/>
  <c r="M981" i="4" s="1"/>
  <c r="L422" i="4"/>
  <c r="M422" i="4" s="1"/>
  <c r="L308" i="4"/>
  <c r="M308" i="4" s="1"/>
  <c r="L476" i="4"/>
  <c r="M476" i="4" s="1"/>
  <c r="L926" i="4"/>
  <c r="M926" i="4" s="1"/>
  <c r="L908" i="4"/>
  <c r="M908" i="4" s="1"/>
  <c r="L870" i="4"/>
  <c r="M870" i="4" s="1"/>
  <c r="L814" i="4"/>
  <c r="M814" i="4" s="1"/>
  <c r="L813" i="4"/>
  <c r="M813" i="4" s="1"/>
  <c r="L591" i="4"/>
  <c r="M591" i="4" s="1"/>
  <c r="K59" i="6"/>
  <c r="K67" i="6"/>
  <c r="H68" i="6"/>
  <c r="L60" i="6"/>
  <c r="I70" i="6"/>
  <c r="L66" i="6"/>
  <c r="J62" i="6"/>
  <c r="M69" i="6"/>
  <c r="H72" i="6"/>
  <c r="M60" i="6"/>
  <c r="L57" i="6"/>
  <c r="O56" i="6"/>
  <c r="L68" i="6"/>
  <c r="O60" i="6"/>
  <c r="L61" i="6"/>
  <c r="J70" i="6"/>
  <c r="I63" i="6"/>
  <c r="K62" i="6"/>
  <c r="M56" i="6"/>
  <c r="I71" i="6"/>
  <c r="L65" i="6"/>
  <c r="L69" i="6"/>
  <c r="I61" i="6"/>
  <c r="O71" i="6"/>
  <c r="L58" i="6"/>
  <c r="I62" i="6"/>
  <c r="M71" i="6"/>
  <c r="H58" i="6"/>
  <c r="L71" i="6"/>
  <c r="O67" i="6"/>
  <c r="H59" i="6"/>
  <c r="J58" i="6"/>
  <c r="N63" i="6"/>
  <c r="J69" i="6"/>
  <c r="M66" i="6"/>
  <c r="I59" i="6"/>
  <c r="H61" i="6"/>
  <c r="L55" i="6"/>
  <c r="J66" i="6"/>
  <c r="I58" i="6"/>
  <c r="J72" i="6"/>
  <c r="I64" i="6"/>
  <c r="O62" i="6"/>
  <c r="I68" i="6"/>
  <c r="L70" i="6"/>
  <c r="N55" i="6"/>
  <c r="O59" i="6"/>
  <c r="K56" i="6"/>
  <c r="J61" i="6"/>
  <c r="I55" i="6"/>
  <c r="L63" i="6"/>
  <c r="H66" i="6"/>
  <c r="K58" i="6"/>
  <c r="I56" i="6"/>
  <c r="I72" i="6"/>
  <c r="K68" i="6"/>
  <c r="M63" i="6"/>
  <c r="J67" i="6"/>
  <c r="N70" i="6"/>
  <c r="J57" i="6"/>
  <c r="J59" i="6"/>
  <c r="M61" i="6"/>
  <c r="I67" i="6"/>
  <c r="O66" i="6"/>
  <c r="I69" i="6"/>
  <c r="J65" i="6"/>
  <c r="N71" i="6"/>
  <c r="K64" i="6"/>
  <c r="K72" i="6"/>
  <c r="O70" i="6"/>
  <c r="M62" i="6"/>
  <c r="M70" i="6"/>
  <c r="L56" i="6"/>
  <c r="J64" i="6"/>
  <c r="L62" i="6"/>
  <c r="H67" i="6"/>
  <c r="K60" i="6"/>
  <c r="I60" i="6"/>
  <c r="J56" i="6"/>
  <c r="K63" i="6"/>
  <c r="L64" i="6"/>
  <c r="N68" i="6"/>
  <c r="K55" i="6"/>
  <c r="N60" i="6"/>
  <c r="H60" i="6"/>
  <c r="H56" i="6"/>
  <c r="K69" i="6"/>
  <c r="K71" i="6"/>
  <c r="M58" i="6"/>
  <c r="M59" i="6"/>
  <c r="J55" i="6"/>
  <c r="O55" i="6"/>
  <c r="N58" i="6"/>
  <c r="K61" i="6"/>
  <c r="K65" i="6"/>
  <c r="N59" i="6"/>
  <c r="O65" i="6"/>
  <c r="M72" i="6"/>
  <c r="I66" i="6"/>
  <c r="H64" i="6"/>
  <c r="O57" i="6"/>
  <c r="N56" i="6"/>
  <c r="N72" i="6"/>
  <c r="M68" i="6"/>
  <c r="N65" i="6"/>
  <c r="N69" i="6"/>
  <c r="H71" i="6"/>
  <c r="J63" i="6"/>
  <c r="M64" i="6"/>
  <c r="I57" i="6"/>
  <c r="O72" i="6"/>
  <c r="O58" i="6"/>
  <c r="H70" i="6"/>
  <c r="H57" i="6"/>
  <c r="O69" i="6"/>
  <c r="H65" i="6"/>
  <c r="J60" i="6"/>
  <c r="N67" i="6"/>
  <c r="L59" i="6"/>
  <c r="L67" i="6"/>
  <c r="M55" i="6"/>
  <c r="N61" i="6"/>
  <c r="O68" i="6"/>
  <c r="K70" i="6"/>
  <c r="N57" i="6"/>
  <c r="M57" i="6"/>
  <c r="O61" i="6"/>
  <c r="I65" i="6"/>
  <c r="H62" i="6"/>
  <c r="J71" i="6"/>
  <c r="K57" i="6"/>
  <c r="M67" i="6"/>
  <c r="O63" i="6"/>
  <c r="H69" i="6"/>
  <c r="H63" i="6"/>
  <c r="L72" i="6"/>
  <c r="K66" i="6"/>
  <c r="N64" i="6"/>
  <c r="N62" i="6"/>
  <c r="J68" i="6"/>
  <c r="H55" i="6"/>
  <c r="O64" i="6"/>
  <c r="L982" i="4"/>
  <c r="M982" i="4" s="1"/>
  <c r="L413" i="4"/>
  <c r="M413" i="4" s="1"/>
  <c r="L962" i="4"/>
  <c r="M962" i="4" s="1"/>
  <c r="H963" i="4"/>
  <c r="L749" i="4"/>
  <c r="M749" i="4" s="1"/>
  <c r="L517" i="4"/>
  <c r="M517" i="4" s="1"/>
  <c r="L566" i="4"/>
  <c r="M566" i="4" s="1"/>
  <c r="L358" i="4"/>
  <c r="M358" i="4" s="1"/>
  <c r="L182" i="4"/>
  <c r="M182" i="4" s="1"/>
  <c r="L180" i="4"/>
  <c r="M180" i="4" s="1"/>
  <c r="L78" i="4"/>
  <c r="M78" i="4" s="1"/>
  <c r="L253" i="4"/>
  <c r="M253" i="4" s="1"/>
  <c r="L254" i="4"/>
  <c r="M254" i="4" s="1"/>
  <c r="L183" i="4"/>
  <c r="M183" i="4" s="1"/>
  <c r="L198" i="4"/>
  <c r="M198" i="4" s="1"/>
  <c r="L127" i="4"/>
  <c r="M127" i="4" s="1"/>
  <c r="L1036" i="4"/>
  <c r="M1036" i="4" s="1"/>
  <c r="L797" i="4"/>
  <c r="M797" i="4" s="1"/>
  <c r="L973" i="4"/>
  <c r="M973" i="4" s="1"/>
  <c r="L800" i="4"/>
  <c r="M800" i="4" s="1"/>
  <c r="L519" i="4"/>
  <c r="M519" i="4" s="1"/>
  <c r="L646" i="4"/>
  <c r="M646" i="4" s="1"/>
  <c r="L635" i="4"/>
  <c r="M635" i="4" s="1"/>
  <c r="L626" i="4"/>
  <c r="M626" i="4" s="1"/>
  <c r="L523" i="4"/>
  <c r="M523" i="4" s="1"/>
  <c r="L514" i="4"/>
  <c r="M514" i="4" s="1"/>
  <c r="L577" i="4"/>
  <c r="M577" i="4" s="1"/>
  <c r="L420" i="4"/>
  <c r="M420" i="4" s="1"/>
  <c r="L293" i="4"/>
  <c r="M293" i="4" s="1"/>
  <c r="H235" i="4"/>
  <c r="L133" i="4"/>
  <c r="M133" i="4" s="1"/>
  <c r="K571" i="4"/>
  <c r="L193" i="4"/>
  <c r="M193" i="4" s="1"/>
  <c r="L1038" i="4"/>
  <c r="M1038" i="4" s="1"/>
  <c r="L855" i="4"/>
  <c r="M855" i="4" s="1"/>
  <c r="L747" i="4"/>
  <c r="M747" i="4" s="1"/>
  <c r="L633" i="4"/>
  <c r="M633" i="4" s="1"/>
  <c r="L510" i="4"/>
  <c r="M510" i="4" s="1"/>
  <c r="L521" i="4"/>
  <c r="M521" i="4" s="1"/>
  <c r="L809" i="4"/>
  <c r="M809" i="4" s="1"/>
  <c r="L290" i="4"/>
  <c r="M290" i="4" s="1"/>
  <c r="L62" i="4"/>
  <c r="M62" i="4" s="1"/>
  <c r="L118" i="4"/>
  <c r="M118" i="4" s="1"/>
  <c r="L124" i="4"/>
  <c r="M124" i="4" s="1"/>
  <c r="L81" i="4"/>
  <c r="M81" i="4" s="1"/>
  <c r="L924" i="4"/>
  <c r="M924" i="4" s="1"/>
  <c r="L697" i="4"/>
  <c r="M697" i="4" s="1"/>
  <c r="H403" i="4"/>
  <c r="H412" i="4" s="1"/>
  <c r="H415" i="4" s="1"/>
  <c r="L974" i="4"/>
  <c r="M974" i="4" s="1"/>
  <c r="L918" i="4"/>
  <c r="M918" i="4" s="1"/>
  <c r="H972" i="4"/>
  <c r="H804" i="4"/>
  <c r="L808" i="4"/>
  <c r="M808" i="4" s="1"/>
  <c r="L174" i="4"/>
  <c r="M174" i="4" s="1"/>
  <c r="K179" i="4"/>
  <c r="L871" i="4"/>
  <c r="M871" i="4" s="1"/>
  <c r="L311" i="4"/>
  <c r="M311" i="4" s="1"/>
  <c r="L294" i="4"/>
  <c r="M294" i="4" s="1"/>
  <c r="L571" i="4"/>
  <c r="M571" i="4" s="1"/>
  <c r="K580" i="4"/>
  <c r="L192" i="4"/>
  <c r="M192" i="4" s="1"/>
  <c r="L136" i="4"/>
  <c r="M136" i="4" s="1"/>
  <c r="L143" i="4"/>
  <c r="M143" i="4" s="1"/>
  <c r="L1023" i="4"/>
  <c r="M1023" i="4" s="1"/>
  <c r="L1027" i="4"/>
  <c r="M1027" i="4" s="1"/>
  <c r="L752" i="4"/>
  <c r="M752" i="4" s="1"/>
  <c r="L760" i="4"/>
  <c r="M760" i="4" s="1"/>
  <c r="L648" i="4"/>
  <c r="M648" i="4" s="1"/>
  <c r="L536" i="4"/>
  <c r="M536" i="4" s="1"/>
  <c r="L846" i="4"/>
  <c r="M846" i="4" s="1"/>
  <c r="K851" i="4"/>
  <c r="L862" i="4"/>
  <c r="M862" i="4" s="1"/>
  <c r="K627" i="4"/>
  <c r="L622" i="4"/>
  <c r="M622" i="4" s="1"/>
  <c r="L865" i="4"/>
  <c r="M865" i="4" s="1"/>
  <c r="K356" i="4"/>
  <c r="L347" i="4"/>
  <c r="H636" i="4"/>
  <c r="L454" i="4"/>
  <c r="M454" i="4" s="1"/>
  <c r="K459" i="4"/>
  <c r="L421" i="4"/>
  <c r="M421" i="4" s="1"/>
  <c r="H76" i="4"/>
  <c r="H580" i="4"/>
  <c r="L424" i="4"/>
  <c r="M424" i="4" s="1"/>
  <c r="L694" i="4"/>
  <c r="M694" i="4" s="1"/>
  <c r="L573" i="4"/>
  <c r="M573" i="4" s="1"/>
  <c r="K235" i="4"/>
  <c r="K67" i="4"/>
  <c r="L1030" i="4"/>
  <c r="M1030" i="4" s="1"/>
  <c r="H1028" i="4"/>
  <c r="H916" i="4"/>
  <c r="L753" i="4"/>
  <c r="M753" i="4" s="1"/>
  <c r="L854" i="4"/>
  <c r="M854" i="4" s="1"/>
  <c r="L472" i="4"/>
  <c r="M472" i="4" s="1"/>
  <c r="L360" i="4"/>
  <c r="M360" i="4" s="1"/>
  <c r="L647" i="4"/>
  <c r="M647" i="4" s="1"/>
  <c r="K291" i="4"/>
  <c r="L535" i="4"/>
  <c r="M535" i="4" s="1"/>
  <c r="H468" i="4"/>
  <c r="A454" i="4"/>
  <c r="H356" i="4"/>
  <c r="M347" i="4"/>
  <c r="H291" i="4"/>
  <c r="H524" i="4"/>
  <c r="K963" i="4"/>
  <c r="L915" i="4"/>
  <c r="M915" i="4" s="1"/>
  <c r="K795" i="4"/>
  <c r="L644" i="4"/>
  <c r="M644" i="4" s="1"/>
  <c r="H851" i="4"/>
  <c r="L478" i="4"/>
  <c r="M478" i="4" s="1"/>
  <c r="H692" i="4"/>
  <c r="L579" i="4"/>
  <c r="M579" i="4" s="1"/>
  <c r="L463" i="4"/>
  <c r="M463" i="4" s="1"/>
  <c r="H748" i="4"/>
  <c r="K748" i="4"/>
  <c r="L739" i="4"/>
  <c r="M739" i="4" s="1"/>
  <c r="L703" i="4"/>
  <c r="M703" i="4" s="1"/>
  <c r="L404" i="4"/>
  <c r="M404" i="4" s="1"/>
  <c r="L68" i="4"/>
  <c r="M68" i="4" s="1"/>
  <c r="L77" i="4"/>
  <c r="M77" i="4" s="1"/>
  <c r="L255" i="4"/>
  <c r="M255" i="4" s="1"/>
  <c r="L248" i="4"/>
  <c r="M248" i="4" s="1"/>
  <c r="L199" i="4"/>
  <c r="M199" i="4" s="1"/>
  <c r="L126" i="4"/>
  <c r="M126" i="4" s="1"/>
  <c r="L144" i="4"/>
  <c r="M144" i="4" s="1"/>
  <c r="L85" i="4"/>
  <c r="M85" i="4" s="1"/>
  <c r="L86" i="4"/>
  <c r="M86" i="4" s="1"/>
  <c r="L80" i="4"/>
  <c r="M80" i="4" s="1"/>
  <c r="L125" i="4"/>
  <c r="M125" i="4" s="1"/>
  <c r="K123" i="4"/>
  <c r="L66" i="4"/>
  <c r="M66" i="4" s="1"/>
  <c r="K515" i="4"/>
  <c r="L239" i="4"/>
  <c r="M239" i="4" s="1"/>
  <c r="L256" i="4"/>
  <c r="M256" i="4" s="1"/>
  <c r="L249" i="4"/>
  <c r="M249" i="4" s="1"/>
  <c r="L200" i="4"/>
  <c r="M200" i="4" s="1"/>
  <c r="L196" i="4"/>
  <c r="M196" i="4" s="1"/>
  <c r="L140" i="4"/>
  <c r="M140" i="4" s="1"/>
  <c r="L87" i="4"/>
  <c r="M87" i="4" s="1"/>
  <c r="L1039" i="4"/>
  <c r="M1039" i="4" s="1"/>
  <c r="L1032" i="4"/>
  <c r="M1032" i="4" s="1"/>
  <c r="L584" i="4"/>
  <c r="M584" i="4" s="1"/>
  <c r="L927" i="4"/>
  <c r="M927" i="4" s="1"/>
  <c r="L920" i="4"/>
  <c r="M920" i="4" s="1"/>
  <c r="L696" i="4"/>
  <c r="M696" i="4" s="1"/>
  <c r="L983" i="4"/>
  <c r="M983" i="4" s="1"/>
  <c r="L756" i="4"/>
  <c r="M756" i="4" s="1"/>
  <c r="L853" i="4"/>
  <c r="M853" i="4" s="1"/>
  <c r="L526" i="4"/>
  <c r="M526" i="4" s="1"/>
  <c r="L816" i="4"/>
  <c r="M816" i="4" s="1"/>
  <c r="L796" i="4"/>
  <c r="M796" i="4" s="1"/>
  <c r="L815" i="4"/>
  <c r="M815" i="4" s="1"/>
  <c r="L812" i="4"/>
  <c r="M812" i="4" s="1"/>
  <c r="K683" i="4"/>
  <c r="L678" i="4"/>
  <c r="M678" i="4" s="1"/>
  <c r="L685" i="4"/>
  <c r="M685" i="4" s="1"/>
  <c r="L582" i="4"/>
  <c r="M582" i="4" s="1"/>
  <c r="L588" i="4"/>
  <c r="M588" i="4" s="1"/>
  <c r="L295" i="4"/>
  <c r="M295" i="4" s="1"/>
  <c r="L286" i="4"/>
  <c r="M286" i="4" s="1"/>
  <c r="L872" i="4"/>
  <c r="M872" i="4" s="1"/>
  <c r="L312" i="4"/>
  <c r="M312" i="4" s="1"/>
  <c r="L461" i="4"/>
  <c r="M461" i="4" s="1"/>
  <c r="L467" i="4"/>
  <c r="M467" i="4" s="1"/>
  <c r="L465" i="4"/>
  <c r="M465" i="4" s="1"/>
  <c r="L407" i="4"/>
  <c r="M407" i="4" s="1"/>
  <c r="H244" i="4"/>
  <c r="L70" i="4"/>
  <c r="M70" i="4" s="1"/>
  <c r="L984" i="4"/>
  <c r="M984" i="4" s="1"/>
  <c r="L416" i="4"/>
  <c r="M416" i="4" s="1"/>
  <c r="K403" i="4"/>
  <c r="L1014" i="4"/>
  <c r="M1014" i="4" s="1"/>
  <c r="K1019" i="4"/>
  <c r="L1021" i="4"/>
  <c r="M1021" i="4" s="1"/>
  <c r="L958" i="4"/>
  <c r="M958" i="4" s="1"/>
  <c r="L968" i="4"/>
  <c r="M968" i="4" s="1"/>
  <c r="L902" i="4"/>
  <c r="M902" i="4" s="1"/>
  <c r="K907" i="4"/>
  <c r="L909" i="4"/>
  <c r="M909" i="4" s="1"/>
  <c r="L740" i="4"/>
  <c r="M740" i="4" s="1"/>
  <c r="L759" i="4"/>
  <c r="M759" i="4" s="1"/>
  <c r="L687" i="4"/>
  <c r="M687" i="4" s="1"/>
  <c r="L575" i="4"/>
  <c r="M575" i="4" s="1"/>
  <c r="L859" i="4"/>
  <c r="M859" i="4" s="1"/>
  <c r="L857" i="4"/>
  <c r="M857" i="4" s="1"/>
  <c r="L744" i="4"/>
  <c r="M744" i="4" s="1"/>
  <c r="L629" i="4"/>
  <c r="M629" i="4" s="1"/>
  <c r="L799" i="4"/>
  <c r="M799" i="4" s="1"/>
  <c r="L691" i="4"/>
  <c r="M691" i="4" s="1"/>
  <c r="L689" i="4"/>
  <c r="M689" i="4" s="1"/>
  <c r="L361" i="4"/>
  <c r="M361" i="4" s="1"/>
  <c r="L423" i="4"/>
  <c r="M423" i="4" s="1"/>
  <c r="L299" i="4"/>
  <c r="M299" i="4" s="1"/>
  <c r="L868" i="4"/>
  <c r="M868" i="4" s="1"/>
  <c r="L458" i="4"/>
  <c r="M458" i="4" s="1"/>
  <c r="L470" i="4"/>
  <c r="M470" i="4" s="1"/>
  <c r="L304" i="4"/>
  <c r="M304" i="4" s="1"/>
  <c r="L292" i="4"/>
  <c r="M292" i="4" s="1"/>
  <c r="H188" i="4"/>
  <c r="L976" i="4"/>
  <c r="M976" i="4" s="1"/>
  <c r="L348" i="4"/>
  <c r="M348" i="4" s="1"/>
  <c r="L236" i="4"/>
  <c r="M236" i="4" s="1"/>
  <c r="L252" i="4"/>
  <c r="M252" i="4" s="1"/>
  <c r="H123" i="4"/>
  <c r="L142" i="4"/>
  <c r="M142" i="4" s="1"/>
  <c r="L71" i="4"/>
  <c r="M71" i="4" s="1"/>
  <c r="L88" i="4"/>
  <c r="M88" i="4" s="1"/>
  <c r="L84" i="4"/>
  <c r="M84" i="4" s="1"/>
  <c r="L1040" i="4"/>
  <c r="M1040" i="4" s="1"/>
  <c r="L928" i="4"/>
  <c r="M928" i="4" s="1"/>
  <c r="H431" i="4" l="1"/>
  <c r="H432" i="4" s="1"/>
  <c r="H434" i="4" s="1"/>
  <c r="H436" i="4"/>
  <c r="H437" i="4" s="1"/>
  <c r="H439" i="4" s="1"/>
  <c r="H426" i="4"/>
  <c r="H427" i="4" s="1"/>
  <c r="H429" i="4" s="1"/>
  <c r="H751" i="4"/>
  <c r="H527" i="4"/>
  <c r="H247" i="4"/>
  <c r="L1019" i="4"/>
  <c r="M1019" i="4" s="1"/>
  <c r="K1028" i="4"/>
  <c r="H132" i="4"/>
  <c r="L907" i="4"/>
  <c r="M907" i="4" s="1"/>
  <c r="K916" i="4"/>
  <c r="H471" i="4"/>
  <c r="H919" i="4"/>
  <c r="H79" i="4"/>
  <c r="K359" i="4"/>
  <c r="L356" i="4"/>
  <c r="L627" i="4"/>
  <c r="M627" i="4" s="1"/>
  <c r="K636" i="4"/>
  <c r="H807" i="4"/>
  <c r="H191" i="4"/>
  <c r="L403" i="4"/>
  <c r="K412" i="4"/>
  <c r="L683" i="4"/>
  <c r="M683" i="4" s="1"/>
  <c r="K692" i="4"/>
  <c r="K132" i="4"/>
  <c r="L123" i="4"/>
  <c r="M123" i="4" s="1"/>
  <c r="K751" i="4"/>
  <c r="L748" i="4"/>
  <c r="M748" i="4" s="1"/>
  <c r="H860" i="4"/>
  <c r="K804" i="4"/>
  <c r="L795" i="4"/>
  <c r="M795" i="4" s="1"/>
  <c r="M356" i="4"/>
  <c r="H359" i="4"/>
  <c r="K76" i="4"/>
  <c r="L67" i="4"/>
  <c r="M67" i="4" s="1"/>
  <c r="K244" i="4"/>
  <c r="L235" i="4"/>
  <c r="M235" i="4" s="1"/>
  <c r="H639" i="4"/>
  <c r="L580" i="4"/>
  <c r="K583" i="4"/>
  <c r="K188" i="4"/>
  <c r="L179" i="4"/>
  <c r="M179" i="4" s="1"/>
  <c r="A455" i="4"/>
  <c r="H1031" i="4"/>
  <c r="L459" i="4"/>
  <c r="M459" i="4" s="1"/>
  <c r="K468" i="4"/>
  <c r="L851" i="4"/>
  <c r="M851" i="4" s="1"/>
  <c r="K860" i="4"/>
  <c r="H975" i="4"/>
  <c r="L515" i="4"/>
  <c r="M515" i="4" s="1"/>
  <c r="K524" i="4"/>
  <c r="H695" i="4"/>
  <c r="K972" i="4"/>
  <c r="L963" i="4"/>
  <c r="M963" i="4" s="1"/>
  <c r="H300" i="4"/>
  <c r="L291" i="4"/>
  <c r="M291" i="4" s="1"/>
  <c r="K300" i="4"/>
  <c r="H583" i="4"/>
  <c r="M580" i="4"/>
  <c r="M403" i="4" l="1"/>
  <c r="L468" i="4"/>
  <c r="M468" i="4" s="1"/>
  <c r="K471" i="4"/>
  <c r="K191" i="4"/>
  <c r="L188" i="4"/>
  <c r="M188" i="4" s="1"/>
  <c r="H660" i="4"/>
  <c r="H650" i="4"/>
  <c r="H655" i="4"/>
  <c r="H380" i="4"/>
  <c r="H375" i="4"/>
  <c r="H370" i="4"/>
  <c r="K135" i="4"/>
  <c r="L132" i="4"/>
  <c r="M132" i="4" s="1"/>
  <c r="H818" i="4"/>
  <c r="H823" i="4"/>
  <c r="H828" i="4"/>
  <c r="L359" i="4"/>
  <c r="M359" i="4" s="1"/>
  <c r="K375" i="4"/>
  <c r="K370" i="4"/>
  <c r="K380" i="4"/>
  <c r="H492" i="4"/>
  <c r="H482" i="4"/>
  <c r="H487" i="4"/>
  <c r="L916" i="4"/>
  <c r="M916" i="4" s="1"/>
  <c r="K919" i="4"/>
  <c r="L1028" i="4"/>
  <c r="M1028" i="4" s="1"/>
  <c r="K1031" i="4"/>
  <c r="H538" i="4"/>
  <c r="H548" i="4"/>
  <c r="H543" i="4"/>
  <c r="H986" i="4"/>
  <c r="H991" i="4"/>
  <c r="H996" i="4"/>
  <c r="H863" i="4"/>
  <c r="L524" i="4"/>
  <c r="M524" i="4" s="1"/>
  <c r="K527" i="4"/>
  <c r="L860" i="4"/>
  <c r="M860" i="4" s="1"/>
  <c r="K863" i="4"/>
  <c r="A456" i="4"/>
  <c r="H940" i="4"/>
  <c r="H935" i="4"/>
  <c r="H930" i="4"/>
  <c r="H135" i="4"/>
  <c r="L972" i="4"/>
  <c r="M972" i="4" s="1"/>
  <c r="K975" i="4"/>
  <c r="H1052" i="4"/>
  <c r="H1047" i="4"/>
  <c r="H1042" i="4"/>
  <c r="L583" i="4"/>
  <c r="M583" i="4" s="1"/>
  <c r="K604" i="4"/>
  <c r="K599" i="4"/>
  <c r="K594" i="4"/>
  <c r="K79" i="4"/>
  <c r="L76" i="4"/>
  <c r="M76" i="4" s="1"/>
  <c r="L692" i="4"/>
  <c r="M692" i="4" s="1"/>
  <c r="K695" i="4"/>
  <c r="H207" i="4"/>
  <c r="H212" i="4"/>
  <c r="H202" i="4"/>
  <c r="L636" i="4"/>
  <c r="M636" i="4" s="1"/>
  <c r="K639" i="4"/>
  <c r="H100" i="4"/>
  <c r="H90" i="4"/>
  <c r="H95" i="4"/>
  <c r="H263" i="4"/>
  <c r="H268" i="4"/>
  <c r="H258" i="4"/>
  <c r="H772" i="4"/>
  <c r="H767" i="4"/>
  <c r="H762" i="4"/>
  <c r="H604" i="4"/>
  <c r="H594" i="4"/>
  <c r="H599" i="4"/>
  <c r="L300" i="4"/>
  <c r="M300" i="4" s="1"/>
  <c r="K303" i="4"/>
  <c r="H303" i="4"/>
  <c r="H706" i="4"/>
  <c r="H716" i="4"/>
  <c r="H711" i="4"/>
  <c r="L244" i="4"/>
  <c r="M244" i="4" s="1"/>
  <c r="K247" i="4"/>
  <c r="L804" i="4"/>
  <c r="M804" i="4" s="1"/>
  <c r="K807" i="4"/>
  <c r="L751" i="4"/>
  <c r="M751" i="4" s="1"/>
  <c r="K762" i="4"/>
  <c r="K767" i="4"/>
  <c r="K772" i="4"/>
  <c r="L412" i="4"/>
  <c r="M412" i="4" s="1"/>
  <c r="K415" i="4"/>
  <c r="H712" i="4" l="1"/>
  <c r="H714" i="4" s="1"/>
  <c r="H319" i="4"/>
  <c r="H324" i="4"/>
  <c r="H314" i="4"/>
  <c r="H600" i="4"/>
  <c r="H602" i="4" s="1"/>
  <c r="H764" i="4"/>
  <c r="H763" i="4"/>
  <c r="H259" i="4"/>
  <c r="H261" i="4" s="1"/>
  <c r="H213" i="4"/>
  <c r="H215" i="4" s="1"/>
  <c r="K600" i="4"/>
  <c r="K602" i="4" s="1"/>
  <c r="L599" i="4"/>
  <c r="M599" i="4" s="1"/>
  <c r="H1048" i="4"/>
  <c r="H1050" i="4" s="1"/>
  <c r="L767" i="4"/>
  <c r="M767" i="4" s="1"/>
  <c r="K768" i="4"/>
  <c r="K770" i="4" s="1"/>
  <c r="L247" i="4"/>
  <c r="M247" i="4" s="1"/>
  <c r="K268" i="4"/>
  <c r="K263" i="4"/>
  <c r="K258" i="4"/>
  <c r="H101" i="4"/>
  <c r="H103" i="4" s="1"/>
  <c r="H203" i="4"/>
  <c r="H205" i="4" s="1"/>
  <c r="L695" i="4"/>
  <c r="M695" i="4" s="1"/>
  <c r="K711" i="4"/>
  <c r="K706" i="4"/>
  <c r="K716" i="4"/>
  <c r="K596" i="4"/>
  <c r="K595" i="4"/>
  <c r="K597" i="4" s="1"/>
  <c r="L594" i="4"/>
  <c r="H1043" i="4"/>
  <c r="H1045" i="4" s="1"/>
  <c r="L975" i="4"/>
  <c r="M975" i="4" s="1"/>
  <c r="K991" i="4"/>
  <c r="K986" i="4"/>
  <c r="K996" i="4"/>
  <c r="H941" i="4"/>
  <c r="H943" i="4" s="1"/>
  <c r="L863" i="4"/>
  <c r="M863" i="4" s="1"/>
  <c r="K874" i="4"/>
  <c r="K884" i="4"/>
  <c r="K879" i="4"/>
  <c r="H987" i="4"/>
  <c r="H989" i="4" s="1"/>
  <c r="H539" i="4"/>
  <c r="H540" i="4"/>
  <c r="H483" i="4"/>
  <c r="H484" i="4"/>
  <c r="L380" i="4"/>
  <c r="M380" i="4" s="1"/>
  <c r="K381" i="4"/>
  <c r="K383" i="4" s="1"/>
  <c r="H829" i="4"/>
  <c r="H376" i="4"/>
  <c r="H378" i="4" s="1"/>
  <c r="L415" i="4"/>
  <c r="M415" i="4" s="1"/>
  <c r="K436" i="4"/>
  <c r="K426" i="4"/>
  <c r="K431" i="4"/>
  <c r="K763" i="4"/>
  <c r="L762" i="4"/>
  <c r="M762" i="4" s="1"/>
  <c r="K764" i="4"/>
  <c r="H884" i="4"/>
  <c r="H879" i="4"/>
  <c r="H874" i="4"/>
  <c r="L919" i="4"/>
  <c r="M919" i="4" s="1"/>
  <c r="K935" i="4"/>
  <c r="K940" i="4"/>
  <c r="K930" i="4"/>
  <c r="H493" i="4"/>
  <c r="H495" i="4" s="1"/>
  <c r="L370" i="4"/>
  <c r="M370" i="4" s="1"/>
  <c r="K371" i="4"/>
  <c r="K373" i="4" s="1"/>
  <c r="H824" i="4"/>
  <c r="H826" i="4" s="1"/>
  <c r="L135" i="4"/>
  <c r="M135" i="4" s="1"/>
  <c r="K146" i="4"/>
  <c r="K156" i="4"/>
  <c r="K151" i="4"/>
  <c r="H381" i="4"/>
  <c r="L527" i="4"/>
  <c r="M527" i="4" s="1"/>
  <c r="K543" i="4"/>
  <c r="K548" i="4"/>
  <c r="K538" i="4"/>
  <c r="H997" i="4"/>
  <c r="H544" i="4"/>
  <c r="H546" i="4" s="1"/>
  <c r="L375" i="4"/>
  <c r="M375" i="4" s="1"/>
  <c r="K376" i="4"/>
  <c r="K378" i="4" s="1"/>
  <c r="H819" i="4"/>
  <c r="H821" i="4" s="1"/>
  <c r="H651" i="4"/>
  <c r="H652" i="4"/>
  <c r="L191" i="4"/>
  <c r="M191" i="4" s="1"/>
  <c r="K202" i="4"/>
  <c r="K212" i="4"/>
  <c r="K207" i="4"/>
  <c r="H656" i="4"/>
  <c r="H658" i="4" s="1"/>
  <c r="L471" i="4"/>
  <c r="M471" i="4" s="1"/>
  <c r="K492" i="4"/>
  <c r="K482" i="4"/>
  <c r="K487" i="4"/>
  <c r="H717" i="4"/>
  <c r="H719" i="4" s="1"/>
  <c r="M594" i="4"/>
  <c r="H595" i="4"/>
  <c r="H596" i="4"/>
  <c r="H768" i="4"/>
  <c r="H770" i="4" s="1"/>
  <c r="H269" i="4"/>
  <c r="H96" i="4"/>
  <c r="H98" i="4" s="1"/>
  <c r="L639" i="4"/>
  <c r="M639" i="4" s="1"/>
  <c r="K650" i="4"/>
  <c r="K660" i="4"/>
  <c r="K655" i="4"/>
  <c r="H208" i="4"/>
  <c r="H210" i="4" s="1"/>
  <c r="L604" i="4"/>
  <c r="M604" i="4" s="1"/>
  <c r="K605" i="4"/>
  <c r="K607" i="4" s="1"/>
  <c r="H1053" i="4"/>
  <c r="H1055" i="4" s="1"/>
  <c r="H146" i="4"/>
  <c r="H151" i="4"/>
  <c r="H156" i="4"/>
  <c r="H931" i="4"/>
  <c r="K773" i="4"/>
  <c r="K775" i="4" s="1"/>
  <c r="L772" i="4"/>
  <c r="M772" i="4" s="1"/>
  <c r="L807" i="4"/>
  <c r="M807" i="4" s="1"/>
  <c r="K828" i="4"/>
  <c r="K818" i="4"/>
  <c r="K823" i="4"/>
  <c r="H707" i="4"/>
  <c r="H708" i="4"/>
  <c r="L303" i="4"/>
  <c r="M303" i="4" s="1"/>
  <c r="K319" i="4"/>
  <c r="K314" i="4"/>
  <c r="K324" i="4"/>
  <c r="H605" i="4"/>
  <c r="H607" i="4" s="1"/>
  <c r="H773" i="4"/>
  <c r="H264" i="4"/>
  <c r="H266" i="4" s="1"/>
  <c r="H92" i="4"/>
  <c r="H91" i="4"/>
  <c r="L79" i="4"/>
  <c r="M79" i="4" s="1"/>
  <c r="K90" i="4"/>
  <c r="K100" i="4"/>
  <c r="K95" i="4"/>
  <c r="H936" i="4"/>
  <c r="H938" i="4" s="1"/>
  <c r="A457" i="4"/>
  <c r="H992" i="4"/>
  <c r="H994" i="4" s="1"/>
  <c r="H549" i="4"/>
  <c r="H551" i="4" s="1"/>
  <c r="L1031" i="4"/>
  <c r="M1031" i="4" s="1"/>
  <c r="K1042" i="4"/>
  <c r="K1052" i="4"/>
  <c r="K1047" i="4"/>
  <c r="H488" i="4"/>
  <c r="H371" i="4"/>
  <c r="H661" i="4"/>
  <c r="H663" i="4" s="1"/>
  <c r="K765" i="4" l="1"/>
  <c r="H485" i="4"/>
  <c r="H653" i="4"/>
  <c r="H709" i="4"/>
  <c r="H597" i="4"/>
  <c r="L597" i="4" s="1"/>
  <c r="M597" i="4" s="1"/>
  <c r="H541" i="4"/>
  <c r="H93" i="4"/>
  <c r="H765" i="4"/>
  <c r="L763" i="4"/>
  <c r="L770" i="4"/>
  <c r="M770" i="4" s="1"/>
  <c r="K101" i="4"/>
  <c r="L101" i="4" s="1"/>
  <c r="M101" i="4" s="1"/>
  <c r="L100" i="4"/>
  <c r="M100" i="4" s="1"/>
  <c r="L324" i="4"/>
  <c r="M324" i="4" s="1"/>
  <c r="K325" i="4"/>
  <c r="K327" i="4" s="1"/>
  <c r="K824" i="4"/>
  <c r="L824" i="4" s="1"/>
  <c r="M824" i="4" s="1"/>
  <c r="L823" i="4"/>
  <c r="M823" i="4" s="1"/>
  <c r="H148" i="4"/>
  <c r="H147" i="4"/>
  <c r="L660" i="4"/>
  <c r="M660" i="4" s="1"/>
  <c r="K661" i="4"/>
  <c r="L661" i="4" s="1"/>
  <c r="M661" i="4" s="1"/>
  <c r="K484" i="4"/>
  <c r="L484" i="4" s="1"/>
  <c r="K483" i="4"/>
  <c r="L483" i="4" s="1"/>
  <c r="M483" i="4" s="1"/>
  <c r="L482" i="4"/>
  <c r="M482" i="4" s="1"/>
  <c r="K203" i="4"/>
  <c r="L203" i="4" s="1"/>
  <c r="M203" i="4" s="1"/>
  <c r="L202" i="4"/>
  <c r="M202" i="4" s="1"/>
  <c r="L378" i="4"/>
  <c r="M378" i="4" s="1"/>
  <c r="K549" i="4"/>
  <c r="L549" i="4" s="1"/>
  <c r="M549" i="4" s="1"/>
  <c r="L548" i="4"/>
  <c r="M548" i="4" s="1"/>
  <c r="K147" i="4"/>
  <c r="L146" i="4"/>
  <c r="M146" i="4" s="1"/>
  <c r="K148" i="4"/>
  <c r="L940" i="4"/>
  <c r="M940" i="4" s="1"/>
  <c r="K941" i="4"/>
  <c r="L941" i="4" s="1"/>
  <c r="M941" i="4" s="1"/>
  <c r="H880" i="4"/>
  <c r="K427" i="4"/>
  <c r="L427" i="4" s="1"/>
  <c r="M427" i="4" s="1"/>
  <c r="L426" i="4"/>
  <c r="M426" i="4" s="1"/>
  <c r="K717" i="4"/>
  <c r="L717" i="4" s="1"/>
  <c r="M717" i="4" s="1"/>
  <c r="L716" i="4"/>
  <c r="M716" i="4" s="1"/>
  <c r="K269" i="4"/>
  <c r="L269" i="4" s="1"/>
  <c r="M269" i="4" s="1"/>
  <c r="L268" i="4"/>
  <c r="M268" i="4" s="1"/>
  <c r="L602" i="4"/>
  <c r="M602" i="4" s="1"/>
  <c r="H315" i="4"/>
  <c r="H317" i="4" s="1"/>
  <c r="K1048" i="4"/>
  <c r="L1048" i="4" s="1"/>
  <c r="M1048" i="4" s="1"/>
  <c r="L1047" i="4"/>
  <c r="M1047" i="4" s="1"/>
  <c r="K91" i="4"/>
  <c r="L91" i="4" s="1"/>
  <c r="M91" i="4" s="1"/>
  <c r="L90" i="4"/>
  <c r="M90" i="4" s="1"/>
  <c r="K92" i="4"/>
  <c r="L92" i="4" s="1"/>
  <c r="K315" i="4"/>
  <c r="L314" i="4"/>
  <c r="M314" i="4" s="1"/>
  <c r="K819" i="4"/>
  <c r="L819" i="4" s="1"/>
  <c r="M819" i="4" s="1"/>
  <c r="L818" i="4"/>
  <c r="M818" i="4" s="1"/>
  <c r="L773" i="4"/>
  <c r="M773" i="4" s="1"/>
  <c r="L605" i="4"/>
  <c r="M605" i="4" s="1"/>
  <c r="K652" i="4"/>
  <c r="L652" i="4" s="1"/>
  <c r="L650" i="4"/>
  <c r="M650" i="4" s="1"/>
  <c r="K651" i="4"/>
  <c r="L651" i="4" s="1"/>
  <c r="M651" i="4" s="1"/>
  <c r="K493" i="4"/>
  <c r="L493" i="4" s="1"/>
  <c r="M493" i="4" s="1"/>
  <c r="L492" i="4"/>
  <c r="M492" i="4" s="1"/>
  <c r="K544" i="4"/>
  <c r="L544" i="4" s="1"/>
  <c r="M544" i="4" s="1"/>
  <c r="L543" i="4"/>
  <c r="M543" i="4" s="1"/>
  <c r="H383" i="4"/>
  <c r="L383" i="4" s="1"/>
  <c r="K936" i="4"/>
  <c r="L936" i="4" s="1"/>
  <c r="M936" i="4" s="1"/>
  <c r="L935" i="4"/>
  <c r="M935" i="4" s="1"/>
  <c r="H885" i="4"/>
  <c r="K437" i="4"/>
  <c r="L437" i="4" s="1"/>
  <c r="M437" i="4" s="1"/>
  <c r="L436" i="4"/>
  <c r="M436" i="4" s="1"/>
  <c r="L879" i="4"/>
  <c r="M879" i="4" s="1"/>
  <c r="K880" i="4"/>
  <c r="K882" i="4" s="1"/>
  <c r="K997" i="4"/>
  <c r="L997" i="4" s="1"/>
  <c r="M997" i="4" s="1"/>
  <c r="L996" i="4"/>
  <c r="M996" i="4" s="1"/>
  <c r="K708" i="4"/>
  <c r="L708" i="4" s="1"/>
  <c r="K707" i="4"/>
  <c r="L707" i="4" s="1"/>
  <c r="M707" i="4" s="1"/>
  <c r="L706" i="4"/>
  <c r="M706" i="4" s="1"/>
  <c r="H325" i="4"/>
  <c r="H490" i="4"/>
  <c r="K1053" i="4"/>
  <c r="L1053" i="4" s="1"/>
  <c r="M1053" i="4" s="1"/>
  <c r="L1052" i="4"/>
  <c r="M1052" i="4" s="1"/>
  <c r="L319" i="4"/>
  <c r="M319" i="4" s="1"/>
  <c r="K320" i="4"/>
  <c r="K322" i="4" s="1"/>
  <c r="K829" i="4"/>
  <c r="L829" i="4" s="1"/>
  <c r="M829" i="4" s="1"/>
  <c r="L828" i="4"/>
  <c r="M828" i="4" s="1"/>
  <c r="H157" i="4"/>
  <c r="H159" i="4" s="1"/>
  <c r="K208" i="4"/>
  <c r="L208" i="4" s="1"/>
  <c r="M208" i="4" s="1"/>
  <c r="L207" i="4"/>
  <c r="M207" i="4" s="1"/>
  <c r="L376" i="4"/>
  <c r="M376" i="4" s="1"/>
  <c r="H999" i="4"/>
  <c r="K152" i="4"/>
  <c r="K154" i="4" s="1"/>
  <c r="L151" i="4"/>
  <c r="M151" i="4" s="1"/>
  <c r="L371" i="4"/>
  <c r="M371" i="4" s="1"/>
  <c r="H831" i="4"/>
  <c r="K885" i="4"/>
  <c r="L884" i="4"/>
  <c r="M884" i="4" s="1"/>
  <c r="K987" i="4"/>
  <c r="L987" i="4" s="1"/>
  <c r="M987" i="4" s="1"/>
  <c r="L986" i="4"/>
  <c r="M986" i="4" s="1"/>
  <c r="L595" i="4"/>
  <c r="M595" i="4" s="1"/>
  <c r="K712" i="4"/>
  <c r="L712" i="4" s="1"/>
  <c r="M712" i="4" s="1"/>
  <c r="L711" i="4"/>
  <c r="M711" i="4" s="1"/>
  <c r="K259" i="4"/>
  <c r="L259" i="4" s="1"/>
  <c r="M259" i="4" s="1"/>
  <c r="L258" i="4"/>
  <c r="M258" i="4" s="1"/>
  <c r="L600" i="4"/>
  <c r="M600" i="4" s="1"/>
  <c r="M763" i="4"/>
  <c r="H320" i="4"/>
  <c r="H373" i="4"/>
  <c r="L1042" i="4"/>
  <c r="M1042" i="4" s="1"/>
  <c r="K1043" i="4"/>
  <c r="L1043" i="4" s="1"/>
  <c r="M1043" i="4" s="1"/>
  <c r="A458" i="4"/>
  <c r="K96" i="4"/>
  <c r="L96" i="4" s="1"/>
  <c r="L95" i="4"/>
  <c r="M95" i="4" s="1"/>
  <c r="H775" i="4"/>
  <c r="H933" i="4"/>
  <c r="H152" i="4"/>
  <c r="L607" i="4"/>
  <c r="M607" i="4" s="1"/>
  <c r="K656" i="4"/>
  <c r="L656" i="4" s="1"/>
  <c r="M656" i="4" s="1"/>
  <c r="L655" i="4"/>
  <c r="M655" i="4" s="1"/>
  <c r="M96" i="4"/>
  <c r="H271" i="4"/>
  <c r="K488" i="4"/>
  <c r="L488" i="4" s="1"/>
  <c r="M488" i="4" s="1"/>
  <c r="L487" i="4"/>
  <c r="M487" i="4" s="1"/>
  <c r="K213" i="4"/>
  <c r="L213" i="4" s="1"/>
  <c r="M213" i="4" s="1"/>
  <c r="L212" i="4"/>
  <c r="M212" i="4" s="1"/>
  <c r="K540" i="4"/>
  <c r="L540" i="4" s="1"/>
  <c r="L538" i="4"/>
  <c r="M538" i="4" s="1"/>
  <c r="K539" i="4"/>
  <c r="L539" i="4" s="1"/>
  <c r="M539" i="4" s="1"/>
  <c r="K157" i="4"/>
  <c r="L156" i="4"/>
  <c r="M156" i="4" s="1"/>
  <c r="L930" i="4"/>
  <c r="M930" i="4" s="1"/>
  <c r="K931" i="4"/>
  <c r="L931" i="4" s="1"/>
  <c r="M931" i="4" s="1"/>
  <c r="H875" i="4"/>
  <c r="H877" i="4" s="1"/>
  <c r="L764" i="4"/>
  <c r="K432" i="4"/>
  <c r="L432" i="4" s="1"/>
  <c r="M432" i="4" s="1"/>
  <c r="L431" i="4"/>
  <c r="M431" i="4" s="1"/>
  <c r="L381" i="4"/>
  <c r="M381" i="4" s="1"/>
  <c r="K875" i="4"/>
  <c r="K877" i="4" s="1"/>
  <c r="L874" i="4"/>
  <c r="M874" i="4" s="1"/>
  <c r="L991" i="4"/>
  <c r="M991" i="4" s="1"/>
  <c r="K992" i="4"/>
  <c r="L992" i="4" s="1"/>
  <c r="M992" i="4" s="1"/>
  <c r="L596" i="4"/>
  <c r="K264" i="4"/>
  <c r="L264" i="4" s="1"/>
  <c r="M264" i="4" s="1"/>
  <c r="L263" i="4"/>
  <c r="M263" i="4" s="1"/>
  <c r="L768" i="4"/>
  <c r="M768" i="4" s="1"/>
  <c r="K999" i="4" l="1"/>
  <c r="L765" i="4"/>
  <c r="M765" i="4" s="1"/>
  <c r="L315" i="4"/>
  <c r="M315" i="4" s="1"/>
  <c r="L147" i="4"/>
  <c r="M147" i="4" s="1"/>
  <c r="L885" i="4"/>
  <c r="M885" i="4" s="1"/>
  <c r="L148" i="4"/>
  <c r="L157" i="4"/>
  <c r="M157" i="4" s="1"/>
  <c r="L877" i="4"/>
  <c r="M877" i="4" s="1"/>
  <c r="K663" i="4"/>
  <c r="L663" i="4" s="1"/>
  <c r="M663" i="4" s="1"/>
  <c r="K103" i="4"/>
  <c r="L103" i="4" s="1"/>
  <c r="M103" i="4" s="1"/>
  <c r="K1055" i="4"/>
  <c r="L1055" i="4" s="1"/>
  <c r="M1055" i="4" s="1"/>
  <c r="K994" i="4"/>
  <c r="L994" i="4" s="1"/>
  <c r="M994" i="4" s="1"/>
  <c r="K658" i="4"/>
  <c r="L658" i="4" s="1"/>
  <c r="M658" i="4" s="1"/>
  <c r="K98" i="4"/>
  <c r="L98" i="4" s="1"/>
  <c r="M98" i="4" s="1"/>
  <c r="K1045" i="4"/>
  <c r="L1045" i="4" s="1"/>
  <c r="M1045" i="4" s="1"/>
  <c r="K429" i="4"/>
  <c r="L429" i="4" s="1"/>
  <c r="M429" i="4" s="1"/>
  <c r="K490" i="4"/>
  <c r="L490" i="4" s="1"/>
  <c r="M490" i="4" s="1"/>
  <c r="K831" i="4"/>
  <c r="L831" i="4" s="1"/>
  <c r="M831" i="4" s="1"/>
  <c r="K439" i="4"/>
  <c r="L439" i="4" s="1"/>
  <c r="K434" i="4"/>
  <c r="L434" i="4" s="1"/>
  <c r="M434" i="4" s="1"/>
  <c r="K317" i="4"/>
  <c r="L317" i="4" s="1"/>
  <c r="K1050" i="4"/>
  <c r="L1050" i="4" s="1"/>
  <c r="M1050" i="4" s="1"/>
  <c r="K551" i="4"/>
  <c r="L551" i="4" s="1"/>
  <c r="M551" i="4" s="1"/>
  <c r="A459" i="4"/>
  <c r="L999" i="4"/>
  <c r="M999" i="4" s="1"/>
  <c r="H322" i="4"/>
  <c r="L322" i="4" s="1"/>
  <c r="K989" i="4"/>
  <c r="L989" i="4" s="1"/>
  <c r="M989" i="4" s="1"/>
  <c r="L880" i="4"/>
  <c r="M880" i="4" s="1"/>
  <c r="H887" i="4"/>
  <c r="K495" i="4"/>
  <c r="L495" i="4" s="1"/>
  <c r="M495" i="4" s="1"/>
  <c r="K93" i="4"/>
  <c r="L93" i="4" s="1"/>
  <c r="K271" i="4"/>
  <c r="L271" i="4" s="1"/>
  <c r="K719" i="4"/>
  <c r="L719" i="4" s="1"/>
  <c r="M719" i="4" s="1"/>
  <c r="K261" i="4"/>
  <c r="L261" i="4" s="1"/>
  <c r="M261" i="4" s="1"/>
  <c r="K714" i="4"/>
  <c r="L714" i="4" s="1"/>
  <c r="M714" i="4" s="1"/>
  <c r="K887" i="4"/>
  <c r="K210" i="4"/>
  <c r="L210" i="4" s="1"/>
  <c r="M210" i="4" s="1"/>
  <c r="H327" i="4"/>
  <c r="L327" i="4" s="1"/>
  <c r="L373" i="4"/>
  <c r="K546" i="4"/>
  <c r="L546" i="4" s="1"/>
  <c r="M546" i="4" s="1"/>
  <c r="M317" i="4"/>
  <c r="D10" i="7" s="1"/>
  <c r="K149" i="4"/>
  <c r="K485" i="4"/>
  <c r="L485" i="4" s="1"/>
  <c r="K826" i="4"/>
  <c r="L826" i="4" s="1"/>
  <c r="M826" i="4" s="1"/>
  <c r="K159" i="4"/>
  <c r="L159" i="4" s="1"/>
  <c r="M159" i="4" s="1"/>
  <c r="K266" i="4"/>
  <c r="L266" i="4" s="1"/>
  <c r="M266" i="4" s="1"/>
  <c r="K933" i="4"/>
  <c r="L933" i="4" s="1"/>
  <c r="M933" i="4" s="1"/>
  <c r="K541" i="4"/>
  <c r="L541" i="4" s="1"/>
  <c r="M541" i="4" s="1"/>
  <c r="K215" i="4"/>
  <c r="L215" i="4" s="1"/>
  <c r="L875" i="4"/>
  <c r="M875" i="4" s="1"/>
  <c r="H154" i="4"/>
  <c r="L152" i="4"/>
  <c r="M152" i="4" s="1"/>
  <c r="L775" i="4"/>
  <c r="M775" i="4" s="1"/>
  <c r="L320" i="4"/>
  <c r="M320" i="4" s="1"/>
  <c r="K709" i="4"/>
  <c r="L709" i="4" s="1"/>
  <c r="M709" i="4" s="1"/>
  <c r="K938" i="4"/>
  <c r="L938" i="4" s="1"/>
  <c r="M938" i="4" s="1"/>
  <c r="M383" i="4"/>
  <c r="K653" i="4"/>
  <c r="L653" i="4" s="1"/>
  <c r="M653" i="4" s="1"/>
  <c r="K821" i="4"/>
  <c r="L821" i="4" s="1"/>
  <c r="M821" i="4" s="1"/>
  <c r="H882" i="4"/>
  <c r="K943" i="4"/>
  <c r="L943" i="4" s="1"/>
  <c r="M943" i="4" s="1"/>
  <c r="K205" i="4"/>
  <c r="L205" i="4" s="1"/>
  <c r="M205" i="4" s="1"/>
  <c r="H149" i="4"/>
  <c r="L325" i="4"/>
  <c r="M325" i="4" s="1"/>
  <c r="M485" i="4" l="1"/>
  <c r="M271" i="4"/>
  <c r="D9" i="7" s="1"/>
  <c r="M215" i="4"/>
  <c r="D8" i="7" s="1"/>
  <c r="L149" i="4"/>
  <c r="M93" i="4"/>
  <c r="D6" i="7" s="1"/>
  <c r="M439" i="4"/>
  <c r="D12" i="7" s="1"/>
  <c r="M373" i="4"/>
  <c r="D11" i="7" s="1"/>
  <c r="M322" i="4"/>
  <c r="L882" i="4"/>
  <c r="M882" i="4" s="1"/>
  <c r="A460" i="4"/>
  <c r="M327" i="4"/>
  <c r="L887" i="4"/>
  <c r="M887" i="4" s="1"/>
  <c r="L154" i="4"/>
  <c r="M154" i="4" s="1"/>
  <c r="M149" i="4" l="1"/>
  <c r="D7" i="7" s="1"/>
  <c r="A461" i="4"/>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H31" i="4"/>
  <c r="L41" i="4"/>
  <c r="I45" i="4"/>
  <c r="N36" i="4"/>
  <c r="H45" i="4"/>
  <c r="K28" i="4"/>
  <c r="L28" i="4"/>
  <c r="I31" i="4"/>
  <c r="H30" i="4"/>
  <c r="I35" i="4"/>
  <c r="M37" i="4"/>
  <c r="I42" i="4"/>
  <c r="H44" i="4"/>
  <c r="H35" i="4"/>
  <c r="I38" i="4" l="1"/>
  <c r="K37" i="4"/>
  <c r="K36" i="4"/>
  <c r="M30" i="4"/>
  <c r="M33" i="4"/>
  <c r="L37" i="4"/>
  <c r="M45" i="4"/>
  <c r="K32" i="4"/>
  <c r="N29" i="4"/>
  <c r="H34" i="4"/>
  <c r="M43" i="4"/>
  <c r="H28" i="4"/>
  <c r="O42" i="4"/>
  <c r="M32" i="4"/>
  <c r="O37" i="4"/>
  <c r="K34" i="4"/>
  <c r="J29" i="4"/>
  <c r="N35" i="4"/>
  <c r="I39" i="4"/>
  <c r="L42" i="4"/>
  <c r="M42" i="4"/>
  <c r="M28" i="4"/>
  <c r="K45" i="4"/>
  <c r="K39" i="4"/>
  <c r="N41" i="4"/>
  <c r="H40" i="4"/>
  <c r="I29" i="4"/>
  <c r="N38" i="4"/>
  <c r="M29" i="4"/>
  <c r="N40" i="4"/>
  <c r="J32" i="4"/>
  <c r="K38" i="4"/>
  <c r="O35" i="4"/>
  <c r="J35" i="4"/>
  <c r="L32" i="4"/>
  <c r="K29" i="4"/>
  <c r="N31" i="4"/>
  <c r="I41" i="4"/>
  <c r="O45" i="4"/>
  <c r="O30" i="4"/>
  <c r="K42" i="4"/>
  <c r="O28" i="4"/>
  <c r="O43" i="4"/>
  <c r="L40" i="4"/>
  <c r="M31" i="4"/>
  <c r="I34" i="4"/>
  <c r="J33" i="4"/>
  <c r="J41" i="4"/>
  <c r="K44" i="4"/>
  <c r="H36" i="4"/>
  <c r="I36" i="4"/>
  <c r="J42" i="4"/>
  <c r="O38" i="4"/>
  <c r="I37" i="4"/>
  <c r="M38" i="4"/>
  <c r="N32" i="4"/>
  <c r="J30" i="4"/>
  <c r="O44" i="4"/>
  <c r="N43" i="4"/>
  <c r="K31" i="4"/>
  <c r="H32" i="4"/>
  <c r="L36" i="4"/>
  <c r="L43" i="4"/>
  <c r="M41" i="4"/>
  <c r="J45" i="4"/>
  <c r="H42" i="4"/>
  <c r="O36" i="4"/>
  <c r="I33" i="4"/>
  <c r="I32" i="4"/>
  <c r="J36" i="4"/>
  <c r="I28" i="4"/>
  <c r="N42" i="4"/>
  <c r="K41" i="4"/>
  <c r="H37" i="4"/>
  <c r="I43" i="4"/>
  <c r="H29" i="4"/>
  <c r="H41" i="4"/>
  <c r="M44" i="4"/>
  <c r="K33" i="4"/>
  <c r="L31" i="4"/>
  <c r="J28" i="4"/>
  <c r="K35" i="4"/>
  <c r="J44" i="4"/>
  <c r="O34" i="4"/>
  <c r="I40" i="4"/>
  <c r="O39" i="4"/>
  <c r="O33" i="4"/>
  <c r="J39" i="4"/>
  <c r="I30" i="4"/>
  <c r="K30" i="4"/>
  <c r="L33" i="4"/>
  <c r="L34" i="4"/>
  <c r="K40" i="4"/>
  <c r="H38" i="4"/>
  <c r="J43" i="4"/>
  <c r="L35" i="4"/>
  <c r="N34" i="4"/>
  <c r="J31" i="4"/>
  <c r="N45" i="4"/>
  <c r="N37" i="4"/>
  <c r="M40" i="4"/>
  <c r="N33" i="4"/>
  <c r="O40" i="4"/>
  <c r="O31" i="4"/>
  <c r="N39" i="4"/>
  <c r="N30" i="4"/>
  <c r="H43" i="4"/>
  <c r="L45" i="4"/>
  <c r="N28" i="4"/>
  <c r="O32" i="4"/>
  <c r="L39" i="4"/>
  <c r="K43" i="4"/>
  <c r="I44" i="4"/>
  <c r="M36" i="4"/>
  <c r="J34" i="4"/>
  <c r="J40" i="4"/>
  <c r="H39" i="4"/>
  <c r="J37" i="4"/>
  <c r="O41" i="4"/>
  <c r="N44" i="4"/>
  <c r="M35" i="4"/>
  <c r="L30" i="4"/>
  <c r="M39" i="4"/>
  <c r="L29" i="4"/>
  <c r="H33" i="4"/>
  <c r="M34" i="4"/>
  <c r="L38" i="4"/>
  <c r="J38" i="4"/>
  <c r="O29" i="4"/>
  <c r="L44" i="4"/>
  <c r="M15" i="2" l="1"/>
  <c r="L15" i="2"/>
  <c r="K15" i="2"/>
  <c r="E15" i="2" l="1"/>
  <c r="D15" i="2"/>
  <c r="C15" i="2" l="1"/>
  <c r="E16" i="2" l="1"/>
  <c r="L60" i="5" l="1"/>
  <c r="D14" i="1" l="1"/>
  <c r="D10" i="1"/>
  <c r="D42" i="1" s="1"/>
  <c r="D9" i="1"/>
  <c r="D15" i="1" s="1"/>
  <c r="D35" i="1" s="1"/>
  <c r="D40" i="1" l="1"/>
  <c r="D67" i="1"/>
  <c r="D16" i="1"/>
  <c r="D19" i="1" l="1"/>
  <c r="D22" i="1" s="1"/>
  <c r="D18" i="1"/>
  <c r="D21" i="1" s="1"/>
  <c r="D27" i="1"/>
  <c r="D29" i="1" s="1"/>
  <c r="D38" i="1" s="1"/>
  <c r="D44" i="1" s="1"/>
  <c r="D48" i="1" s="1"/>
  <c r="D50" i="1" s="1"/>
  <c r="D68" i="1" s="1"/>
  <c r="D24" i="1" l="1"/>
  <c r="D31" i="1" s="1"/>
  <c r="D66" i="1" s="1"/>
  <c r="D71" i="1" s="1"/>
  <c r="P13" i="2" l="1"/>
  <c r="F9" i="2"/>
  <c r="H8" i="2"/>
  <c r="F10" i="2"/>
  <c r="G8" i="2"/>
  <c r="P14" i="2"/>
  <c r="P8" i="2"/>
  <c r="H12" i="2"/>
  <c r="Q14" i="2"/>
  <c r="H14" i="2"/>
  <c r="G13" i="2"/>
  <c r="F14" i="2"/>
  <c r="F13" i="2"/>
  <c r="P11" i="2"/>
  <c r="G12" i="2"/>
  <c r="G11" i="2"/>
  <c r="O12" i="2"/>
  <c r="O10" i="2"/>
  <c r="O13" i="2"/>
  <c r="P9" i="2"/>
  <c r="Q9" i="2"/>
  <c r="Q13" i="2"/>
  <c r="Q10" i="2"/>
  <c r="H11" i="2"/>
  <c r="H10" i="2"/>
  <c r="F11" i="2"/>
  <c r="P10" i="2"/>
  <c r="F12" i="2"/>
  <c r="O8" i="2"/>
  <c r="O11" i="2"/>
  <c r="H9" i="2"/>
  <c r="G14" i="2"/>
  <c r="O9" i="2"/>
  <c r="P12" i="2"/>
  <c r="Q11" i="2"/>
  <c r="O14" i="2"/>
  <c r="Q12" i="2"/>
  <c r="H13" i="2"/>
  <c r="G9" i="2"/>
  <c r="G10" i="2"/>
  <c r="Q8" i="2"/>
  <c r="I8" i="2" l="1"/>
  <c r="I317" i="6"/>
  <c r="K317" i="6" s="1"/>
  <c r="L317" i="6" s="1"/>
  <c r="M317" i="6" s="1"/>
  <c r="I317" i="5"/>
  <c r="K317" i="5" s="1"/>
  <c r="L317" i="5" s="1"/>
  <c r="M317" i="5" s="1"/>
  <c r="I1045" i="6"/>
  <c r="K1045" i="6" s="1"/>
  <c r="L1045" i="6" s="1"/>
  <c r="M1045" i="6" s="1"/>
  <c r="I877" i="5"/>
  <c r="K877" i="5" s="1"/>
  <c r="L877" i="5" s="1"/>
  <c r="M877" i="5" s="1"/>
  <c r="I821" i="6"/>
  <c r="K821" i="6" s="1"/>
  <c r="L821" i="6" s="1"/>
  <c r="M821" i="6" s="1"/>
  <c r="I205" i="5"/>
  <c r="K205" i="5" s="1"/>
  <c r="L205" i="5" s="1"/>
  <c r="M205" i="5" s="1"/>
  <c r="I205" i="6"/>
  <c r="K205" i="6" s="1"/>
  <c r="L205" i="6" s="1"/>
  <c r="M205" i="6" s="1"/>
  <c r="I1045" i="5"/>
  <c r="K1045" i="5" s="1"/>
  <c r="L1045" i="5" s="1"/>
  <c r="M1045" i="5" s="1"/>
  <c r="I821" i="5"/>
  <c r="K821" i="5" s="1"/>
  <c r="L821" i="5" s="1"/>
  <c r="M821" i="5" s="1"/>
  <c r="I877" i="6"/>
  <c r="K877" i="6" s="1"/>
  <c r="L877" i="6" s="1"/>
  <c r="M877" i="6" s="1"/>
  <c r="I765" i="6"/>
  <c r="K765" i="6" s="1"/>
  <c r="L765" i="6" s="1"/>
  <c r="M765" i="6" s="1"/>
  <c r="I653" i="6"/>
  <c r="K653" i="6" s="1"/>
  <c r="L653" i="6" s="1"/>
  <c r="M653" i="6" s="1"/>
  <c r="I149" i="6"/>
  <c r="K149" i="6" s="1"/>
  <c r="L149" i="6" s="1"/>
  <c r="M149" i="6" s="1"/>
  <c r="I709" i="6"/>
  <c r="K709" i="6" s="1"/>
  <c r="L709" i="6" s="1"/>
  <c r="M709" i="6" s="1"/>
  <c r="I653" i="5"/>
  <c r="K653" i="5" s="1"/>
  <c r="L653" i="5" s="1"/>
  <c r="M653" i="5" s="1"/>
  <c r="I709" i="5"/>
  <c r="K709" i="5" s="1"/>
  <c r="L709" i="5" s="1"/>
  <c r="M709" i="5" s="1"/>
  <c r="I765" i="5"/>
  <c r="K765" i="5" s="1"/>
  <c r="L765" i="5" s="1"/>
  <c r="M765" i="5" s="1"/>
  <c r="I149" i="5"/>
  <c r="K149" i="5" s="1"/>
  <c r="L149" i="5" s="1"/>
  <c r="M149" i="5" s="1"/>
  <c r="I14" i="2"/>
  <c r="I10" i="2"/>
  <c r="I764" i="5"/>
  <c r="K764" i="5" s="1"/>
  <c r="I764" i="6"/>
  <c r="K764" i="6" s="1"/>
  <c r="I708" i="6"/>
  <c r="K708" i="6" s="1"/>
  <c r="I652" i="6"/>
  <c r="K652" i="6" s="1"/>
  <c r="I148" i="6"/>
  <c r="K148" i="6" s="1"/>
  <c r="I652" i="5"/>
  <c r="K652" i="5" s="1"/>
  <c r="I708" i="5"/>
  <c r="K708" i="5" s="1"/>
  <c r="I148" i="5"/>
  <c r="K148" i="5" s="1"/>
  <c r="I988" i="5"/>
  <c r="K988" i="5" s="1"/>
  <c r="I932" i="6"/>
  <c r="K932" i="6" s="1"/>
  <c r="I932" i="5"/>
  <c r="K932" i="5" s="1"/>
  <c r="I260" i="5"/>
  <c r="K260" i="5" s="1"/>
  <c r="I988" i="6"/>
  <c r="K988" i="6" s="1"/>
  <c r="I260" i="6"/>
  <c r="K260" i="6" s="1"/>
  <c r="I11" i="2"/>
  <c r="I373" i="5"/>
  <c r="K373" i="5" s="1"/>
  <c r="L373" i="5" s="1"/>
  <c r="M373" i="5" s="1"/>
  <c r="I373" i="6"/>
  <c r="K373" i="6" s="1"/>
  <c r="L373" i="6" s="1"/>
  <c r="M373" i="6" s="1"/>
  <c r="I372" i="6"/>
  <c r="K372" i="6" s="1"/>
  <c r="I372" i="5"/>
  <c r="K372" i="5" s="1"/>
  <c r="H15" i="2"/>
  <c r="I428" i="6"/>
  <c r="K428" i="6" s="1"/>
  <c r="I428" i="5"/>
  <c r="K428" i="5" s="1"/>
  <c r="I92" i="6"/>
  <c r="K92" i="6" s="1"/>
  <c r="I92" i="5"/>
  <c r="K92" i="5" s="1"/>
  <c r="I540" i="5"/>
  <c r="K540" i="5" s="1"/>
  <c r="I540" i="6"/>
  <c r="K540" i="6" s="1"/>
  <c r="I484" i="6"/>
  <c r="K484" i="6" s="1"/>
  <c r="I596" i="6"/>
  <c r="K596" i="6" s="1"/>
  <c r="I484" i="5"/>
  <c r="K484" i="5" s="1"/>
  <c r="I596" i="5"/>
  <c r="K596" i="5" s="1"/>
  <c r="F15" i="2"/>
  <c r="I204" i="6"/>
  <c r="K204" i="6" s="1"/>
  <c r="I876" i="5"/>
  <c r="K876" i="5" s="1"/>
  <c r="I876" i="6"/>
  <c r="K876" i="6" s="1"/>
  <c r="I1044" i="6"/>
  <c r="K1044" i="6" s="1"/>
  <c r="I820" i="5"/>
  <c r="K820" i="5" s="1"/>
  <c r="I1044" i="5"/>
  <c r="K1044" i="5" s="1"/>
  <c r="I820" i="6"/>
  <c r="K820" i="6" s="1"/>
  <c r="I204" i="5"/>
  <c r="K204" i="5" s="1"/>
  <c r="I9" i="2"/>
  <c r="I989" i="6"/>
  <c r="K989" i="6" s="1"/>
  <c r="L989" i="6" s="1"/>
  <c r="M989" i="6" s="1"/>
  <c r="I933" i="5"/>
  <c r="K933" i="5" s="1"/>
  <c r="L933" i="5" s="1"/>
  <c r="M933" i="5" s="1"/>
  <c r="I989" i="5"/>
  <c r="K989" i="5" s="1"/>
  <c r="L989" i="5" s="1"/>
  <c r="M989" i="5" s="1"/>
  <c r="I933" i="6"/>
  <c r="K933" i="6" s="1"/>
  <c r="L933" i="6" s="1"/>
  <c r="M933" i="6" s="1"/>
  <c r="I261" i="6"/>
  <c r="K261" i="6" s="1"/>
  <c r="L261" i="6" s="1"/>
  <c r="M261" i="6" s="1"/>
  <c r="I261" i="5"/>
  <c r="K261" i="5" s="1"/>
  <c r="L261" i="5" s="1"/>
  <c r="M261" i="5" s="1"/>
  <c r="I12" i="2"/>
  <c r="I316" i="6"/>
  <c r="K316" i="6" s="1"/>
  <c r="I316" i="5"/>
  <c r="K316" i="5" s="1"/>
  <c r="I13" i="2"/>
  <c r="I429" i="5"/>
  <c r="K429" i="5" s="1"/>
  <c r="L429" i="5" s="1"/>
  <c r="M429" i="5" s="1"/>
  <c r="I429" i="6"/>
  <c r="K429" i="6" s="1"/>
  <c r="L429" i="6" s="1"/>
  <c r="M429" i="6" s="1"/>
  <c r="G15" i="2"/>
  <c r="L484" i="5" l="1"/>
  <c r="M484" i="5" s="1"/>
  <c r="K486" i="5"/>
  <c r="L988" i="6"/>
  <c r="M988" i="6" s="1"/>
  <c r="K990" i="6"/>
  <c r="L148" i="6"/>
  <c r="M148" i="6" s="1"/>
  <c r="K150" i="6"/>
  <c r="L1044" i="5"/>
  <c r="M1044" i="5" s="1"/>
  <c r="K1046" i="5"/>
  <c r="L876" i="6"/>
  <c r="M876" i="6" s="1"/>
  <c r="K878" i="6"/>
  <c r="I15" i="2"/>
  <c r="L596" i="6"/>
  <c r="M596" i="6" s="1"/>
  <c r="K598" i="6"/>
  <c r="L540" i="5"/>
  <c r="M540" i="5" s="1"/>
  <c r="K542" i="5"/>
  <c r="K262" i="5"/>
  <c r="L260" i="5"/>
  <c r="M260" i="5" s="1"/>
  <c r="L708" i="5"/>
  <c r="M708" i="5" s="1"/>
  <c r="K710" i="5"/>
  <c r="L652" i="6"/>
  <c r="M652" i="6" s="1"/>
  <c r="K654" i="6"/>
  <c r="L316" i="5"/>
  <c r="M316" i="5" s="1"/>
  <c r="K318" i="5"/>
  <c r="L204" i="5"/>
  <c r="M204" i="5" s="1"/>
  <c r="K206" i="5"/>
  <c r="L820" i="5"/>
  <c r="M820" i="5" s="1"/>
  <c r="K822" i="5"/>
  <c r="L876" i="5"/>
  <c r="M876" i="5" s="1"/>
  <c r="K878" i="5"/>
  <c r="K486" i="6"/>
  <c r="L484" i="6"/>
  <c r="M484" i="6" s="1"/>
  <c r="L92" i="5"/>
  <c r="M92" i="5" s="1"/>
  <c r="K94" i="5"/>
  <c r="L428" i="5"/>
  <c r="M428" i="5" s="1"/>
  <c r="K430" i="5"/>
  <c r="K374" i="5"/>
  <c r="L372" i="5"/>
  <c r="M372" i="5" s="1"/>
  <c r="L932" i="5"/>
  <c r="M932" i="5" s="1"/>
  <c r="K934" i="5"/>
  <c r="L652" i="5"/>
  <c r="M652" i="5" s="1"/>
  <c r="K654" i="5"/>
  <c r="K710" i="6"/>
  <c r="L708" i="6"/>
  <c r="M708" i="6" s="1"/>
  <c r="L316" i="6"/>
  <c r="M316" i="6" s="1"/>
  <c r="K318" i="6"/>
  <c r="L820" i="6"/>
  <c r="M820" i="6" s="1"/>
  <c r="K822" i="6"/>
  <c r="K1046" i="6"/>
  <c r="L1044" i="6"/>
  <c r="M1044" i="6" s="1"/>
  <c r="L204" i="6"/>
  <c r="M204" i="6" s="1"/>
  <c r="K206" i="6"/>
  <c r="L596" i="5"/>
  <c r="M596" i="5" s="1"/>
  <c r="K598" i="5"/>
  <c r="K542" i="6"/>
  <c r="L540" i="6"/>
  <c r="M540" i="6" s="1"/>
  <c r="K94" i="6"/>
  <c r="L92" i="6"/>
  <c r="M92" i="6" s="1"/>
  <c r="L428" i="6"/>
  <c r="M428" i="6" s="1"/>
  <c r="K430" i="6"/>
  <c r="K262" i="6"/>
  <c r="L260" i="6"/>
  <c r="M260" i="6" s="1"/>
  <c r="L932" i="6"/>
  <c r="M932" i="6" s="1"/>
  <c r="K934" i="6"/>
  <c r="L148" i="5"/>
  <c r="M148" i="5" s="1"/>
  <c r="K150" i="5"/>
  <c r="L764" i="6"/>
  <c r="M764" i="6" s="1"/>
  <c r="K766" i="6"/>
  <c r="L372" i="6"/>
  <c r="M372" i="6" s="1"/>
  <c r="K374" i="6"/>
  <c r="K990" i="5"/>
  <c r="L988" i="5"/>
  <c r="M988" i="5" s="1"/>
  <c r="K766" i="5"/>
  <c r="L764" i="5"/>
  <c r="M764" i="5" s="1"/>
  <c r="L766" i="5" l="1"/>
  <c r="M766" i="5" s="1"/>
  <c r="K775" i="5"/>
  <c r="L150" i="5"/>
  <c r="K159" i="5"/>
  <c r="L710" i="6"/>
  <c r="M710" i="6" s="1"/>
  <c r="K719" i="6"/>
  <c r="K495" i="6"/>
  <c r="L486" i="6"/>
  <c r="K271" i="6"/>
  <c r="L262" i="6"/>
  <c r="K607" i="5"/>
  <c r="L598" i="5"/>
  <c r="M598" i="5" s="1"/>
  <c r="K327" i="6"/>
  <c r="L318" i="6"/>
  <c r="L654" i="5"/>
  <c r="M654" i="5" s="1"/>
  <c r="K663" i="5"/>
  <c r="L94" i="5"/>
  <c r="K103" i="5"/>
  <c r="K887" i="5"/>
  <c r="L878" i="5"/>
  <c r="M878" i="5" s="1"/>
  <c r="K215" i="5"/>
  <c r="L206" i="5"/>
  <c r="K663" i="6"/>
  <c r="L654" i="6"/>
  <c r="M654" i="6" s="1"/>
  <c r="K607" i="6"/>
  <c r="L598" i="6"/>
  <c r="M598" i="6" s="1"/>
  <c r="K887" i="6"/>
  <c r="L878" i="6"/>
  <c r="M878" i="6" s="1"/>
  <c r="K159" i="6"/>
  <c r="L150" i="6"/>
  <c r="K999" i="5"/>
  <c r="L990" i="5"/>
  <c r="M990" i="5" s="1"/>
  <c r="K775" i="6"/>
  <c r="L766" i="6"/>
  <c r="M766" i="6" s="1"/>
  <c r="L934" i="6"/>
  <c r="M934" i="6" s="1"/>
  <c r="K943" i="6"/>
  <c r="L94" i="6"/>
  <c r="K103" i="6"/>
  <c r="L1046" i="6"/>
  <c r="M1046" i="6" s="1"/>
  <c r="K1055" i="6"/>
  <c r="K383" i="5"/>
  <c r="L374" i="5"/>
  <c r="L262" i="5"/>
  <c r="K271" i="5"/>
  <c r="K495" i="5"/>
  <c r="L486" i="5"/>
  <c r="L542" i="6"/>
  <c r="M542" i="6" s="1"/>
  <c r="K551" i="6"/>
  <c r="K383" i="6"/>
  <c r="L374" i="6"/>
  <c r="L430" i="6"/>
  <c r="K439" i="6"/>
  <c r="L206" i="6"/>
  <c r="K215" i="6"/>
  <c r="K831" i="6"/>
  <c r="L822" i="6"/>
  <c r="M822" i="6" s="1"/>
  <c r="K943" i="5"/>
  <c r="L934" i="5"/>
  <c r="M934" i="5" s="1"/>
  <c r="K439" i="5"/>
  <c r="L430" i="5"/>
  <c r="L822" i="5"/>
  <c r="M822" i="5" s="1"/>
  <c r="K831" i="5"/>
  <c r="L318" i="5"/>
  <c r="K327" i="5"/>
  <c r="L710" i="5"/>
  <c r="M710" i="5" s="1"/>
  <c r="K719" i="5"/>
  <c r="K551" i="5"/>
  <c r="L542" i="5"/>
  <c r="M542" i="5" s="1"/>
  <c r="K1055" i="5"/>
  <c r="L1046" i="5"/>
  <c r="M1046" i="5" s="1"/>
  <c r="L990" i="6"/>
  <c r="M990" i="6" s="1"/>
  <c r="K999" i="6"/>
  <c r="L999" i="6" l="1"/>
  <c r="M999" i="6" s="1"/>
  <c r="K1002" i="6"/>
  <c r="L327" i="5"/>
  <c r="M327" i="5" s="1"/>
  <c r="K330" i="5"/>
  <c r="M430" i="5"/>
  <c r="K554" i="5"/>
  <c r="L551" i="5"/>
  <c r="M551" i="5" s="1"/>
  <c r="M318" i="5"/>
  <c r="L439" i="5"/>
  <c r="M439" i="5" s="1"/>
  <c r="K442" i="5"/>
  <c r="L831" i="6"/>
  <c r="M831" i="6" s="1"/>
  <c r="K834" i="6"/>
  <c r="M430" i="6"/>
  <c r="M262" i="5"/>
  <c r="K1002" i="5"/>
  <c r="L999" i="5"/>
  <c r="M999" i="5" s="1"/>
  <c r="L663" i="5"/>
  <c r="M663" i="5" s="1"/>
  <c r="K666" i="5"/>
  <c r="M486" i="6"/>
  <c r="K162" i="5"/>
  <c r="L159" i="5"/>
  <c r="M159" i="5" s="1"/>
  <c r="K722" i="5"/>
  <c r="L719" i="5"/>
  <c r="M719" i="5" s="1"/>
  <c r="L831" i="5"/>
  <c r="M831" i="5" s="1"/>
  <c r="K834" i="5"/>
  <c r="L215" i="6"/>
  <c r="M215" i="6" s="1"/>
  <c r="K218" i="6"/>
  <c r="M374" i="6"/>
  <c r="M486" i="5"/>
  <c r="M374" i="5"/>
  <c r="L103" i="6"/>
  <c r="M103" i="6" s="1"/>
  <c r="K106" i="6"/>
  <c r="K890" i="6"/>
  <c r="L887" i="6"/>
  <c r="M887" i="6" s="1"/>
  <c r="L663" i="6"/>
  <c r="M663" i="6" s="1"/>
  <c r="K666" i="6"/>
  <c r="K890" i="5"/>
  <c r="L887" i="5"/>
  <c r="M887" i="5" s="1"/>
  <c r="K610" i="5"/>
  <c r="L607" i="5"/>
  <c r="M607" i="5" s="1"/>
  <c r="L495" i="6"/>
  <c r="M495" i="6" s="1"/>
  <c r="K498" i="6"/>
  <c r="M150" i="5"/>
  <c r="L1055" i="5"/>
  <c r="M1055" i="5" s="1"/>
  <c r="K1058" i="5"/>
  <c r="K946" i="5"/>
  <c r="L943" i="5"/>
  <c r="M943" i="5" s="1"/>
  <c r="M206" i="6"/>
  <c r="K386" i="6"/>
  <c r="L383" i="6"/>
  <c r="M383" i="6" s="1"/>
  <c r="L495" i="5"/>
  <c r="M495" i="5" s="1"/>
  <c r="K498" i="5"/>
  <c r="L383" i="5"/>
  <c r="M383" i="5" s="1"/>
  <c r="K386" i="5"/>
  <c r="M94" i="6"/>
  <c r="K778" i="6"/>
  <c r="L775" i="6"/>
  <c r="M775" i="6" s="1"/>
  <c r="M150" i="6"/>
  <c r="M206" i="5"/>
  <c r="L103" i="5"/>
  <c r="M103" i="5" s="1"/>
  <c r="K106" i="5"/>
  <c r="M318" i="6"/>
  <c r="M262" i="6"/>
  <c r="L719" i="6"/>
  <c r="M719" i="6" s="1"/>
  <c r="K722" i="6"/>
  <c r="K778" i="5"/>
  <c r="L775" i="5"/>
  <c r="M775" i="5" s="1"/>
  <c r="K442" i="6"/>
  <c r="L439" i="6"/>
  <c r="M439" i="6" s="1"/>
  <c r="L551" i="6"/>
  <c r="M551" i="6" s="1"/>
  <c r="K554" i="6"/>
  <c r="K274" i="5"/>
  <c r="L271" i="5"/>
  <c r="M271" i="5" s="1"/>
  <c r="K1058" i="6"/>
  <c r="L1055" i="6"/>
  <c r="M1055" i="6" s="1"/>
  <c r="K946" i="6"/>
  <c r="L943" i="6"/>
  <c r="M943" i="6" s="1"/>
  <c r="K162" i="6"/>
  <c r="L159" i="6"/>
  <c r="M159" i="6" s="1"/>
  <c r="L607" i="6"/>
  <c r="M607" i="6" s="1"/>
  <c r="K610" i="6"/>
  <c r="K218" i="5"/>
  <c r="L215" i="5"/>
  <c r="M215" i="5" s="1"/>
  <c r="M94" i="5"/>
  <c r="K330" i="6"/>
  <c r="L327" i="6"/>
  <c r="M327" i="6" s="1"/>
  <c r="L271" i="6"/>
  <c r="M271" i="6" s="1"/>
  <c r="K274" i="6"/>
  <c r="K738" i="6" l="1"/>
  <c r="K743" i="6"/>
  <c r="L722" i="6"/>
  <c r="M722" i="6" s="1"/>
  <c r="K733" i="6"/>
  <c r="L106" i="6"/>
  <c r="M106" i="6" s="1"/>
  <c r="K127" i="6"/>
  <c r="K122" i="6"/>
  <c r="K117" i="6"/>
  <c r="K463" i="5"/>
  <c r="K458" i="5"/>
  <c r="L442" i="5"/>
  <c r="M442" i="5" s="1"/>
  <c r="K453" i="5"/>
  <c r="K346" i="5"/>
  <c r="K341" i="5"/>
  <c r="L330" i="5"/>
  <c r="M330" i="5" s="1"/>
  <c r="K351" i="5"/>
  <c r="L946" i="6"/>
  <c r="M946" i="6" s="1"/>
  <c r="K957" i="6"/>
  <c r="K962" i="6"/>
  <c r="K967" i="6"/>
  <c r="K295" i="5"/>
  <c r="K290" i="5"/>
  <c r="L274" i="5"/>
  <c r="M274" i="5" s="1"/>
  <c r="K285" i="5"/>
  <c r="K453" i="6"/>
  <c r="K458" i="6"/>
  <c r="K463" i="6"/>
  <c r="L442" i="6"/>
  <c r="M442" i="6" s="1"/>
  <c r="K794" i="6"/>
  <c r="K799" i="6"/>
  <c r="L778" i="6"/>
  <c r="M778" i="6" s="1"/>
  <c r="K789" i="6"/>
  <c r="L386" i="6"/>
  <c r="M386" i="6" s="1"/>
  <c r="K397" i="6"/>
  <c r="K407" i="6"/>
  <c r="K402" i="6"/>
  <c r="K967" i="5"/>
  <c r="K957" i="5"/>
  <c r="K962" i="5"/>
  <c r="L946" i="5"/>
  <c r="M946" i="5" s="1"/>
  <c r="K626" i="5"/>
  <c r="K621" i="5"/>
  <c r="K631" i="5"/>
  <c r="L610" i="5"/>
  <c r="M610" i="5" s="1"/>
  <c r="K733" i="5"/>
  <c r="K738" i="5"/>
  <c r="L722" i="5"/>
  <c r="M722" i="5" s="1"/>
  <c r="K743" i="5"/>
  <c r="L1002" i="5"/>
  <c r="M1002" i="5" s="1"/>
  <c r="K1013" i="5"/>
  <c r="K1023" i="5"/>
  <c r="K1018" i="5"/>
  <c r="K570" i="5"/>
  <c r="K565" i="5"/>
  <c r="K575" i="5"/>
  <c r="L554" i="5"/>
  <c r="M554" i="5" s="1"/>
  <c r="K570" i="6"/>
  <c r="K565" i="6"/>
  <c r="L554" i="6"/>
  <c r="M554" i="6" s="1"/>
  <c r="K575" i="6"/>
  <c r="K117" i="5"/>
  <c r="K127" i="5"/>
  <c r="K122" i="5"/>
  <c r="L106" i="5"/>
  <c r="M106" i="5" s="1"/>
  <c r="K519" i="5"/>
  <c r="K509" i="5"/>
  <c r="L498" i="5"/>
  <c r="M498" i="5" s="1"/>
  <c r="K514" i="5"/>
  <c r="K1079" i="5"/>
  <c r="K1074" i="5"/>
  <c r="K1069" i="5"/>
  <c r="L1058" i="5"/>
  <c r="M1058" i="5" s="1"/>
  <c r="L498" i="6"/>
  <c r="M498" i="6" s="1"/>
  <c r="K514" i="6"/>
  <c r="K519" i="6"/>
  <c r="K509" i="6"/>
  <c r="L834" i="5"/>
  <c r="M834" i="5" s="1"/>
  <c r="K850" i="5"/>
  <c r="K845" i="5"/>
  <c r="K855" i="5"/>
  <c r="K682" i="5"/>
  <c r="L666" i="5"/>
  <c r="M666" i="5" s="1"/>
  <c r="K687" i="5"/>
  <c r="K677" i="5"/>
  <c r="K850" i="6"/>
  <c r="L834" i="6"/>
  <c r="M834" i="6" s="1"/>
  <c r="K845" i="6"/>
  <c r="K855" i="6"/>
  <c r="K1018" i="6"/>
  <c r="L1002" i="6"/>
  <c r="M1002" i="6" s="1"/>
  <c r="K1013" i="6"/>
  <c r="K1023" i="6"/>
  <c r="K295" i="6"/>
  <c r="K285" i="6"/>
  <c r="K290" i="6"/>
  <c r="L274" i="6"/>
  <c r="M274" i="6" s="1"/>
  <c r="K626" i="6"/>
  <c r="L610" i="6"/>
  <c r="M610" i="6" s="1"/>
  <c r="K621" i="6"/>
  <c r="K631" i="6"/>
  <c r="K397" i="5"/>
  <c r="L386" i="5"/>
  <c r="M386" i="5" s="1"/>
  <c r="K402" i="5"/>
  <c r="K407" i="5"/>
  <c r="L666" i="6"/>
  <c r="M666" i="6" s="1"/>
  <c r="K677" i="6"/>
  <c r="K682" i="6"/>
  <c r="K687" i="6"/>
  <c r="L218" i="6"/>
  <c r="M218" i="6" s="1"/>
  <c r="K234" i="6"/>
  <c r="K229" i="6"/>
  <c r="K239" i="6"/>
  <c r="K346" i="6"/>
  <c r="K341" i="6"/>
  <c r="L330" i="6"/>
  <c r="M330" i="6" s="1"/>
  <c r="K351" i="6"/>
  <c r="L218" i="5"/>
  <c r="M218" i="5" s="1"/>
  <c r="K239" i="5"/>
  <c r="K234" i="5"/>
  <c r="K229" i="5"/>
  <c r="K178" i="6"/>
  <c r="K173" i="6"/>
  <c r="K183" i="6"/>
  <c r="L162" i="6"/>
  <c r="M162" i="6" s="1"/>
  <c r="K1079" i="6"/>
  <c r="K1074" i="6"/>
  <c r="L1058" i="6"/>
  <c r="M1058" i="6" s="1"/>
  <c r="K1069" i="6"/>
  <c r="K789" i="5"/>
  <c r="L778" i="5"/>
  <c r="M778" i="5" s="1"/>
  <c r="K794" i="5"/>
  <c r="K799" i="5"/>
  <c r="K906" i="5"/>
  <c r="K911" i="5"/>
  <c r="K901" i="5"/>
  <c r="L890" i="5"/>
  <c r="M890" i="5" s="1"/>
  <c r="K906" i="6"/>
  <c r="K901" i="6"/>
  <c r="K911" i="6"/>
  <c r="L890" i="6"/>
  <c r="M890" i="6" s="1"/>
  <c r="K183" i="5"/>
  <c r="L162" i="5"/>
  <c r="M162" i="5" s="1"/>
  <c r="K173" i="5"/>
  <c r="K178" i="5"/>
  <c r="K184" i="5" l="1"/>
  <c r="L184" i="5" s="1"/>
  <c r="M184" i="5" s="1"/>
  <c r="L183" i="5"/>
  <c r="M183" i="5" s="1"/>
  <c r="L789" i="5"/>
  <c r="M789" i="5" s="1"/>
  <c r="K791" i="5"/>
  <c r="L791" i="5" s="1"/>
  <c r="K790" i="5"/>
  <c r="L790" i="5" s="1"/>
  <c r="M790" i="5" s="1"/>
  <c r="L178" i="6"/>
  <c r="M178" i="6" s="1"/>
  <c r="K179" i="6"/>
  <c r="L179" i="6" s="1"/>
  <c r="M179" i="6" s="1"/>
  <c r="L346" i="6"/>
  <c r="M346" i="6" s="1"/>
  <c r="K347" i="6"/>
  <c r="L347" i="6" s="1"/>
  <c r="M347" i="6" s="1"/>
  <c r="K398" i="5"/>
  <c r="L398" i="5" s="1"/>
  <c r="M398" i="5" s="1"/>
  <c r="L397" i="5"/>
  <c r="M397" i="5" s="1"/>
  <c r="L295" i="6"/>
  <c r="M295" i="6" s="1"/>
  <c r="K296" i="6"/>
  <c r="L296" i="6" s="1"/>
  <c r="M296" i="6" s="1"/>
  <c r="K846" i="6"/>
  <c r="L846" i="6" s="1"/>
  <c r="M846" i="6" s="1"/>
  <c r="L845" i="6"/>
  <c r="M845" i="6" s="1"/>
  <c r="L855" i="5"/>
  <c r="M855" i="5" s="1"/>
  <c r="K856" i="5"/>
  <c r="L856" i="5" s="1"/>
  <c r="M856" i="5" s="1"/>
  <c r="L743" i="5"/>
  <c r="M743" i="5" s="1"/>
  <c r="K744" i="5"/>
  <c r="L744" i="5" s="1"/>
  <c r="M744" i="5" s="1"/>
  <c r="K403" i="6"/>
  <c r="L403" i="6" s="1"/>
  <c r="M403" i="6" s="1"/>
  <c r="L402" i="6"/>
  <c r="M402" i="6" s="1"/>
  <c r="K968" i="6"/>
  <c r="L968" i="6" s="1"/>
  <c r="M968" i="6" s="1"/>
  <c r="L967" i="6"/>
  <c r="M967" i="6" s="1"/>
  <c r="K454" i="5"/>
  <c r="L454" i="5" s="1"/>
  <c r="M454" i="5" s="1"/>
  <c r="L453" i="5"/>
  <c r="M453" i="5" s="1"/>
  <c r="K735" i="6"/>
  <c r="L735" i="6" s="1"/>
  <c r="K734" i="6"/>
  <c r="L734" i="6" s="1"/>
  <c r="M734" i="6" s="1"/>
  <c r="L733" i="6"/>
  <c r="M733" i="6" s="1"/>
  <c r="L799" i="5"/>
  <c r="M799" i="5" s="1"/>
  <c r="K800" i="5"/>
  <c r="L800" i="5" s="1"/>
  <c r="M800" i="5" s="1"/>
  <c r="L351" i="6"/>
  <c r="M351" i="6" s="1"/>
  <c r="K352" i="6"/>
  <c r="L352" i="6" s="1"/>
  <c r="M352" i="6" s="1"/>
  <c r="K688" i="6"/>
  <c r="L688" i="6" s="1"/>
  <c r="M688" i="6" s="1"/>
  <c r="L687" i="6"/>
  <c r="M687" i="6" s="1"/>
  <c r="K632" i="6"/>
  <c r="L632" i="6" s="1"/>
  <c r="M632" i="6" s="1"/>
  <c r="L631" i="6"/>
  <c r="M631" i="6" s="1"/>
  <c r="L1023" i="6"/>
  <c r="M1023" i="6" s="1"/>
  <c r="K1024" i="6"/>
  <c r="L1024" i="6" s="1"/>
  <c r="M1024" i="6" s="1"/>
  <c r="K846" i="5"/>
  <c r="L846" i="5" s="1"/>
  <c r="M846" i="5" s="1"/>
  <c r="L845" i="5"/>
  <c r="M845" i="5" s="1"/>
  <c r="L1069" i="5"/>
  <c r="M1069" i="5" s="1"/>
  <c r="K1070" i="5"/>
  <c r="L1070" i="5" s="1"/>
  <c r="M1070" i="5" s="1"/>
  <c r="K123" i="5"/>
  <c r="L123" i="5" s="1"/>
  <c r="M123" i="5" s="1"/>
  <c r="L122" i="5"/>
  <c r="M122" i="5" s="1"/>
  <c r="L1023" i="5"/>
  <c r="M1023" i="5" s="1"/>
  <c r="K1024" i="5"/>
  <c r="L1024" i="5" s="1"/>
  <c r="M1024" i="5" s="1"/>
  <c r="L631" i="5"/>
  <c r="M631" i="5" s="1"/>
  <c r="K632" i="5"/>
  <c r="L632" i="5" s="1"/>
  <c r="M632" i="5" s="1"/>
  <c r="L962" i="5"/>
  <c r="M962" i="5" s="1"/>
  <c r="K963" i="5"/>
  <c r="L963" i="5" s="1"/>
  <c r="M963" i="5" s="1"/>
  <c r="L407" i="6"/>
  <c r="M407" i="6" s="1"/>
  <c r="K408" i="6"/>
  <c r="L408" i="6" s="1"/>
  <c r="M408" i="6" s="1"/>
  <c r="L463" i="6"/>
  <c r="M463" i="6" s="1"/>
  <c r="K464" i="6"/>
  <c r="L464" i="6" s="1"/>
  <c r="M464" i="6" s="1"/>
  <c r="L962" i="6"/>
  <c r="M962" i="6" s="1"/>
  <c r="K963" i="6"/>
  <c r="L963" i="6" s="1"/>
  <c r="M963" i="6" s="1"/>
  <c r="K123" i="6"/>
  <c r="L123" i="6" s="1"/>
  <c r="M123" i="6" s="1"/>
  <c r="L122" i="6"/>
  <c r="M122" i="6" s="1"/>
  <c r="K174" i="5"/>
  <c r="L174" i="5" s="1"/>
  <c r="M174" i="5" s="1"/>
  <c r="K175" i="5"/>
  <c r="L175" i="5" s="1"/>
  <c r="L173" i="5"/>
  <c r="M173" i="5" s="1"/>
  <c r="K912" i="6"/>
  <c r="L912" i="6" s="1"/>
  <c r="M912" i="6" s="1"/>
  <c r="L911" i="6"/>
  <c r="M911" i="6" s="1"/>
  <c r="L901" i="5"/>
  <c r="M901" i="5" s="1"/>
  <c r="K902" i="5"/>
  <c r="L902" i="5" s="1"/>
  <c r="M902" i="5" s="1"/>
  <c r="L794" i="5"/>
  <c r="M794" i="5" s="1"/>
  <c r="K795" i="5"/>
  <c r="L795" i="5" s="1"/>
  <c r="M795" i="5" s="1"/>
  <c r="K184" i="6"/>
  <c r="L184" i="6" s="1"/>
  <c r="M184" i="6" s="1"/>
  <c r="L183" i="6"/>
  <c r="M183" i="6" s="1"/>
  <c r="L234" i="5"/>
  <c r="M234" i="5" s="1"/>
  <c r="K235" i="5"/>
  <c r="L235" i="5" s="1"/>
  <c r="M235" i="5" s="1"/>
  <c r="L229" i="6"/>
  <c r="M229" i="6" s="1"/>
  <c r="K230" i="6"/>
  <c r="L230" i="6" s="1"/>
  <c r="M230" i="6" s="1"/>
  <c r="L682" i="6"/>
  <c r="M682" i="6" s="1"/>
  <c r="K683" i="6"/>
  <c r="L683" i="6" s="1"/>
  <c r="M683" i="6" s="1"/>
  <c r="K403" i="5"/>
  <c r="L403" i="5" s="1"/>
  <c r="M403" i="5" s="1"/>
  <c r="L402" i="5"/>
  <c r="M402" i="5" s="1"/>
  <c r="K622" i="6"/>
  <c r="L622" i="6" s="1"/>
  <c r="M622" i="6" s="1"/>
  <c r="K623" i="6"/>
  <c r="L623" i="6" s="1"/>
  <c r="L621" i="6"/>
  <c r="M621" i="6" s="1"/>
  <c r="K291" i="6"/>
  <c r="L291" i="6" s="1"/>
  <c r="M291" i="6" s="1"/>
  <c r="L290" i="6"/>
  <c r="M290" i="6" s="1"/>
  <c r="L1013" i="6"/>
  <c r="M1013" i="6" s="1"/>
  <c r="K1014" i="6"/>
  <c r="L1014" i="6" s="1"/>
  <c r="M1014" i="6" s="1"/>
  <c r="L850" i="6"/>
  <c r="M850" i="6" s="1"/>
  <c r="K851" i="6"/>
  <c r="L851" i="6" s="1"/>
  <c r="M851" i="6" s="1"/>
  <c r="K851" i="5"/>
  <c r="L851" i="5" s="1"/>
  <c r="M851" i="5" s="1"/>
  <c r="L850" i="5"/>
  <c r="M850" i="5" s="1"/>
  <c r="K515" i="6"/>
  <c r="L515" i="6" s="1"/>
  <c r="M515" i="6" s="1"/>
  <c r="L514" i="6"/>
  <c r="M514" i="6" s="1"/>
  <c r="L1074" i="5"/>
  <c r="M1074" i="5" s="1"/>
  <c r="K1075" i="5"/>
  <c r="L1075" i="5" s="1"/>
  <c r="M1075" i="5" s="1"/>
  <c r="K510" i="5"/>
  <c r="L510" i="5" s="1"/>
  <c r="M510" i="5" s="1"/>
  <c r="L509" i="5"/>
  <c r="M509" i="5" s="1"/>
  <c r="K511" i="5"/>
  <c r="L511" i="5" s="1"/>
  <c r="L127" i="5"/>
  <c r="M127" i="5" s="1"/>
  <c r="K128" i="5"/>
  <c r="L128" i="5" s="1"/>
  <c r="M128" i="5" s="1"/>
  <c r="K567" i="6"/>
  <c r="L567" i="6" s="1"/>
  <c r="L565" i="6"/>
  <c r="M565" i="6" s="1"/>
  <c r="K566" i="6"/>
  <c r="L566" i="6" s="1"/>
  <c r="M566" i="6" s="1"/>
  <c r="L565" i="5"/>
  <c r="M565" i="5" s="1"/>
  <c r="K567" i="5"/>
  <c r="L567" i="5" s="1"/>
  <c r="K566" i="5"/>
  <c r="L566" i="5" s="1"/>
  <c r="M566" i="5" s="1"/>
  <c r="L1013" i="5"/>
  <c r="M1013" i="5" s="1"/>
  <c r="K1014" i="5"/>
  <c r="L1014" i="5" s="1"/>
  <c r="M1014" i="5" s="1"/>
  <c r="L738" i="5"/>
  <c r="M738" i="5" s="1"/>
  <c r="K739" i="5"/>
  <c r="L739" i="5" s="1"/>
  <c r="M739" i="5" s="1"/>
  <c r="K623" i="5"/>
  <c r="L623" i="5" s="1"/>
  <c r="L621" i="5"/>
  <c r="M621" i="5" s="1"/>
  <c r="K622" i="5"/>
  <c r="L622" i="5" s="1"/>
  <c r="M622" i="5" s="1"/>
  <c r="K958" i="5"/>
  <c r="L958" i="5" s="1"/>
  <c r="M958" i="5" s="1"/>
  <c r="L957" i="5"/>
  <c r="M957" i="5" s="1"/>
  <c r="K398" i="6"/>
  <c r="L398" i="6" s="1"/>
  <c r="M398" i="6" s="1"/>
  <c r="L397" i="6"/>
  <c r="M397" i="6" s="1"/>
  <c r="L799" i="6"/>
  <c r="M799" i="6" s="1"/>
  <c r="K800" i="6"/>
  <c r="L800" i="6" s="1"/>
  <c r="M800" i="6" s="1"/>
  <c r="L458" i="6"/>
  <c r="M458" i="6" s="1"/>
  <c r="K459" i="6"/>
  <c r="L459" i="6" s="1"/>
  <c r="M459" i="6" s="1"/>
  <c r="K291" i="5"/>
  <c r="L291" i="5" s="1"/>
  <c r="M291" i="5" s="1"/>
  <c r="L290" i="5"/>
  <c r="M290" i="5" s="1"/>
  <c r="L957" i="6"/>
  <c r="M957" i="6" s="1"/>
  <c r="K958" i="6"/>
  <c r="L958" i="6" s="1"/>
  <c r="M958" i="6" s="1"/>
  <c r="L341" i="5"/>
  <c r="M341" i="5" s="1"/>
  <c r="K342" i="5"/>
  <c r="L342" i="5" s="1"/>
  <c r="M342" i="5" s="1"/>
  <c r="L458" i="5"/>
  <c r="M458" i="5" s="1"/>
  <c r="K459" i="5"/>
  <c r="L459" i="5" s="1"/>
  <c r="M459" i="5" s="1"/>
  <c r="L127" i="6"/>
  <c r="M127" i="6" s="1"/>
  <c r="K128" i="6"/>
  <c r="L128" i="6" s="1"/>
  <c r="M128" i="6" s="1"/>
  <c r="L743" i="6"/>
  <c r="M743" i="6" s="1"/>
  <c r="K744" i="6"/>
  <c r="L744" i="6" s="1"/>
  <c r="M744" i="6" s="1"/>
  <c r="K907" i="6"/>
  <c r="L907" i="6" s="1"/>
  <c r="M907" i="6" s="1"/>
  <c r="L906" i="6"/>
  <c r="M906" i="6" s="1"/>
  <c r="K907" i="5"/>
  <c r="L907" i="5" s="1"/>
  <c r="M907" i="5" s="1"/>
  <c r="L906" i="5"/>
  <c r="M906" i="5" s="1"/>
  <c r="L1079" i="6"/>
  <c r="M1079" i="6" s="1"/>
  <c r="K1080" i="6"/>
  <c r="L1080" i="6" s="1"/>
  <c r="M1080" i="6" s="1"/>
  <c r="K627" i="6"/>
  <c r="L627" i="6" s="1"/>
  <c r="M627" i="6" s="1"/>
  <c r="L626" i="6"/>
  <c r="M626" i="6" s="1"/>
  <c r="K1019" i="6"/>
  <c r="L1019" i="6" s="1"/>
  <c r="M1019" i="6" s="1"/>
  <c r="L1018" i="6"/>
  <c r="M1018" i="6" s="1"/>
  <c r="K678" i="5"/>
  <c r="L678" i="5" s="1"/>
  <c r="M678" i="5" s="1"/>
  <c r="L677" i="5"/>
  <c r="M677" i="5" s="1"/>
  <c r="K679" i="5"/>
  <c r="L679" i="5" s="1"/>
  <c r="L509" i="6"/>
  <c r="M509" i="6" s="1"/>
  <c r="K510" i="6"/>
  <c r="L510" i="6" s="1"/>
  <c r="M510" i="6" s="1"/>
  <c r="K511" i="6"/>
  <c r="L511" i="6" s="1"/>
  <c r="L514" i="5"/>
  <c r="M514" i="5" s="1"/>
  <c r="K515" i="5"/>
  <c r="L515" i="5" s="1"/>
  <c r="M515" i="5" s="1"/>
  <c r="K576" i="6"/>
  <c r="L576" i="6" s="1"/>
  <c r="M576" i="6" s="1"/>
  <c r="L575" i="6"/>
  <c r="M575" i="6" s="1"/>
  <c r="L1018" i="5"/>
  <c r="M1018" i="5" s="1"/>
  <c r="K1019" i="5"/>
  <c r="L1019" i="5" s="1"/>
  <c r="M1019" i="5" s="1"/>
  <c r="K790" i="6"/>
  <c r="L790" i="6" s="1"/>
  <c r="M790" i="6" s="1"/>
  <c r="L789" i="6"/>
  <c r="M789" i="6" s="1"/>
  <c r="K791" i="6"/>
  <c r="L791" i="6" s="1"/>
  <c r="L285" i="5"/>
  <c r="M285" i="5" s="1"/>
  <c r="K286" i="5"/>
  <c r="L286" i="5" s="1"/>
  <c r="M286" i="5" s="1"/>
  <c r="L351" i="5"/>
  <c r="M351" i="5" s="1"/>
  <c r="K352" i="5"/>
  <c r="L352" i="5" s="1"/>
  <c r="M352" i="5" s="1"/>
  <c r="K119" i="6"/>
  <c r="L119" i="6" s="1"/>
  <c r="L117" i="6"/>
  <c r="M117" i="6" s="1"/>
  <c r="K118" i="6"/>
  <c r="L118" i="6" s="1"/>
  <c r="M118" i="6" s="1"/>
  <c r="K179" i="5"/>
  <c r="L179" i="5" s="1"/>
  <c r="M179" i="5" s="1"/>
  <c r="L178" i="5"/>
  <c r="M178" i="5" s="1"/>
  <c r="L1069" i="6"/>
  <c r="M1069" i="6" s="1"/>
  <c r="K1070" i="6"/>
  <c r="L1070" i="6" s="1"/>
  <c r="M1070" i="6" s="1"/>
  <c r="L229" i="5"/>
  <c r="M229" i="5" s="1"/>
  <c r="K230" i="5"/>
  <c r="L230" i="5" s="1"/>
  <c r="M230" i="5" s="1"/>
  <c r="K240" i="6"/>
  <c r="L240" i="6" s="1"/>
  <c r="M240" i="6" s="1"/>
  <c r="L239" i="6"/>
  <c r="M239" i="6" s="1"/>
  <c r="K408" i="5"/>
  <c r="L408" i="5" s="1"/>
  <c r="M408" i="5" s="1"/>
  <c r="L407" i="5"/>
  <c r="M407" i="5" s="1"/>
  <c r="K688" i="5"/>
  <c r="L688" i="5" s="1"/>
  <c r="M688" i="5" s="1"/>
  <c r="L687" i="5"/>
  <c r="M687" i="5" s="1"/>
  <c r="K520" i="6"/>
  <c r="L520" i="6" s="1"/>
  <c r="M520" i="6" s="1"/>
  <c r="L519" i="6"/>
  <c r="M519" i="6" s="1"/>
  <c r="K576" i="5"/>
  <c r="L576" i="5" s="1"/>
  <c r="M576" i="5" s="1"/>
  <c r="L575" i="5"/>
  <c r="M575" i="5" s="1"/>
  <c r="L901" i="6"/>
  <c r="M901" i="6" s="1"/>
  <c r="K902" i="6"/>
  <c r="L902" i="6" s="1"/>
  <c r="M902" i="6" s="1"/>
  <c r="L911" i="5"/>
  <c r="M911" i="5" s="1"/>
  <c r="K912" i="5"/>
  <c r="L912" i="5" s="1"/>
  <c r="M912" i="5" s="1"/>
  <c r="L1074" i="6"/>
  <c r="M1074" i="6" s="1"/>
  <c r="K1075" i="6"/>
  <c r="L1075" i="6" s="1"/>
  <c r="M1075" i="6" s="1"/>
  <c r="K174" i="6"/>
  <c r="L174" i="6" s="1"/>
  <c r="M174" i="6" s="1"/>
  <c r="K175" i="6"/>
  <c r="L175" i="6" s="1"/>
  <c r="L173" i="6"/>
  <c r="M173" i="6" s="1"/>
  <c r="K240" i="5"/>
  <c r="L240" i="5" s="1"/>
  <c r="M240" i="5" s="1"/>
  <c r="L239" i="5"/>
  <c r="M239" i="5" s="1"/>
  <c r="L341" i="6"/>
  <c r="M341" i="6" s="1"/>
  <c r="K342" i="6"/>
  <c r="L342" i="6" s="1"/>
  <c r="M342" i="6" s="1"/>
  <c r="L234" i="6"/>
  <c r="M234" i="6" s="1"/>
  <c r="K235" i="6"/>
  <c r="L235" i="6" s="1"/>
  <c r="M235" i="6" s="1"/>
  <c r="K678" i="6"/>
  <c r="L678" i="6" s="1"/>
  <c r="M678" i="6" s="1"/>
  <c r="K679" i="6"/>
  <c r="L679" i="6" s="1"/>
  <c r="L677" i="6"/>
  <c r="M677" i="6" s="1"/>
  <c r="K286" i="6"/>
  <c r="L286" i="6" s="1"/>
  <c r="M286" i="6" s="1"/>
  <c r="L285" i="6"/>
  <c r="M285" i="6" s="1"/>
  <c r="K856" i="6"/>
  <c r="L856" i="6" s="1"/>
  <c r="M856" i="6" s="1"/>
  <c r="L855" i="6"/>
  <c r="M855" i="6" s="1"/>
  <c r="K683" i="5"/>
  <c r="L683" i="5" s="1"/>
  <c r="M683" i="5" s="1"/>
  <c r="L682" i="5"/>
  <c r="M682" i="5" s="1"/>
  <c r="L1079" i="5"/>
  <c r="M1079" i="5" s="1"/>
  <c r="K1080" i="5"/>
  <c r="L1080" i="5" s="1"/>
  <c r="M1080" i="5" s="1"/>
  <c r="K520" i="5"/>
  <c r="L520" i="5" s="1"/>
  <c r="M520" i="5" s="1"/>
  <c r="L519" i="5"/>
  <c r="M519" i="5" s="1"/>
  <c r="K118" i="5"/>
  <c r="L118" i="5" s="1"/>
  <c r="M118" i="5" s="1"/>
  <c r="K119" i="5"/>
  <c r="L119" i="5" s="1"/>
  <c r="L117" i="5"/>
  <c r="M117" i="5" s="1"/>
  <c r="L570" i="6"/>
  <c r="M570" i="6" s="1"/>
  <c r="K571" i="6"/>
  <c r="L571" i="6" s="1"/>
  <c r="M571" i="6" s="1"/>
  <c r="L570" i="5"/>
  <c r="M570" i="5" s="1"/>
  <c r="K571" i="5"/>
  <c r="L571" i="5" s="1"/>
  <c r="M571" i="5" s="1"/>
  <c r="L733" i="5"/>
  <c r="M733" i="5" s="1"/>
  <c r="K735" i="5"/>
  <c r="L735" i="5" s="1"/>
  <c r="K734" i="5"/>
  <c r="L734" i="5" s="1"/>
  <c r="M734" i="5" s="1"/>
  <c r="L626" i="5"/>
  <c r="M626" i="5" s="1"/>
  <c r="K627" i="5"/>
  <c r="L627" i="5" s="1"/>
  <c r="M627" i="5" s="1"/>
  <c r="K968" i="5"/>
  <c r="L968" i="5" s="1"/>
  <c r="M968" i="5" s="1"/>
  <c r="L967" i="5"/>
  <c r="M967" i="5" s="1"/>
  <c r="K795" i="6"/>
  <c r="L795" i="6" s="1"/>
  <c r="M795" i="6" s="1"/>
  <c r="L794" i="6"/>
  <c r="M794" i="6" s="1"/>
  <c r="L453" i="6"/>
  <c r="M453" i="6" s="1"/>
  <c r="K454" i="6"/>
  <c r="L454" i="6" s="1"/>
  <c r="M454" i="6" s="1"/>
  <c r="K296" i="5"/>
  <c r="L296" i="5" s="1"/>
  <c r="M296" i="5" s="1"/>
  <c r="L295" i="5"/>
  <c r="M295" i="5" s="1"/>
  <c r="K347" i="5"/>
  <c r="L347" i="5" s="1"/>
  <c r="M347" i="5" s="1"/>
  <c r="L346" i="5"/>
  <c r="M346" i="5" s="1"/>
  <c r="K464" i="5"/>
  <c r="L464" i="5" s="1"/>
  <c r="M464" i="5" s="1"/>
  <c r="L463" i="5"/>
  <c r="M463" i="5" s="1"/>
  <c r="L738" i="6"/>
  <c r="M738" i="6" s="1"/>
  <c r="K739" i="6"/>
  <c r="L739" i="6" s="1"/>
  <c r="M739" i="6" s="1"/>
  <c r="K186" i="5" l="1"/>
  <c r="L186" i="5" s="1"/>
  <c r="M186" i="5" s="1"/>
  <c r="K298" i="5"/>
  <c r="L298" i="5" s="1"/>
  <c r="M298" i="5" s="1"/>
  <c r="E9" i="7" s="1"/>
  <c r="K848" i="5"/>
  <c r="L848" i="5" s="1"/>
  <c r="M848" i="5" s="1"/>
  <c r="K736" i="5"/>
  <c r="L736" i="5" s="1"/>
  <c r="M736" i="5" s="1"/>
  <c r="K573" i="5"/>
  <c r="L573" i="5" s="1"/>
  <c r="M573" i="5" s="1"/>
  <c r="K1026" i="5"/>
  <c r="L1026" i="5" s="1"/>
  <c r="M1026" i="5" s="1"/>
  <c r="K904" i="6"/>
  <c r="L904" i="6" s="1"/>
  <c r="M904" i="6" s="1"/>
  <c r="K792" i="5"/>
  <c r="L792" i="5" s="1"/>
  <c r="M792" i="5" s="1"/>
  <c r="K741" i="6"/>
  <c r="L741" i="6" s="1"/>
  <c r="M741" i="6" s="1"/>
  <c r="K629" i="5"/>
  <c r="L629" i="5" s="1"/>
  <c r="M629" i="5" s="1"/>
  <c r="M70" i="5" s="1"/>
  <c r="K237" i="6"/>
  <c r="L237" i="6" s="1"/>
  <c r="M237" i="6" s="1"/>
  <c r="K797" i="5"/>
  <c r="L797" i="5" s="1"/>
  <c r="M797" i="5" s="1"/>
  <c r="K965" i="6"/>
  <c r="L965" i="6" s="1"/>
  <c r="M965" i="6" s="1"/>
  <c r="K914" i="5"/>
  <c r="L914" i="5" s="1"/>
  <c r="M914" i="5" s="1"/>
  <c r="K466" i="6"/>
  <c r="L466" i="6" s="1"/>
  <c r="M466" i="6" s="1"/>
  <c r="F12" i="7" s="1"/>
  <c r="K293" i="5"/>
  <c r="L293" i="5" s="1"/>
  <c r="M293" i="5" s="1"/>
  <c r="K1016" i="6"/>
  <c r="L1016" i="6" s="1"/>
  <c r="M1016" i="6" s="1"/>
  <c r="K802" i="5"/>
  <c r="L802" i="5" s="1"/>
  <c r="M802" i="5" s="1"/>
  <c r="K181" i="5"/>
  <c r="L181" i="5" s="1"/>
  <c r="M181" i="5" s="1"/>
  <c r="K578" i="6"/>
  <c r="L578" i="6" s="1"/>
  <c r="M578" i="6" s="1"/>
  <c r="K1082" i="6"/>
  <c r="L1082" i="6" s="1"/>
  <c r="M1082" i="6" s="1"/>
  <c r="K960" i="6"/>
  <c r="L960" i="6" s="1"/>
  <c r="M960" i="6" s="1"/>
  <c r="K853" i="6"/>
  <c r="L853" i="6" s="1"/>
  <c r="M853" i="6" s="1"/>
  <c r="K232" i="6"/>
  <c r="L232" i="6" s="1"/>
  <c r="M232" i="6" s="1"/>
  <c r="K405" i="6"/>
  <c r="L405" i="6" s="1"/>
  <c r="M405" i="6" s="1"/>
  <c r="K400" i="5"/>
  <c r="L400" i="5" s="1"/>
  <c r="K1072" i="6"/>
  <c r="L1072" i="6" s="1"/>
  <c r="M1072" i="6" s="1"/>
  <c r="K1021" i="5"/>
  <c r="L1021" i="5" s="1"/>
  <c r="M1021" i="5" s="1"/>
  <c r="K629" i="6"/>
  <c r="L629" i="6" s="1"/>
  <c r="M629" i="6" s="1"/>
  <c r="K130" i="6"/>
  <c r="L130" i="6" s="1"/>
  <c r="M130" i="6" s="1"/>
  <c r="K568" i="5"/>
  <c r="L568" i="5" s="1"/>
  <c r="M568" i="5" s="1"/>
  <c r="K1077" i="5"/>
  <c r="L1077" i="5" s="1"/>
  <c r="M1077" i="5" s="1"/>
  <c r="K685" i="6"/>
  <c r="L685" i="6" s="1"/>
  <c r="M685" i="6" s="1"/>
  <c r="K1026" i="6"/>
  <c r="L1026" i="6" s="1"/>
  <c r="M1026" i="6" s="1"/>
  <c r="K298" i="6"/>
  <c r="L298" i="6" s="1"/>
  <c r="M298" i="6" s="1"/>
  <c r="F9" i="7" s="1"/>
  <c r="K685" i="5"/>
  <c r="L685" i="5" s="1"/>
  <c r="M685" i="5" s="1"/>
  <c r="K410" i="5"/>
  <c r="L410" i="5" s="1"/>
  <c r="M410" i="5" s="1"/>
  <c r="K456" i="6"/>
  <c r="L456" i="6" s="1"/>
  <c r="M456" i="6" s="1"/>
  <c r="K1082" i="5"/>
  <c r="L1082" i="5" s="1"/>
  <c r="M1082" i="5" s="1"/>
  <c r="K344" i="6"/>
  <c r="L344" i="6" s="1"/>
  <c r="M344" i="6" s="1"/>
  <c r="F10" i="7" s="1"/>
  <c r="K690" i="5"/>
  <c r="L690" i="5" s="1"/>
  <c r="M690" i="5" s="1"/>
  <c r="K746" i="6"/>
  <c r="L746" i="6" s="1"/>
  <c r="M746" i="6" s="1"/>
  <c r="K400" i="6"/>
  <c r="L400" i="6" s="1"/>
  <c r="K130" i="5"/>
  <c r="L130" i="5" s="1"/>
  <c r="M130" i="5" s="1"/>
  <c r="K904" i="5"/>
  <c r="L904" i="5" s="1"/>
  <c r="M904" i="5" s="1"/>
  <c r="K634" i="5"/>
  <c r="L634" i="5" s="1"/>
  <c r="M634" i="5" s="1"/>
  <c r="K354" i="6"/>
  <c r="L354" i="6" s="1"/>
  <c r="M354" i="6" s="1"/>
  <c r="K746" i="5"/>
  <c r="L746" i="5" s="1"/>
  <c r="M746" i="5" s="1"/>
  <c r="K960" i="5"/>
  <c r="L960" i="5" s="1"/>
  <c r="M960" i="5" s="1"/>
  <c r="K512" i="5"/>
  <c r="L512" i="5" s="1"/>
  <c r="M512" i="5" s="1"/>
  <c r="K680" i="6"/>
  <c r="L680" i="6" s="1"/>
  <c r="M680" i="6" s="1"/>
  <c r="K568" i="6"/>
  <c r="L568" i="6" s="1"/>
  <c r="M568" i="6" s="1"/>
  <c r="K349" i="5"/>
  <c r="L349" i="5" s="1"/>
  <c r="M349" i="5" s="1"/>
  <c r="K970" i="5"/>
  <c r="L970" i="5" s="1"/>
  <c r="M970" i="5" s="1"/>
  <c r="K120" i="5"/>
  <c r="L120" i="5" s="1"/>
  <c r="K522" i="5"/>
  <c r="L522" i="5" s="1"/>
  <c r="M522" i="5" s="1"/>
  <c r="K288" i="6"/>
  <c r="L288" i="6" s="1"/>
  <c r="M288" i="6" s="1"/>
  <c r="K176" i="6"/>
  <c r="L176" i="6" s="1"/>
  <c r="K1077" i="6"/>
  <c r="L1077" i="6" s="1"/>
  <c r="M1077" i="6" s="1"/>
  <c r="K522" i="6"/>
  <c r="L522" i="6" s="1"/>
  <c r="M522" i="6" s="1"/>
  <c r="K232" i="5"/>
  <c r="L232" i="5" s="1"/>
  <c r="M232" i="5" s="1"/>
  <c r="K288" i="5"/>
  <c r="L288" i="5" s="1"/>
  <c r="M288" i="5" s="1"/>
  <c r="K512" i="6"/>
  <c r="L512" i="6" s="1"/>
  <c r="K680" i="5"/>
  <c r="L680" i="5" s="1"/>
  <c r="M680" i="5" s="1"/>
  <c r="K1021" i="6"/>
  <c r="L1021" i="6" s="1"/>
  <c r="M1021" i="6" s="1"/>
  <c r="K909" i="6"/>
  <c r="L909" i="6" s="1"/>
  <c r="M909" i="6" s="1"/>
  <c r="K344" i="5"/>
  <c r="L344" i="5" s="1"/>
  <c r="K802" i="6"/>
  <c r="L802" i="6" s="1"/>
  <c r="M802" i="6" s="1"/>
  <c r="K1016" i="5"/>
  <c r="L1016" i="5" s="1"/>
  <c r="M1016" i="5" s="1"/>
  <c r="K624" i="6"/>
  <c r="L624" i="6" s="1"/>
  <c r="M624" i="6" s="1"/>
  <c r="K405" i="5"/>
  <c r="L405" i="5" s="1"/>
  <c r="M405" i="5" s="1"/>
  <c r="K186" i="6"/>
  <c r="L186" i="6" s="1"/>
  <c r="M186" i="6" s="1"/>
  <c r="K176" i="5"/>
  <c r="L176" i="5" s="1"/>
  <c r="K125" i="6"/>
  <c r="L125" i="6" s="1"/>
  <c r="M125" i="6" s="1"/>
  <c r="K965" i="5"/>
  <c r="L965" i="5" s="1"/>
  <c r="M965" i="5" s="1"/>
  <c r="K1072" i="5"/>
  <c r="L1072" i="5" s="1"/>
  <c r="M1072" i="5" s="1"/>
  <c r="K690" i="6"/>
  <c r="L690" i="6" s="1"/>
  <c r="M690" i="6" s="1"/>
  <c r="K970" i="6"/>
  <c r="L970" i="6" s="1"/>
  <c r="M970" i="6" s="1"/>
  <c r="K848" i="6"/>
  <c r="L848" i="6" s="1"/>
  <c r="M848" i="6" s="1"/>
  <c r="K181" i="6"/>
  <c r="L181" i="6" s="1"/>
  <c r="M181" i="6" s="1"/>
  <c r="K792" i="6"/>
  <c r="L792" i="6" s="1"/>
  <c r="M792" i="6" s="1"/>
  <c r="K466" i="5"/>
  <c r="L466" i="5" s="1"/>
  <c r="K797" i="6"/>
  <c r="L797" i="6" s="1"/>
  <c r="M797" i="6" s="1"/>
  <c r="K573" i="6"/>
  <c r="L573" i="6" s="1"/>
  <c r="M573" i="6" s="1"/>
  <c r="K858" i="6"/>
  <c r="L858" i="6" s="1"/>
  <c r="M858" i="6" s="1"/>
  <c r="K242" i="5"/>
  <c r="L242" i="5" s="1"/>
  <c r="K578" i="5"/>
  <c r="L578" i="5" s="1"/>
  <c r="M578" i="5" s="1"/>
  <c r="K242" i="6"/>
  <c r="L242" i="6" s="1"/>
  <c r="K120" i="6"/>
  <c r="L120" i="6" s="1"/>
  <c r="K354" i="5"/>
  <c r="L354" i="5" s="1"/>
  <c r="M354" i="5" s="1"/>
  <c r="K517" i="5"/>
  <c r="L517" i="5" s="1"/>
  <c r="M517" i="5" s="1"/>
  <c r="K909" i="5"/>
  <c r="L909" i="5" s="1"/>
  <c r="M909" i="5" s="1"/>
  <c r="K461" i="5"/>
  <c r="L461" i="5" s="1"/>
  <c r="M461" i="5" s="1"/>
  <c r="K461" i="6"/>
  <c r="L461" i="6" s="1"/>
  <c r="M461" i="6" s="1"/>
  <c r="K624" i="5"/>
  <c r="L624" i="5" s="1"/>
  <c r="M624" i="5" s="1"/>
  <c r="K741" i="5"/>
  <c r="L741" i="5" s="1"/>
  <c r="M741" i="5" s="1"/>
  <c r="K517" i="6"/>
  <c r="L517" i="6" s="1"/>
  <c r="M517" i="6" s="1"/>
  <c r="K853" i="5"/>
  <c r="L853" i="5" s="1"/>
  <c r="M853" i="5" s="1"/>
  <c r="K293" i="6"/>
  <c r="L293" i="6" s="1"/>
  <c r="M293" i="6" s="1"/>
  <c r="K237" i="5"/>
  <c r="L237" i="5" s="1"/>
  <c r="M237" i="5" s="1"/>
  <c r="K914" i="6"/>
  <c r="L914" i="6" s="1"/>
  <c r="M914" i="6" s="1"/>
  <c r="K410" i="6"/>
  <c r="L410" i="6" s="1"/>
  <c r="M410" i="6" s="1"/>
  <c r="K125" i="5"/>
  <c r="L125" i="5" s="1"/>
  <c r="M125" i="5" s="1"/>
  <c r="K634" i="6"/>
  <c r="L634" i="6" s="1"/>
  <c r="M634" i="6" s="1"/>
  <c r="K736" i="6"/>
  <c r="L736" i="6" s="1"/>
  <c r="M736" i="6" s="1"/>
  <c r="K456" i="5"/>
  <c r="L456" i="5" s="1"/>
  <c r="M456" i="5" s="1"/>
  <c r="K858" i="5"/>
  <c r="L858" i="5" s="1"/>
  <c r="M858" i="5" s="1"/>
  <c r="K349" i="6"/>
  <c r="L349" i="6" s="1"/>
  <c r="M349" i="6" s="1"/>
  <c r="M400" i="6" l="1"/>
  <c r="F11" i="7" s="1"/>
  <c r="H36" i="7" s="1"/>
  <c r="M400" i="5"/>
  <c r="E11" i="7" s="1"/>
  <c r="E23" i="7" s="1"/>
  <c r="M344" i="5"/>
  <c r="E10" i="7" s="1"/>
  <c r="M512" i="6"/>
  <c r="M120" i="5"/>
  <c r="E6" i="7" s="1"/>
  <c r="H34" i="7"/>
  <c r="E21" i="7"/>
  <c r="M242" i="5"/>
  <c r="E8" i="7" s="1"/>
  <c r="M466" i="5"/>
  <c r="E12" i="7" s="1"/>
  <c r="M176" i="6"/>
  <c r="F7" i="7" s="1"/>
  <c r="M242" i="6"/>
  <c r="F8" i="7" s="1"/>
  <c r="M120" i="6"/>
  <c r="F6" i="7" s="1"/>
  <c r="H37" i="7"/>
  <c r="M176" i="5"/>
  <c r="E7" i="7" s="1"/>
  <c r="H35" i="7"/>
  <c r="E20" i="7" l="1"/>
  <c r="E19" i="7"/>
  <c r="H33" i="7"/>
  <c r="E36" i="7"/>
  <c r="F23" i="7"/>
  <c r="E24" i="7"/>
  <c r="H31" i="7"/>
  <c r="H32" i="7"/>
  <c r="F21" i="7"/>
  <c r="E34" i="7"/>
  <c r="F34" i="7" s="1"/>
  <c r="E22" i="7"/>
  <c r="E18" i="7"/>
  <c r="E31" i="7" l="1"/>
  <c r="F31" i="7" s="1"/>
  <c r="F18" i="7"/>
  <c r="F24" i="7"/>
  <c r="E37" i="7"/>
  <c r="F36" i="7"/>
  <c r="F22" i="7"/>
  <c r="E35" i="7"/>
  <c r="F19" i="7"/>
  <c r="E32" i="7"/>
  <c r="F20" i="7"/>
  <c r="E33" i="7"/>
  <c r="F33" i="7" s="1"/>
  <c r="F35" i="7" l="1"/>
  <c r="F37" i="7"/>
  <c r="F32" i="7"/>
</calcChain>
</file>

<file path=xl/comments1.xml><?xml version="1.0" encoding="utf-8"?>
<comments xmlns="http://schemas.openxmlformats.org/spreadsheetml/2006/main">
  <authors>
    <author>Tracy Rehberg-Rawlingson</author>
  </authors>
  <commentList>
    <comment ref="C8" authorId="0">
      <text>
        <r>
          <rPr>
            <b/>
            <sz val="9"/>
            <color indexed="81"/>
            <rFont val="Tahoma"/>
            <family val="2"/>
          </rPr>
          <t>TRR:
Added Volumetric amounts to total as Residential is 100% fixed for 2019</t>
        </r>
      </text>
    </comment>
  </commentList>
</comments>
</file>

<file path=xl/sharedStrings.xml><?xml version="1.0" encoding="utf-8"?>
<sst xmlns="http://schemas.openxmlformats.org/spreadsheetml/2006/main" count="8337" uniqueCount="220">
  <si>
    <t>Incremental Capital Adjustment</t>
  </si>
  <si>
    <t>Current Revenue Requirement</t>
  </si>
  <si>
    <t>Current Revenue Requirement - Total</t>
  </si>
  <si>
    <t>A</t>
  </si>
  <si>
    <t>Return on Rate Base</t>
  </si>
  <si>
    <t>Incremental Capital</t>
  </si>
  <si>
    <t>B</t>
  </si>
  <si>
    <t>Depreciation Expense</t>
  </si>
  <si>
    <t>C</t>
  </si>
  <si>
    <t>Incremental Capital to be included in Rate Base</t>
  </si>
  <si>
    <t>Deemed ShortTerm Debt %</t>
  </si>
  <si>
    <t>E</t>
  </si>
  <si>
    <t>G = D * E</t>
  </si>
  <si>
    <t>Deemed Long Term Debt %</t>
  </si>
  <si>
    <t>F</t>
  </si>
  <si>
    <t>H = D * F</t>
  </si>
  <si>
    <t>Short Term Interest</t>
  </si>
  <si>
    <t>I</t>
  </si>
  <si>
    <t>K = G * I</t>
  </si>
  <si>
    <t>Long Term Interest</t>
  </si>
  <si>
    <t>J</t>
  </si>
  <si>
    <t>L = H * J</t>
  </si>
  <si>
    <t>Return on Rate Base - Interest</t>
  </si>
  <si>
    <t>M = K + L</t>
  </si>
  <si>
    <t>Deemed Equity %</t>
  </si>
  <si>
    <t>N</t>
  </si>
  <si>
    <t>P = D * N</t>
  </si>
  <si>
    <t>Return on Rate Base -Equity</t>
  </si>
  <si>
    <t>O</t>
  </si>
  <si>
    <t>Q = P * O</t>
  </si>
  <si>
    <t>Return on Rate Base - Total</t>
  </si>
  <si>
    <t>R = M + Q</t>
  </si>
  <si>
    <t>Amortization Expense</t>
  </si>
  <si>
    <t>Amortization Expense - Incremental</t>
  </si>
  <si>
    <t>S</t>
  </si>
  <si>
    <t>Grossed up PIL's</t>
  </si>
  <si>
    <t>Regulatory Taxable Income</t>
  </si>
  <si>
    <t xml:space="preserve">T </t>
  </si>
  <si>
    <t>Add Back Amortization Expense</t>
  </si>
  <si>
    <t>U</t>
  </si>
  <si>
    <t>Deduct CCA</t>
  </si>
  <si>
    <t>V</t>
  </si>
  <si>
    <t>Incremental Taxable Income</t>
  </si>
  <si>
    <t>W = T + U - V</t>
  </si>
  <si>
    <t>Current Tax Rate</t>
  </si>
  <si>
    <t>X</t>
  </si>
  <si>
    <t>PIL's Before Gross Up</t>
  </si>
  <si>
    <t>Y = W * X</t>
  </si>
  <si>
    <t>Incremental Grossed Up PIL's</t>
  </si>
  <si>
    <t xml:space="preserve">Z = Y / ( 1 - X ) </t>
  </si>
  <si>
    <t>Ontario Capital Tax</t>
  </si>
  <si>
    <t>Incremental Capital CAPEX</t>
  </si>
  <si>
    <t>AA</t>
  </si>
  <si>
    <t>Less : Available Capital Exemption (if any)</t>
  </si>
  <si>
    <t>AB</t>
  </si>
  <si>
    <t>Incremental Capital CAPEX subject to OCT</t>
  </si>
  <si>
    <t>AC = AA - AB</t>
  </si>
  <si>
    <t>Ontario Capital Tax Rate (F1.1 Z-Factor Tax Changes)</t>
  </si>
  <si>
    <t>AD</t>
  </si>
  <si>
    <t>Incremental Ontario Capital Tax</t>
  </si>
  <si>
    <t>AE = AC * AD</t>
  </si>
  <si>
    <t>Incremental Revenue Requirement</t>
  </si>
  <si>
    <t>Q</t>
  </si>
  <si>
    <t>Amortization Expense - Total</t>
  </si>
  <si>
    <t>Z</t>
  </si>
  <si>
    <t>AC</t>
  </si>
  <si>
    <t>AD = AA + AB + AC</t>
  </si>
  <si>
    <t>Rate Class</t>
  </si>
  <si>
    <t>Service Charge % Revenue</t>
  </si>
  <si>
    <t>Distribution Volumetric Rate % Revenue kWh</t>
  </si>
  <si>
    <t>Distribution Volumetric Rate % Revenue kW</t>
  </si>
  <si>
    <t>Service Charge Revenue</t>
  </si>
  <si>
    <t>Distribution Volumetric Rate Revenue kWh</t>
  </si>
  <si>
    <t>Distribution Volumetric Rate Revenue kW</t>
  </si>
  <si>
    <t>Total Revenue by Rate Class</t>
  </si>
  <si>
    <t>Billed Customers or Connections</t>
  </si>
  <si>
    <t>Billed kWh</t>
  </si>
  <si>
    <t>Billed kW</t>
  </si>
  <si>
    <t>Service Charge Rate Rider</t>
  </si>
  <si>
    <t>Distribution Volumetric Rate kWh Rate Rider</t>
  </si>
  <si>
    <t>Distribution Volumetric Rate kW Rate Rider</t>
  </si>
  <si>
    <t>From Sheet 8</t>
  </si>
  <si>
    <t>From Sheet 4</t>
  </si>
  <si>
    <t>Col F / Col K / 12</t>
  </si>
  <si>
    <t>Col G / Col L</t>
  </si>
  <si>
    <t>Col H / Col M</t>
  </si>
  <si>
    <t>RESIDENTIAL</t>
  </si>
  <si>
    <t>GENERAL SERVICE LESS THAN 50 KW</t>
  </si>
  <si>
    <t>GENERAL SERVICE 50 TO 999 KW</t>
  </si>
  <si>
    <t>GENERAL SERVICE 1,000 TO 4,999 KW</t>
  </si>
  <si>
    <t>UNMETERED SCATTERED LOAD</t>
  </si>
  <si>
    <t>SENTINEL LIGHTING</t>
  </si>
  <si>
    <t>STREET LIGHTING</t>
  </si>
  <si>
    <t>Total</t>
  </si>
  <si>
    <t>Rate Rider Calculation</t>
  </si>
  <si>
    <t>Col  D* Col I total</t>
  </si>
  <si>
    <t>Col  E* Col I total</t>
  </si>
  <si>
    <t>Col C * Col I total</t>
  </si>
  <si>
    <t>Total Claim</t>
  </si>
  <si>
    <t>CCA</t>
  </si>
  <si>
    <t>Eligible Incremental Capital for ACM/ICM Recovery</t>
  </si>
  <si>
    <t>Eligible for ACM / ICM</t>
  </si>
  <si>
    <t>D = B - C/2</t>
  </si>
  <si>
    <t>Incremental OM&amp;A</t>
  </si>
  <si>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To assess the combined effects of the shift to fixed rates and other bill impacts associated with changes in the cost of distribution service, applicants are to include a total bill impact for a residential customer at the distributor’s 10th consumption percentile (In other words, 10% of a distributor’s residential customers consume at or less than this level of consumption on a monthly basis). Refer to section 3.2.3 of the Chapter 3 Filing Requirements For Electricity Distribution Rate Applications.</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through end of May 2017 of $0.1101/kWh (IESO's Monthly Market Report for May 2017, page 22)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</si>
  <si>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</si>
  <si>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</si>
  <si>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</si>
  <si>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</si>
  <si>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</si>
  <si>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</si>
  <si>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</si>
  <si>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</si>
  <si>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</si>
  <si>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</si>
  <si>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</si>
  <si>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RESIDENTIAL SERVICE CLASSIFICATION</t>
  </si>
  <si>
    <t>RPP</t>
  </si>
  <si>
    <t>N/A</t>
  </si>
  <si>
    <t>GENERAL SERVICE LESS THAN 50 KW SERVICE CLASSIFICATION</t>
  </si>
  <si>
    <t>GENERAL SERVICE 50 TO 999 KW SERVICE CLASSIFICATION</t>
  </si>
  <si>
    <t>Non-RPP (Other)</t>
  </si>
  <si>
    <t>DEMAND</t>
  </si>
  <si>
    <t>GENERAL SERVICE 1,000 TO 4,999 KW SERVICE CLASSIFICATION</t>
  </si>
  <si>
    <t>DEMAND - INTERVAL</t>
  </si>
  <si>
    <t>UNMETERED SCATTERED LOAD SERVICE CLASSIFICATION</t>
  </si>
  <si>
    <t>SENTINEL LIGHTING SERVICE CLASSIFICATION</t>
  </si>
  <si>
    <t>STREET LIGHTING SERVICE CLASSIFICATION</t>
  </si>
  <si>
    <t>Add additional scenarios if required</t>
  </si>
  <si>
    <t>Table 2</t>
  </si>
  <si>
    <t>Sub-Total</t>
  </si>
  <si>
    <t>Total Bill</t>
  </si>
  <si>
    <t>$</t>
  </si>
  <si>
    <t>%</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</si>
  <si>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</si>
  <si>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</si>
  <si>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</si>
  <si>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</si>
  <si>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</si>
  <si>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</si>
  <si>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</si>
  <si>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</si>
  <si>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</si>
  <si>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</si>
  <si>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</si>
  <si>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</si>
  <si>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</si>
  <si>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</si>
  <si>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</si>
  <si>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</si>
  <si>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</si>
  <si>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</si>
  <si>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</si>
  <si>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</si>
  <si>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</si>
  <si>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</si>
  <si>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</si>
  <si>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ST_A</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</si>
  <si>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</si>
  <si>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</si>
  <si>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</si>
  <si>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</si>
  <si>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</si>
  <si>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</si>
  <si>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</si>
  <si>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</si>
  <si>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</si>
  <si>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ST_B</t>
  </si>
  <si>
    <t>Sub-Total B - Distribution (includes Sub-Total A)</t>
  </si>
  <si>
    <t>RTSR - Network</t>
  </si>
  <si>
    <t>RTSR - Connection and/or Line and Transformation Connection</t>
  </si>
  <si>
    <t>ST_C</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</si>
  <si>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</si>
  <si>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</si>
  <si>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</si>
  <si>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</si>
  <si>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</si>
  <si>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</si>
  <si>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</si>
  <si>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</si>
  <si>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t>
  </si>
  <si>
    <t>Non-RPP Retailer Avg. Price</t>
  </si>
  <si>
    <t>Average IESO Wholesale Market Price</t>
  </si>
  <si>
    <t>Total Bill on TOU (before Taxes)</t>
  </si>
  <si>
    <t>HST</t>
  </si>
  <si>
    <t>8% Rebate</t>
  </si>
  <si>
    <t>RPP_TOTAL</t>
  </si>
  <si>
    <t>Total Bill on TOU</t>
  </si>
  <si>
    <t>Total Bill on Non-RPP Avg. Price</t>
  </si>
  <si>
    <t>Non-RPP (Retailer)_TOTAL</t>
  </si>
  <si>
    <t>Total Bill on Average IESO Wholesale Market Price</t>
  </si>
  <si>
    <t>Non-RPP (Other)_TOTAL</t>
  </si>
  <si>
    <t>Volumes</t>
  </si>
  <si>
    <t>kWhs</t>
  </si>
  <si>
    <t>kWs</t>
  </si>
  <si>
    <t>Residential - Time of Use</t>
  </si>
  <si>
    <t>General Service Less Than 50 kW</t>
  </si>
  <si>
    <t>General Service 50 to 999 kW</t>
  </si>
  <si>
    <t>General Service 1,000 to 4,999 kW - Interval Meters</t>
  </si>
  <si>
    <t>Unmetered Scattered Load</t>
  </si>
  <si>
    <t>Sentinel Lighting</t>
  </si>
  <si>
    <t>Street Lighting</t>
  </si>
  <si>
    <t>% Change (IRM Only)</t>
  </si>
  <si>
    <t>% Change (ICM Only)</t>
  </si>
  <si>
    <t>% Change (IRM &amp; ICM)</t>
  </si>
  <si>
    <t>Summary of Potential Total Bill Impacts</t>
  </si>
  <si>
    <t>Total OM&amp;A</t>
  </si>
  <si>
    <t>Removal of GA rate rider</t>
  </si>
  <si>
    <t>% Change (IRM excluding GA Rate Rider)</t>
  </si>
  <si>
    <t>GA rate rider only</t>
  </si>
  <si>
    <t>% Change (IRM-excluding GA Rate Riders &amp; ICM )</t>
  </si>
  <si>
    <t>% Change - GA Rate Rider Only</t>
  </si>
  <si>
    <t>Training Costs1</t>
  </si>
  <si>
    <t>TS Monitoring Costs TS Communication Costs2</t>
  </si>
  <si>
    <t>Property taxes</t>
  </si>
  <si>
    <t>Insurance &amp; property protection</t>
  </si>
  <si>
    <t>SCADA maintenance</t>
  </si>
  <si>
    <t>Station maintenance3</t>
  </si>
  <si>
    <t>January 1, 2020 to December 31, 2020</t>
  </si>
  <si>
    <t>April 2019 to December 31,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</si>
</sst>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0.00_-;\-&quot;$&quot;* #,##0.00_-;_-&quot;$&quot;* &quot;-&quot;??_-;_-@_-"/>
    <numFmt numFmtId="43" formatCode="_-* #,##0.00_-;\-* #,##0.00_-;_-* &quot;-&quot;??_-;_-@_-"/>
    <numFmt numFmtId="164" formatCode="_(&quot;$&quot;* #,##0.00_);_(&quot;$&quot;* \(#,##0.00\);_(&quot;$&quot;* &quot;-&quot;??_);_(@_)"/>
    <numFmt numFmtId="165" formatCode="_(&quot;$&quot;* #,##0_);_(&quot;$&quot;* \(#,##0\);_(&quot;$&quot;* &quot;-&quot;??_);_(@_)"/>
    <numFmt numFmtId="166" formatCode="_-* #,##0_-;\-* #,##0_-;_-* &quot;-&quot;??_-;_-@_-"/>
    <numFmt numFmtId="167" formatCode="_(&quot;$&quot;* #,##0.0000_);_(&quot;$&quot;* \(#,##0.0000\);_(&quot;$&quot;* &quot;-&quot;??_);_(@_)"/>
    <numFmt numFmtId="168" formatCode="_-&quot;$&quot;* #,##0_-;\-&quot;$&quot;* #,##0_-;_-&quot;$&quot;* &quot;-&quot;??_-;_-@_-"/>
    <numFmt numFmtId="169" formatCode="&quot;$&quot;#,##0_);\(&quot;$&quot;#,##0\)"/>
    <numFmt numFmtId="170" formatCode="_(* #,##0.0_);_(* \(#,##0.0\);_(* &quot;-&quot;??_);_(@_)"/>
    <numFmt numFmtId="171" formatCode="#,##0.0"/>
    <numFmt numFmtId="172" formatCode="mm/dd/yyyy"/>
    <numFmt numFmtId="173" formatCode="0\-0"/>
    <numFmt numFmtId="174" formatCode="##\-#"/>
    <numFmt numFmtId="175" formatCode="_(* #,##0_);_(* \(#,##0\);_(* &quot;-&quot;??_);_(@_)"/>
    <numFmt numFmtId="176" formatCode="&quot;£ &quot;#,##0.00;[Red]\-&quot;£ &quot;#,##0.00"/>
    <numFmt numFmtId="177" formatCode="0.0000"/>
    <numFmt numFmtId="178" formatCode="0.0%"/>
    <numFmt numFmtId="179" formatCode="_-&quot;$&quot;* #,##0.0000_-;\-&quot;$&quot;* #,##0.0000_-;_-&quot;$&quot;* &quot;-&quot;??_-;_-@_-"/>
  </numFmts>
  <fonts count="49" x14ac:knownFonts="1">
    <font>
      <sz val="11"/>
      <color theme="1"/>
      <name val="Calibri"/>
      <family val="2"/>
      <scheme val="minor"/>
    </font>
    <font>
      <sz val="11"/>
      <color theme="1"/>
      <name val="Calibri"/>
      <family val="2"/>
      <scheme val="minor"/>
    </font>
    <font>
      <sz val="12"/>
      <name val="Arial"/>
      <family val="2"/>
    </font>
    <font>
      <sz val="11"/>
      <color rgb="FFFF0000"/>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
      <b/>
      <sz val="9"/>
      <color indexed="8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8"/>
      <name val="Arial"/>
      <family val="2"/>
    </font>
    <font>
      <sz val="16"/>
      <color theme="0"/>
      <name val="Algerian"/>
      <family val="5"/>
    </font>
    <font>
      <sz val="16"/>
      <color indexed="12"/>
      <name val="Algerian"/>
      <family val="5"/>
    </font>
    <font>
      <b/>
      <sz val="10"/>
      <name val="Arial"/>
      <family val="2"/>
    </font>
    <font>
      <sz val="14"/>
      <color theme="0"/>
      <name val="Arial"/>
      <family val="2"/>
    </font>
    <font>
      <sz val="14"/>
      <name val="Arial"/>
      <family val="2"/>
    </font>
    <font>
      <sz val="10"/>
      <color theme="0"/>
      <name val="Arial"/>
      <family val="2"/>
    </font>
    <font>
      <b/>
      <sz val="12"/>
      <name val="Arial"/>
      <family val="2"/>
    </font>
    <font>
      <b/>
      <sz val="14"/>
      <name val="Arial"/>
      <family val="2"/>
    </font>
    <font>
      <sz val="9.3000000000000007"/>
      <name val="Arial"/>
      <family val="2"/>
    </font>
    <font>
      <b/>
      <sz val="9.3000000000000007"/>
      <name val="Arial"/>
      <family val="2"/>
    </font>
    <font>
      <b/>
      <i/>
      <sz val="9"/>
      <name val="Arial"/>
      <family val="2"/>
    </font>
    <font>
      <b/>
      <sz val="8"/>
      <name val="Arial"/>
      <family val="2"/>
    </font>
    <font>
      <b/>
      <sz val="10"/>
      <name val="Arial Black"/>
      <family val="2"/>
    </font>
    <font>
      <i/>
      <sz val="10"/>
      <name val="Arial"/>
      <family val="2"/>
    </font>
    <font>
      <b/>
      <sz val="10"/>
      <color rgb="FFFF0000"/>
      <name val="Arial"/>
      <family val="2"/>
    </font>
    <font>
      <b/>
      <sz val="9"/>
      <name val="Arial"/>
      <family val="2"/>
    </font>
    <font>
      <sz val="10"/>
      <color theme="1"/>
      <name val="Arial"/>
      <family val="2"/>
    </font>
    <font>
      <b/>
      <sz val="10"/>
      <color theme="3"/>
      <name val="Arial"/>
      <family val="2"/>
    </font>
    <font>
      <b/>
      <sz val="10"/>
      <color theme="1"/>
      <name val="Arial"/>
      <family val="2"/>
    </font>
    <font>
      <b/>
      <sz val="10"/>
      <name val="Garamond"/>
      <family val="1"/>
    </font>
    <font>
      <b/>
      <sz val="11"/>
      <color theme="1"/>
      <name val="Garamond"/>
      <family val="1"/>
    </font>
    <font>
      <sz val="11"/>
      <color theme="1"/>
      <name val="Garamond"/>
      <family val="1"/>
    </font>
    <font>
      <b/>
      <sz val="11"/>
      <color rgb="FFFF0000"/>
      <name val="Garamond"/>
      <family val="1"/>
    </font>
    <font>
      <b/>
      <sz val="11"/>
      <color rgb="FF0070C0"/>
      <name val="Garamond"/>
      <family val="1"/>
    </font>
    <font>
      <sz val="6"/>
      <color theme="1"/>
      <name val="Calibri"/>
      <family val="2"/>
      <scheme val="minor"/>
    </font>
  </fonts>
  <fills count="53">
    <fill>
      <patternFill patternType="none"/>
    </fill>
    <fill>
      <patternFill patternType="gray125"/>
    </fill>
    <fill>
      <patternFill patternType="solid">
        <fgColor theme="6" tint="0.79998168889431442"/>
        <bgColor indexed="64"/>
      </patternFill>
    </fill>
    <fill>
      <patternFill patternType="solid">
        <fgColor rgb="FF92D05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rgb="FF00FF00"/>
        <bgColor indexed="64"/>
      </patternFill>
    </fill>
    <fill>
      <patternFill patternType="solid">
        <fgColor indexed="9"/>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6" tint="0.39997558519241921"/>
        <bgColor indexed="64"/>
      </patternFill>
    </fill>
  </fills>
  <borders count="55">
    <border>
      <left/>
      <right/>
      <top/>
      <bottom/>
      <diagonal/>
    </border>
    <border>
      <left/>
      <right/>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88">
    <xf numFmtId="0" fontId="0" fillId="0" borderId="0"/>
    <xf numFmtId="164" fontId="1"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70" fontId="22" fillId="0" borderId="0"/>
    <xf numFmtId="171" fontId="22" fillId="0" borderId="0"/>
    <xf numFmtId="172" fontId="22" fillId="0" borderId="0"/>
    <xf numFmtId="173" fontId="22" fillId="0" borderId="0"/>
    <xf numFmtId="3" fontId="22" fillId="0" borderId="0" applyFont="0" applyFill="0" applyBorder="0" applyAlignment="0" applyProtection="0"/>
    <xf numFmtId="169" fontId="22" fillId="0" borderId="0" applyFont="0" applyFill="0" applyBorder="0" applyAlignment="0" applyProtection="0"/>
    <xf numFmtId="14" fontId="22" fillId="0" borderId="0" applyFont="0" applyFill="0" applyBorder="0" applyAlignment="0" applyProtection="0"/>
    <xf numFmtId="2" fontId="22" fillId="0" borderId="0" applyFont="0" applyFill="0" applyBorder="0" applyAlignment="0" applyProtection="0"/>
    <xf numFmtId="38" fontId="23" fillId="38" borderId="0" applyNumberFormat="0" applyBorder="0" applyAlignment="0" applyProtection="0"/>
    <xf numFmtId="10" fontId="23" fillId="39" borderId="25" applyNumberFormat="0" applyBorder="0" applyAlignment="0" applyProtection="0"/>
    <xf numFmtId="174" fontId="22" fillId="0" borderId="0"/>
    <xf numFmtId="175" fontId="22" fillId="0" borderId="0"/>
    <xf numFmtId="176" fontId="22" fillId="0" borderId="0"/>
    <xf numFmtId="10" fontId="22" fillId="0" borderId="0" applyFont="0" applyFill="0" applyBorder="0" applyAlignment="0" applyProtection="0"/>
    <xf numFmtId="170" fontId="22" fillId="0" borderId="0"/>
    <xf numFmtId="174" fontId="22" fillId="0" borderId="0"/>
    <xf numFmtId="170" fontId="22" fillId="0" borderId="0"/>
    <xf numFmtId="174" fontId="22" fillId="0" borderId="0"/>
    <xf numFmtId="0" fontId="22" fillId="0" borderId="0"/>
    <xf numFmtId="170" fontId="22" fillId="0" borderId="0"/>
    <xf numFmtId="172" fontId="22" fillId="0" borderId="0"/>
    <xf numFmtId="174" fontId="22" fillId="0" borderId="0"/>
    <xf numFmtId="170" fontId="22" fillId="0" borderId="0"/>
    <xf numFmtId="174" fontId="22" fillId="0" borderId="0"/>
    <xf numFmtId="44" fontId="22" fillId="0" borderId="0" applyFont="0" applyFill="0" applyBorder="0" applyAlignment="0" applyProtection="0"/>
    <xf numFmtId="9" fontId="22" fillId="0" borderId="0" applyFont="0" applyFill="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37"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13" fillId="8" borderId="0" applyNumberFormat="0" applyBorder="0" applyAlignment="0" applyProtection="0"/>
    <xf numFmtId="0" fontId="17" fillId="11" borderId="19" applyNumberFormat="0" applyAlignment="0" applyProtection="0"/>
    <xf numFmtId="0" fontId="19" fillId="12" borderId="2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0" fontId="12" fillId="7" borderId="0" applyNumberFormat="0" applyBorder="0" applyAlignment="0" applyProtection="0"/>
    <xf numFmtId="0" fontId="9" fillId="0" borderId="16" applyNumberFormat="0" applyFill="0" applyAlignment="0" applyProtection="0"/>
    <xf numFmtId="0" fontId="10" fillId="0" borderId="17" applyNumberFormat="0" applyFill="0" applyAlignment="0" applyProtection="0"/>
    <xf numFmtId="0" fontId="11" fillId="0" borderId="18" applyNumberFormat="0" applyFill="0" applyAlignment="0" applyProtection="0"/>
    <xf numFmtId="0" fontId="11" fillId="0" borderId="0" applyNumberFormat="0" applyFill="0" applyBorder="0" applyAlignment="0" applyProtection="0"/>
    <xf numFmtId="0" fontId="15" fillId="10" borderId="19" applyNumberFormat="0" applyAlignment="0" applyProtection="0"/>
    <xf numFmtId="0" fontId="18" fillId="0" borderId="21" applyNumberFormat="0" applyFill="0" applyAlignment="0" applyProtection="0"/>
    <xf numFmtId="0" fontId="14" fillId="9" borderId="0" applyNumberFormat="0" applyBorder="0" applyAlignment="0" applyProtection="0"/>
    <xf numFmtId="0" fontId="1" fillId="0" borderId="0"/>
    <xf numFmtId="0" fontId="1" fillId="0" borderId="0"/>
    <xf numFmtId="0" fontId="1" fillId="0" borderId="0"/>
    <xf numFmtId="0" fontId="1" fillId="13" borderId="23" applyNumberFormat="0" applyFont="0" applyAlignment="0" applyProtection="0"/>
    <xf numFmtId="0" fontId="16" fillId="11" borderId="20" applyNumberFormat="0" applyAlignment="0" applyProtection="0"/>
    <xf numFmtId="9" fontId="1" fillId="0" borderId="0" applyFont="0" applyFill="0" applyBorder="0" applyAlignment="0" applyProtection="0"/>
    <xf numFmtId="0" fontId="8" fillId="0" borderId="0" applyNumberFormat="0" applyFill="0" applyBorder="0" applyAlignment="0" applyProtection="0"/>
    <xf numFmtId="0" fontId="4" fillId="0" borderId="24" applyNumberFormat="0" applyFill="0" applyAlignment="0" applyProtection="0"/>
    <xf numFmtId="0" fontId="3" fillId="0" borderId="0" applyNumberFormat="0" applyFill="0" applyBorder="0" applyAlignment="0" applyProtection="0"/>
    <xf numFmtId="43" fontId="22" fillId="0" borderId="0" applyFont="0" applyFill="0" applyBorder="0" applyAlignment="0" applyProtection="0"/>
    <xf numFmtId="170" fontId="22" fillId="0" borderId="0"/>
    <xf numFmtId="174" fontId="22" fillId="0" borderId="0"/>
    <xf numFmtId="170" fontId="22" fillId="0" borderId="0"/>
    <xf numFmtId="174" fontId="22" fillId="0" borderId="0"/>
    <xf numFmtId="170" fontId="22" fillId="0" borderId="0"/>
    <xf numFmtId="174" fontId="22" fillId="0" borderId="0"/>
    <xf numFmtId="0" fontId="2" fillId="0" borderId="0"/>
    <xf numFmtId="0" fontId="22" fillId="0" borderId="0"/>
  </cellStyleXfs>
  <cellXfs count="310">
    <xf numFmtId="0" fontId="0" fillId="0" borderId="0" xfId="0"/>
    <xf numFmtId="164" fontId="0" fillId="0" borderId="0" xfId="1" applyFont="1"/>
    <xf numFmtId="165" fontId="0" fillId="0" borderId="0" xfId="1" applyNumberFormat="1" applyFont="1"/>
    <xf numFmtId="164" fontId="0" fillId="0" borderId="0" xfId="0" applyNumberFormat="1"/>
    <xf numFmtId="44" fontId="0" fillId="0" borderId="0" xfId="0" applyNumberFormat="1"/>
    <xf numFmtId="43" fontId="0" fillId="0" borderId="0" xfId="4" applyFont="1"/>
    <xf numFmtId="166" fontId="0" fillId="0" borderId="0" xfId="4" applyNumberFormat="1" applyFont="1"/>
    <xf numFmtId="0" fontId="4" fillId="0" borderId="0" xfId="0" applyFont="1"/>
    <xf numFmtId="0" fontId="0" fillId="0" borderId="0" xfId="0" applyFill="1" applyBorder="1"/>
    <xf numFmtId="0" fontId="0" fillId="0" borderId="0" xfId="0" applyBorder="1"/>
    <xf numFmtId="0" fontId="0" fillId="0" borderId="3" xfId="0" applyBorder="1"/>
    <xf numFmtId="0" fontId="5" fillId="0" borderId="0" xfId="0" applyFont="1"/>
    <xf numFmtId="166" fontId="0" fillId="0" borderId="0" xfId="4" applyNumberFormat="1" applyFont="1" applyBorder="1"/>
    <xf numFmtId="0" fontId="0" fillId="0" borderId="0" xfId="0" applyAlignment="1">
      <alignment vertical="center"/>
    </xf>
    <xf numFmtId="166" fontId="0" fillId="0" borderId="10" xfId="4" applyNumberFormat="1" applyFont="1" applyBorder="1"/>
    <xf numFmtId="9" fontId="0" fillId="0" borderId="0" xfId="5" applyFont="1" applyBorder="1"/>
    <xf numFmtId="0" fontId="6" fillId="0" borderId="0" xfId="0" applyFont="1"/>
    <xf numFmtId="0" fontId="0" fillId="0" borderId="15" xfId="0" applyBorder="1"/>
    <xf numFmtId="165" fontId="0" fillId="0" borderId="15" xfId="1" applyNumberFormat="1" applyFont="1" applyBorder="1"/>
    <xf numFmtId="0" fontId="0" fillId="0" borderId="11" xfId="0" applyBorder="1"/>
    <xf numFmtId="0" fontId="0" fillId="0" borderId="1" xfId="0" applyBorder="1"/>
    <xf numFmtId="165" fontId="0" fillId="0" borderId="1" xfId="1" applyNumberFormat="1" applyFont="1" applyBorder="1"/>
    <xf numFmtId="165" fontId="0" fillId="0" borderId="6" xfId="1" applyNumberFormat="1" applyFont="1" applyBorder="1"/>
    <xf numFmtId="0" fontId="0" fillId="0" borderId="9" xfId="0" applyBorder="1"/>
    <xf numFmtId="165" fontId="0" fillId="0" borderId="0" xfId="1" applyNumberFormat="1" applyFont="1" applyBorder="1"/>
    <xf numFmtId="0" fontId="0" fillId="0" borderId="0" xfId="0" applyAlignment="1">
      <alignment horizontal="center"/>
    </xf>
    <xf numFmtId="0" fontId="0" fillId="0" borderId="8"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4" fillId="6" borderId="7" xfId="0" applyFont="1" applyFill="1" applyBorder="1"/>
    <xf numFmtId="165" fontId="0" fillId="3" borderId="6" xfId="1" applyNumberFormat="1" applyFont="1" applyFill="1" applyBorder="1"/>
    <xf numFmtId="10" fontId="0" fillId="0" borderId="0" xfId="5" applyNumberFormat="1" applyFont="1"/>
    <xf numFmtId="10" fontId="0" fillId="0" borderId="0" xfId="0" applyNumberFormat="1"/>
    <xf numFmtId="10" fontId="3" fillId="0" borderId="0" xfId="0" applyNumberFormat="1" applyFont="1"/>
    <xf numFmtId="10" fontId="0" fillId="0" borderId="3" xfId="5" applyNumberFormat="1" applyFont="1" applyBorder="1"/>
    <xf numFmtId="164" fontId="0" fillId="0" borderId="3" xfId="0" applyNumberFormat="1" applyBorder="1"/>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14" xfId="0" applyFont="1" applyBorder="1" applyAlignment="1">
      <alignment horizontal="center" wrapText="1"/>
    </xf>
    <xf numFmtId="0" fontId="4" fillId="0" borderId="0" xfId="0" applyFont="1" applyAlignment="1">
      <alignment horizontal="center" wrapText="1"/>
    </xf>
    <xf numFmtId="166" fontId="0" fillId="0" borderId="3" xfId="4" applyNumberFormat="1" applyFont="1" applyBorder="1"/>
    <xf numFmtId="0" fontId="4" fillId="0" borderId="3" xfId="0" applyFont="1" applyBorder="1"/>
    <xf numFmtId="0" fontId="0" fillId="5" borderId="0" xfId="0" applyFill="1"/>
    <xf numFmtId="165" fontId="0" fillId="5" borderId="0" xfId="1" applyNumberFormat="1" applyFont="1" applyFill="1"/>
    <xf numFmtId="0" fontId="0" fillId="5" borderId="0" xfId="0" applyFill="1" applyAlignment="1">
      <alignment horizontal="center"/>
    </xf>
    <xf numFmtId="10" fontId="0" fillId="4" borderId="0" xfId="5" applyNumberFormat="1" applyFont="1" applyFill="1"/>
    <xf numFmtId="167" fontId="0" fillId="0" borderId="0" xfId="1" applyNumberFormat="1" applyFont="1"/>
    <xf numFmtId="167" fontId="0" fillId="0" borderId="3" xfId="1" applyNumberFormat="1" applyFont="1" applyBorder="1"/>
    <xf numFmtId="167" fontId="0" fillId="0" borderId="0" xfId="0" applyNumberFormat="1"/>
    <xf numFmtId="0" fontId="4" fillId="6" borderId="9" xfId="0" applyFont="1" applyFill="1" applyBorder="1"/>
    <xf numFmtId="0" fontId="4" fillId="0" borderId="9" xfId="0" applyFont="1" applyFill="1" applyBorder="1"/>
    <xf numFmtId="0" fontId="4" fillId="0" borderId="0" xfId="0" applyFont="1" applyBorder="1" applyAlignment="1">
      <alignment horizontal="center" wrapText="1"/>
    </xf>
    <xf numFmtId="165" fontId="0" fillId="0" borderId="0" xfId="1" applyNumberFormat="1" applyFont="1" applyFill="1" applyBorder="1"/>
    <xf numFmtId="166" fontId="0" fillId="0" borderId="1" xfId="4" applyNumberFormat="1" applyFont="1" applyBorder="1"/>
    <xf numFmtId="165" fontId="0" fillId="0" borderId="1" xfId="1" applyNumberFormat="1" applyFont="1" applyFill="1" applyBorder="1"/>
    <xf numFmtId="0" fontId="0" fillId="0" borderId="1" xfId="0" applyBorder="1" applyAlignment="1">
      <alignment horizontal="center"/>
    </xf>
    <xf numFmtId="165" fontId="4" fillId="0" borderId="0" xfId="1" applyNumberFormat="1" applyFont="1" applyBorder="1" applyAlignment="1">
      <alignment horizontal="center" wrapText="1"/>
    </xf>
    <xf numFmtId="10" fontId="0" fillId="0" borderId="0" xfId="5" applyNumberFormat="1" applyFont="1" applyBorder="1"/>
    <xf numFmtId="168" fontId="0" fillId="0" borderId="0" xfId="1" applyNumberFormat="1" applyFont="1" applyBorder="1"/>
    <xf numFmtId="168" fontId="0" fillId="0" borderId="6" xfId="1" applyNumberFormat="1" applyFont="1" applyFill="1" applyBorder="1"/>
    <xf numFmtId="0" fontId="0" fillId="0" borderId="10" xfId="0" applyFill="1" applyBorder="1" applyAlignment="1">
      <alignment horizontal="center"/>
    </xf>
    <xf numFmtId="0" fontId="22" fillId="41" borderId="0" xfId="24" applyFill="1" applyBorder="1" applyProtection="1"/>
    <xf numFmtId="0" fontId="24" fillId="41" borderId="0" xfId="24" applyFont="1" applyFill="1" applyAlignment="1" applyProtection="1">
      <alignment vertical="top" wrapText="1"/>
    </xf>
    <xf numFmtId="0" fontId="25" fillId="41" borderId="0" xfId="24" applyFont="1" applyFill="1" applyAlignment="1" applyProtection="1">
      <alignment vertical="top" wrapText="1"/>
    </xf>
    <xf numFmtId="0" fontId="26" fillId="0" borderId="0" xfId="24" applyFont="1" applyProtection="1"/>
    <xf numFmtId="0" fontId="23" fillId="0" borderId="0" xfId="24" applyFont="1" applyAlignment="1" applyProtection="1">
      <alignment horizontal="right" vertical="top"/>
    </xf>
    <xf numFmtId="0" fontId="27" fillId="41" borderId="0" xfId="24" applyFont="1" applyFill="1" applyBorder="1" applyAlignment="1" applyProtection="1"/>
    <xf numFmtId="0" fontId="28" fillId="41" borderId="0" xfId="24" applyFont="1" applyFill="1" applyBorder="1" applyAlignment="1" applyProtection="1"/>
    <xf numFmtId="0" fontId="22" fillId="41" borderId="0" xfId="24" applyFill="1" applyBorder="1" applyAlignment="1" applyProtection="1">
      <alignment horizontal="left" indent="1"/>
    </xf>
    <xf numFmtId="0" fontId="29" fillId="41" borderId="0" xfId="24" applyFont="1" applyFill="1" applyBorder="1" applyProtection="1"/>
    <xf numFmtId="0" fontId="30" fillId="41" borderId="0" xfId="24" applyFont="1" applyFill="1" applyBorder="1" applyAlignment="1" applyProtection="1"/>
    <xf numFmtId="0" fontId="22" fillId="0" borderId="0" xfId="24" applyProtection="1"/>
    <xf numFmtId="0" fontId="29" fillId="0" borderId="0" xfId="24" applyFont="1" applyProtection="1"/>
    <xf numFmtId="0" fontId="31" fillId="0" borderId="0" xfId="24" applyFont="1" applyAlignment="1" applyProtection="1"/>
    <xf numFmtId="0" fontId="29" fillId="42" borderId="25" xfId="24" applyFont="1" applyFill="1" applyBorder="1" applyProtection="1"/>
    <xf numFmtId="0" fontId="30" fillId="0" borderId="0" xfId="24" applyFont="1" applyProtection="1"/>
    <xf numFmtId="0" fontId="26" fillId="0" borderId="25" xfId="24" applyFont="1" applyBorder="1" applyAlignment="1" applyProtection="1">
      <alignment horizontal="center" vertical="center"/>
    </xf>
    <xf numFmtId="0" fontId="26" fillId="0" borderId="25" xfId="24" applyFont="1" applyBorder="1" applyAlignment="1" applyProtection="1">
      <alignment horizontal="center" vertical="center" wrapText="1"/>
    </xf>
    <xf numFmtId="0" fontId="26" fillId="43" borderId="25" xfId="24" applyFont="1" applyFill="1" applyBorder="1" applyAlignment="1" applyProtection="1">
      <alignment horizontal="center" vertical="center" wrapText="1"/>
    </xf>
    <xf numFmtId="0" fontId="26" fillId="0" borderId="25" xfId="24" applyFont="1" applyBorder="1" applyAlignment="1" applyProtection="1">
      <alignment horizontal="center" wrapText="1"/>
    </xf>
    <xf numFmtId="0" fontId="29" fillId="44" borderId="0" xfId="24" applyFont="1" applyFill="1" applyProtection="1"/>
    <xf numFmtId="0" fontId="37" fillId="44" borderId="13" xfId="24" applyFont="1" applyFill="1" applyBorder="1" applyAlignment="1" applyProtection="1">
      <alignment vertical="top"/>
      <protection locked="0"/>
    </xf>
    <xf numFmtId="0" fontId="22" fillId="44" borderId="5" xfId="24" applyFont="1" applyFill="1" applyBorder="1" applyAlignment="1" applyProtection="1">
      <alignment vertical="top"/>
      <protection locked="0"/>
    </xf>
    <xf numFmtId="0" fontId="22" fillId="44" borderId="14" xfId="24" applyFont="1" applyFill="1" applyBorder="1" applyAlignment="1" applyProtection="1">
      <alignment vertical="top"/>
      <protection locked="0"/>
    </xf>
    <xf numFmtId="0" fontId="26" fillId="44" borderId="25" xfId="24" applyFont="1" applyFill="1" applyBorder="1" applyAlignment="1" applyProtection="1">
      <alignment horizontal="center" vertical="center"/>
      <protection locked="0"/>
    </xf>
    <xf numFmtId="0" fontId="22" fillId="45" borderId="25" xfId="24" applyFill="1" applyBorder="1" applyAlignment="1" applyProtection="1">
      <alignment horizontal="center" vertical="center"/>
      <protection locked="0"/>
    </xf>
    <xf numFmtId="177" fontId="22" fillId="2" borderId="25" xfId="24" applyNumberFormat="1" applyFill="1" applyBorder="1" applyAlignment="1" applyProtection="1">
      <alignment horizontal="center" vertical="center"/>
      <protection locked="0"/>
    </xf>
    <xf numFmtId="0" fontId="22" fillId="44" borderId="25" xfId="24" applyFill="1" applyBorder="1" applyAlignment="1" applyProtection="1">
      <alignment horizontal="center" vertical="center"/>
    </xf>
    <xf numFmtId="166" fontId="0" fillId="0" borderId="25" xfId="79" applyNumberFormat="1" applyFont="1" applyBorder="1" applyAlignment="1" applyProtection="1">
      <alignment horizontal="center" vertical="center"/>
      <protection locked="0"/>
    </xf>
    <xf numFmtId="3" fontId="0" fillId="0" borderId="25" xfId="0" applyNumberFormat="1" applyFill="1" applyBorder="1" applyProtection="1">
      <protection locked="0"/>
    </xf>
    <xf numFmtId="3" fontId="0" fillId="46" borderId="25" xfId="0" applyNumberFormat="1" applyFill="1" applyBorder="1" applyProtection="1">
      <protection locked="0"/>
    </xf>
    <xf numFmtId="0" fontId="37" fillId="47" borderId="13" xfId="24" applyFont="1" applyFill="1" applyBorder="1" applyAlignment="1" applyProtection="1">
      <alignment vertical="top"/>
      <protection locked="0"/>
    </xf>
    <xf numFmtId="0" fontId="22" fillId="47" borderId="5" xfId="24" applyFont="1" applyFill="1" applyBorder="1" applyAlignment="1" applyProtection="1">
      <alignment vertical="top"/>
      <protection locked="0"/>
    </xf>
    <xf numFmtId="0" fontId="22" fillId="47" borderId="14" xfId="24" applyFont="1" applyFill="1" applyBorder="1" applyAlignment="1" applyProtection="1">
      <alignment vertical="top"/>
      <protection locked="0"/>
    </xf>
    <xf numFmtId="0" fontId="26" fillId="48" borderId="25" xfId="24" applyFont="1" applyFill="1" applyBorder="1" applyAlignment="1" applyProtection="1">
      <alignment horizontal="center" vertical="center"/>
    </xf>
    <xf numFmtId="0" fontId="22" fillId="0" borderId="25" xfId="24" applyBorder="1" applyAlignment="1" applyProtection="1">
      <alignment horizontal="center" vertical="center"/>
    </xf>
    <xf numFmtId="44" fontId="0" fillId="0" borderId="25" xfId="30" applyFont="1" applyBorder="1" applyAlignment="1" applyProtection="1">
      <alignment horizontal="center" vertical="center"/>
    </xf>
    <xf numFmtId="178" fontId="0" fillId="0" borderId="25" xfId="31" applyNumberFormat="1" applyFont="1" applyBorder="1" applyAlignment="1" applyProtection="1">
      <alignment horizontal="center" vertical="center"/>
    </xf>
    <xf numFmtId="0" fontId="22" fillId="49" borderId="0" xfId="24" applyFill="1" applyProtection="1">
      <protection locked="0"/>
    </xf>
    <xf numFmtId="0" fontId="29" fillId="49" borderId="0" xfId="24" applyFont="1" applyFill="1" applyProtection="1">
      <protection locked="0"/>
    </xf>
    <xf numFmtId="0" fontId="22" fillId="0" borderId="0" xfId="24" applyProtection="1">
      <protection locked="0"/>
    </xf>
    <xf numFmtId="0" fontId="26" fillId="0" borderId="0" xfId="24" applyFont="1" applyAlignment="1" applyProtection="1">
      <alignment horizontal="right" vertical="center"/>
      <protection locked="0"/>
    </xf>
    <xf numFmtId="0" fontId="39" fillId="44" borderId="0" xfId="24" applyFont="1" applyFill="1" applyBorder="1" applyAlignment="1" applyProtection="1">
      <alignment vertical="top"/>
      <protection locked="0"/>
    </xf>
    <xf numFmtId="166" fontId="26" fillId="44" borderId="25" xfId="79" applyNumberFormat="1" applyFont="1" applyFill="1" applyBorder="1" applyAlignment="1" applyProtection="1">
      <alignment horizontal="center" vertical="center"/>
      <protection locked="0"/>
    </xf>
    <xf numFmtId="0" fontId="26" fillId="0" borderId="0" xfId="24" applyFont="1" applyProtection="1">
      <protection locked="0"/>
    </xf>
    <xf numFmtId="0" fontId="22" fillId="0" borderId="0" xfId="24" applyFont="1" applyProtection="1">
      <protection locked="0"/>
    </xf>
    <xf numFmtId="0" fontId="30" fillId="44" borderId="0" xfId="24" applyFont="1" applyFill="1" applyAlignment="1" applyProtection="1">
      <alignment vertical="center"/>
      <protection locked="0"/>
    </xf>
    <xf numFmtId="0" fontId="26" fillId="0" borderId="0" xfId="24" applyFont="1" applyAlignment="1" applyProtection="1">
      <alignment horizontal="left"/>
      <protection locked="0"/>
    </xf>
    <xf numFmtId="0" fontId="26" fillId="0" borderId="0" xfId="24" applyFont="1" applyAlignment="1" applyProtection="1">
      <alignment horizontal="center"/>
      <protection locked="0"/>
    </xf>
    <xf numFmtId="0" fontId="30" fillId="0" borderId="0" xfId="24" applyFont="1" applyAlignment="1" applyProtection="1">
      <alignment horizontal="center"/>
      <protection locked="0"/>
    </xf>
    <xf numFmtId="177" fontId="26" fillId="44" borderId="25" xfId="31" applyNumberFormat="1" applyFont="1" applyFill="1" applyBorder="1" applyProtection="1">
      <protection locked="0"/>
    </xf>
    <xf numFmtId="0" fontId="26" fillId="0" borderId="0" xfId="24" applyFont="1" applyAlignment="1" applyProtection="1">
      <protection locked="0"/>
    </xf>
    <xf numFmtId="0" fontId="26" fillId="0" borderId="42" xfId="24" applyFont="1" applyBorder="1" applyAlignment="1" applyProtection="1">
      <alignment horizontal="center"/>
      <protection locked="0"/>
    </xf>
    <xf numFmtId="0" fontId="26" fillId="0" borderId="10" xfId="24" applyFont="1" applyBorder="1" applyAlignment="1" applyProtection="1">
      <alignment horizontal="center"/>
      <protection locked="0"/>
    </xf>
    <xf numFmtId="0" fontId="26" fillId="0" borderId="8" xfId="24" applyFont="1" applyBorder="1" applyAlignment="1" applyProtection="1">
      <alignment horizontal="center"/>
      <protection locked="0"/>
    </xf>
    <xf numFmtId="0" fontId="26" fillId="0" borderId="41" xfId="24" quotePrefix="1" applyFont="1" applyBorder="1" applyAlignment="1" applyProtection="1">
      <alignment horizontal="center"/>
      <protection locked="0"/>
    </xf>
    <xf numFmtId="0" fontId="26" fillId="0" borderId="12" xfId="24" quotePrefix="1" applyFont="1" applyBorder="1" applyAlignment="1" applyProtection="1">
      <alignment horizontal="center"/>
      <protection locked="0"/>
    </xf>
    <xf numFmtId="0" fontId="29" fillId="44" borderId="0" xfId="24" applyFont="1" applyFill="1" applyProtection="1">
      <protection locked="0"/>
    </xf>
    <xf numFmtId="0" fontId="22" fillId="0" borderId="0" xfId="24" applyBorder="1" applyAlignment="1" applyProtection="1">
      <alignment vertical="top"/>
    </xf>
    <xf numFmtId="0" fontId="22" fillId="44" borderId="0" xfId="24" applyFill="1" applyAlignment="1" applyProtection="1">
      <alignment vertical="top"/>
      <protection locked="0"/>
    </xf>
    <xf numFmtId="164" fontId="26" fillId="44" borderId="43" xfId="30" applyNumberFormat="1" applyFont="1" applyFill="1" applyBorder="1" applyAlignment="1" applyProtection="1">
      <alignment horizontal="left" vertical="center"/>
      <protection locked="0"/>
    </xf>
    <xf numFmtId="0" fontId="22" fillId="0" borderId="43" xfId="24" applyFont="1" applyFill="1" applyBorder="1" applyAlignment="1" applyProtection="1">
      <alignment vertical="center"/>
      <protection locked="0"/>
    </xf>
    <xf numFmtId="44" fontId="40" fillId="0" borderId="10" xfId="30" applyFont="1" applyBorder="1" applyAlignment="1" applyProtection="1">
      <alignment vertical="center"/>
      <protection locked="0"/>
    </xf>
    <xf numFmtId="164" fontId="41" fillId="44" borderId="43" xfId="30" applyNumberFormat="1" applyFont="1" applyFill="1" applyBorder="1" applyAlignment="1" applyProtection="1">
      <alignment horizontal="left" vertical="center"/>
      <protection locked="0"/>
    </xf>
    <xf numFmtId="0" fontId="22" fillId="0" borderId="10" xfId="24" applyFont="1" applyFill="1" applyBorder="1" applyAlignment="1" applyProtection="1">
      <alignment vertical="center"/>
      <protection locked="0"/>
    </xf>
    <xf numFmtId="164" fontId="22" fillId="0" borderId="43" xfId="24" applyNumberFormat="1" applyFont="1" applyBorder="1" applyAlignment="1" applyProtection="1">
      <alignment vertical="center"/>
      <protection locked="0"/>
    </xf>
    <xf numFmtId="10" fontId="40" fillId="0" borderId="10" xfId="31" applyNumberFormat="1" applyFont="1" applyBorder="1" applyAlignment="1" applyProtection="1">
      <alignment vertical="center"/>
      <protection locked="0"/>
    </xf>
    <xf numFmtId="179" fontId="26" fillId="44" borderId="43" xfId="30" applyNumberFormat="1" applyFont="1" applyFill="1" applyBorder="1" applyAlignment="1" applyProtection="1">
      <alignment horizontal="left" vertical="center"/>
      <protection locked="0"/>
    </xf>
    <xf numFmtId="179" fontId="41" fillId="44" borderId="43" xfId="30" applyNumberFormat="1" applyFont="1" applyFill="1" applyBorder="1" applyAlignment="1" applyProtection="1">
      <alignment horizontal="left" vertical="center"/>
      <protection locked="0"/>
    </xf>
    <xf numFmtId="0" fontId="22" fillId="0" borderId="0" xfId="24" applyFill="1" applyBorder="1" applyAlignment="1" applyProtection="1">
      <alignment vertical="top"/>
    </xf>
    <xf numFmtId="0" fontId="22" fillId="0" borderId="0" xfId="24" applyFont="1" applyFill="1" applyProtection="1">
      <protection locked="0"/>
    </xf>
    <xf numFmtId="0" fontId="26" fillId="48" borderId="13" xfId="24" applyFont="1" applyFill="1" applyBorder="1" applyAlignment="1" applyProtection="1">
      <alignment vertical="top"/>
      <protection locked="0"/>
    </xf>
    <xf numFmtId="0" fontId="22" fillId="48" borderId="5" xfId="24" applyFill="1" applyBorder="1" applyAlignment="1" applyProtection="1">
      <alignment vertical="top"/>
      <protection locked="0"/>
    </xf>
    <xf numFmtId="179" fontId="26" fillId="48" borderId="25" xfId="30" applyNumberFormat="1" applyFont="1" applyFill="1" applyBorder="1" applyAlignment="1" applyProtection="1">
      <alignment horizontal="left" vertical="center"/>
      <protection locked="0"/>
    </xf>
    <xf numFmtId="0" fontId="26" fillId="48" borderId="25" xfId="24" applyFont="1" applyFill="1" applyBorder="1" applyAlignment="1" applyProtection="1">
      <alignment vertical="center"/>
      <protection locked="0"/>
    </xf>
    <xf numFmtId="44" fontId="42" fillId="48" borderId="14" xfId="30" applyFont="1" applyFill="1" applyBorder="1" applyAlignment="1" applyProtection="1">
      <alignment vertical="center"/>
      <protection locked="0"/>
    </xf>
    <xf numFmtId="179" fontId="41" fillId="48" borderId="25" xfId="30" applyNumberFormat="1" applyFont="1" applyFill="1" applyBorder="1" applyAlignment="1" applyProtection="1">
      <alignment horizontal="left" vertical="center"/>
      <protection locked="0"/>
    </xf>
    <xf numFmtId="0" fontId="26" fillId="48" borderId="14" xfId="24" applyFont="1" applyFill="1" applyBorder="1" applyAlignment="1" applyProtection="1">
      <alignment vertical="center"/>
      <protection locked="0"/>
    </xf>
    <xf numFmtId="164" fontId="26" fillId="48" borderId="25" xfId="24" applyNumberFormat="1" applyFont="1" applyFill="1" applyBorder="1" applyAlignment="1" applyProtection="1">
      <alignment vertical="center"/>
      <protection locked="0"/>
    </xf>
    <xf numFmtId="10" fontId="26" fillId="48" borderId="14" xfId="31" applyNumberFormat="1" applyFont="1" applyFill="1" applyBorder="1" applyAlignment="1" applyProtection="1">
      <alignment vertical="center"/>
      <protection locked="0"/>
    </xf>
    <xf numFmtId="0" fontId="22" fillId="0" borderId="0" xfId="24" applyFont="1" applyFill="1" applyAlignment="1" applyProtection="1">
      <alignment vertical="top" wrapText="1"/>
    </xf>
    <xf numFmtId="166" fontId="22" fillId="42" borderId="43" xfId="79" applyNumberFormat="1" applyFont="1" applyFill="1" applyBorder="1" applyAlignment="1" applyProtection="1">
      <alignment vertical="center"/>
      <protection locked="0"/>
    </xf>
    <xf numFmtId="166" fontId="22" fillId="0" borderId="43" xfId="79" applyNumberFormat="1" applyFont="1" applyFill="1" applyBorder="1" applyAlignment="1" applyProtection="1">
      <alignment vertical="center"/>
      <protection locked="0"/>
    </xf>
    <xf numFmtId="0" fontId="22" fillId="0" borderId="0" xfId="24" applyFont="1" applyAlignment="1" applyProtection="1">
      <alignment vertical="top"/>
    </xf>
    <xf numFmtId="0" fontId="22" fillId="0" borderId="0" xfId="24" applyFont="1" applyAlignment="1" applyProtection="1">
      <alignment vertical="top" wrapText="1"/>
    </xf>
    <xf numFmtId="44" fontId="26" fillId="44" borderId="43" xfId="30" applyNumberFormat="1" applyFont="1" applyFill="1" applyBorder="1" applyAlignment="1" applyProtection="1">
      <alignment horizontal="left" vertical="center"/>
      <protection locked="0"/>
    </xf>
    <xf numFmtId="44" fontId="41" fillId="44" borderId="43" xfId="30" applyNumberFormat="1" applyFont="1" applyFill="1" applyBorder="1" applyAlignment="1" applyProtection="1">
      <alignment horizontal="left" vertical="center"/>
      <protection locked="0"/>
    </xf>
    <xf numFmtId="0" fontId="26" fillId="48" borderId="13" xfId="24" applyFont="1" applyFill="1" applyBorder="1" applyAlignment="1" applyProtection="1">
      <alignment vertical="top" wrapText="1"/>
      <protection locked="0"/>
    </xf>
    <xf numFmtId="0" fontId="22" fillId="48" borderId="5" xfId="24" applyFill="1" applyBorder="1" applyProtection="1">
      <protection locked="0"/>
    </xf>
    <xf numFmtId="0" fontId="26" fillId="48" borderId="25" xfId="24" applyFont="1" applyFill="1" applyBorder="1" applyAlignment="1" applyProtection="1">
      <alignment horizontal="left" vertical="center"/>
      <protection locked="0"/>
    </xf>
    <xf numFmtId="0" fontId="22" fillId="48" borderId="25" xfId="24" applyFont="1" applyFill="1" applyBorder="1" applyAlignment="1" applyProtection="1">
      <alignment vertical="center"/>
      <protection locked="0"/>
    </xf>
    <xf numFmtId="164" fontId="26" fillId="48" borderId="14" xfId="24" applyNumberFormat="1" applyFont="1" applyFill="1" applyBorder="1" applyAlignment="1" applyProtection="1">
      <alignment vertical="center"/>
      <protection locked="0"/>
    </xf>
    <xf numFmtId="0" fontId="41" fillId="48" borderId="25" xfId="24" applyFont="1" applyFill="1" applyBorder="1" applyAlignment="1" applyProtection="1">
      <alignment horizontal="left" vertical="center"/>
      <protection locked="0"/>
    </xf>
    <xf numFmtId="0" fontId="22" fillId="48" borderId="14" xfId="24" applyFont="1" applyFill="1" applyBorder="1" applyAlignment="1" applyProtection="1">
      <alignment vertical="center"/>
      <protection locked="0"/>
    </xf>
    <xf numFmtId="0" fontId="22" fillId="0" borderId="0" xfId="24" applyAlignment="1" applyProtection="1">
      <alignment vertical="center"/>
    </xf>
    <xf numFmtId="0" fontId="22" fillId="0" borderId="1" xfId="24" applyBorder="1" applyAlignment="1" applyProtection="1">
      <alignment vertical="center" wrapText="1"/>
    </xf>
    <xf numFmtId="0" fontId="22" fillId="0" borderId="0" xfId="24" applyAlignment="1" applyProtection="1">
      <alignment vertical="top" wrapText="1"/>
      <protection locked="0"/>
    </xf>
    <xf numFmtId="44" fontId="22" fillId="0" borderId="10" xfId="30" applyFont="1" applyBorder="1" applyAlignment="1" applyProtection="1">
      <alignment vertical="center"/>
      <protection locked="0"/>
    </xf>
    <xf numFmtId="0" fontId="22" fillId="0" borderId="0" xfId="24" applyAlignment="1" applyProtection="1">
      <alignment vertical="top"/>
      <protection locked="0"/>
    </xf>
    <xf numFmtId="0" fontId="22" fillId="0" borderId="0" xfId="24" applyFont="1" applyAlignment="1" applyProtection="1">
      <alignment vertical="top"/>
      <protection locked="0"/>
    </xf>
    <xf numFmtId="179" fontId="26" fillId="0" borderId="43" xfId="30" applyNumberFormat="1" applyFont="1" applyFill="1" applyBorder="1" applyAlignment="1" applyProtection="1">
      <alignment horizontal="left" vertical="center"/>
      <protection locked="0"/>
    </xf>
    <xf numFmtId="166" fontId="22" fillId="44" borderId="43" xfId="79" applyNumberFormat="1" applyFont="1" applyFill="1" applyBorder="1" applyAlignment="1" applyProtection="1">
      <alignment vertical="center"/>
      <protection locked="0"/>
    </xf>
    <xf numFmtId="179" fontId="41" fillId="0" borderId="43" xfId="30" applyNumberFormat="1" applyFont="1" applyFill="1" applyBorder="1" applyAlignment="1" applyProtection="1">
      <alignment horizontal="left" vertical="center"/>
      <protection locked="0"/>
    </xf>
    <xf numFmtId="179" fontId="26" fillId="2" borderId="43" xfId="30" applyNumberFormat="1" applyFont="1" applyFill="1" applyBorder="1" applyAlignment="1" applyProtection="1">
      <alignment horizontal="left" vertical="center"/>
      <protection locked="0"/>
    </xf>
    <xf numFmtId="179" fontId="41" fillId="2" borderId="43" xfId="30" applyNumberFormat="1" applyFont="1" applyFill="1" applyBorder="1" applyAlignment="1" applyProtection="1">
      <alignment horizontal="left" vertical="center"/>
      <protection locked="0"/>
    </xf>
    <xf numFmtId="0" fontId="22" fillId="50" borderId="27" xfId="24" applyFont="1" applyFill="1" applyBorder="1" applyProtection="1">
      <protection locked="0"/>
    </xf>
    <xf numFmtId="0" fontId="22" fillId="50" borderId="28" xfId="24" applyFill="1" applyBorder="1" applyAlignment="1" applyProtection="1">
      <alignment vertical="top"/>
      <protection locked="0"/>
    </xf>
    <xf numFmtId="179" fontId="22" fillId="50" borderId="34" xfId="30" applyNumberFormat="1" applyFont="1" applyFill="1" applyBorder="1" applyAlignment="1" applyProtection="1">
      <alignment vertical="top"/>
      <protection locked="0"/>
    </xf>
    <xf numFmtId="0" fontId="22" fillId="50" borderId="44" xfId="24" applyFont="1" applyFill="1" applyBorder="1" applyAlignment="1" applyProtection="1">
      <alignment vertical="center"/>
      <protection locked="0"/>
    </xf>
    <xf numFmtId="44" fontId="22" fillId="50" borderId="28" xfId="30" applyFont="1" applyFill="1" applyBorder="1" applyAlignment="1" applyProtection="1">
      <alignment vertical="center"/>
      <protection locked="0"/>
    </xf>
    <xf numFmtId="0" fontId="22" fillId="50" borderId="34" xfId="24" applyFont="1" applyFill="1" applyBorder="1" applyAlignment="1" applyProtection="1">
      <alignment vertical="center"/>
      <protection locked="0"/>
    </xf>
    <xf numFmtId="164" fontId="22" fillId="50" borderId="34" xfId="24" applyNumberFormat="1" applyFont="1" applyFill="1" applyBorder="1" applyAlignment="1" applyProtection="1">
      <alignment vertical="center"/>
      <protection locked="0"/>
    </xf>
    <xf numFmtId="10" fontId="22" fillId="50" borderId="29" xfId="31" applyNumberFormat="1" applyFont="1" applyFill="1" applyBorder="1" applyAlignment="1" applyProtection="1">
      <alignment vertical="center"/>
      <protection locked="0"/>
    </xf>
    <xf numFmtId="0" fontId="26" fillId="0" borderId="0" xfId="24" applyFont="1" applyFill="1" applyAlignment="1" applyProtection="1">
      <alignment vertical="top"/>
      <protection locked="0"/>
    </xf>
    <xf numFmtId="9" fontId="22" fillId="0" borderId="43" xfId="24" applyNumberFormat="1" applyFont="1" applyFill="1" applyBorder="1" applyAlignment="1" applyProtection="1">
      <alignment vertical="top"/>
      <protection locked="0"/>
    </xf>
    <xf numFmtId="9" fontId="22" fillId="0" borderId="0" xfId="24" applyNumberFormat="1" applyFont="1" applyFill="1" applyBorder="1" applyAlignment="1" applyProtection="1">
      <alignment vertical="center"/>
      <protection locked="0"/>
    </xf>
    <xf numFmtId="164" fontId="26" fillId="0" borderId="9" xfId="24" applyNumberFormat="1" applyFont="1" applyFill="1" applyBorder="1" applyAlignment="1" applyProtection="1">
      <alignment vertical="center"/>
      <protection locked="0"/>
    </xf>
    <xf numFmtId="9" fontId="26" fillId="0" borderId="43" xfId="24" applyNumberFormat="1" applyFont="1" applyFill="1" applyBorder="1" applyAlignment="1" applyProtection="1">
      <alignment vertical="center"/>
      <protection locked="0"/>
    </xf>
    <xf numFmtId="164" fontId="26" fillId="0" borderId="43" xfId="24" applyNumberFormat="1" applyFont="1" applyFill="1" applyBorder="1" applyAlignment="1" applyProtection="1">
      <alignment vertical="center"/>
      <protection locked="0"/>
    </xf>
    <xf numFmtId="10" fontId="26" fillId="0" borderId="10" xfId="31" applyNumberFormat="1" applyFont="1" applyFill="1" applyBorder="1" applyAlignment="1" applyProtection="1">
      <alignment vertical="center"/>
      <protection locked="0"/>
    </xf>
    <xf numFmtId="0" fontId="22" fillId="0" borderId="0" xfId="24" applyFont="1" applyFill="1" applyAlignment="1" applyProtection="1">
      <alignment horizontal="left" vertical="top" indent="1"/>
      <protection locked="0"/>
    </xf>
    <xf numFmtId="0" fontId="22" fillId="0" borderId="0" xfId="24" applyFont="1" applyFill="1" applyBorder="1" applyAlignment="1" applyProtection="1">
      <alignment vertical="center"/>
      <protection locked="0"/>
    </xf>
    <xf numFmtId="164" fontId="22" fillId="0" borderId="9" xfId="24" applyNumberFormat="1" applyFont="1" applyFill="1" applyBorder="1" applyAlignment="1" applyProtection="1">
      <alignment vertical="center"/>
      <protection locked="0"/>
    </xf>
    <xf numFmtId="9" fontId="22" fillId="0" borderId="43" xfId="24" applyNumberFormat="1" applyFont="1" applyFill="1" applyBorder="1" applyAlignment="1" applyProtection="1">
      <alignment vertical="center"/>
      <protection locked="0"/>
    </xf>
    <xf numFmtId="164" fontId="22" fillId="0" borderId="43" xfId="24" applyNumberFormat="1" applyFont="1" applyFill="1" applyBorder="1" applyAlignment="1" applyProtection="1">
      <alignment vertical="center"/>
      <protection locked="0"/>
    </xf>
    <xf numFmtId="10" fontId="22" fillId="0" borderId="10" xfId="31" applyNumberFormat="1" applyFont="1" applyFill="1" applyBorder="1" applyAlignment="1" applyProtection="1">
      <alignment vertical="center"/>
      <protection locked="0"/>
    </xf>
    <xf numFmtId="0" fontId="22" fillId="51" borderId="41" xfId="24" applyFont="1" applyFill="1" applyBorder="1" applyAlignment="1" applyProtection="1">
      <alignment vertical="top"/>
      <protection locked="0"/>
    </xf>
    <xf numFmtId="0" fontId="22" fillId="51" borderId="1" xfId="24" applyFont="1" applyFill="1" applyBorder="1" applyAlignment="1" applyProtection="1">
      <alignment vertical="center"/>
      <protection locked="0"/>
    </xf>
    <xf numFmtId="164" fontId="26" fillId="51" borderId="9" xfId="24" applyNumberFormat="1" applyFont="1" applyFill="1" applyBorder="1" applyAlignment="1" applyProtection="1">
      <alignment vertical="center"/>
      <protection locked="0"/>
    </xf>
    <xf numFmtId="0" fontId="26" fillId="51" borderId="41" xfId="24" applyFont="1" applyFill="1" applyBorder="1" applyAlignment="1" applyProtection="1">
      <alignment vertical="center"/>
      <protection locked="0"/>
    </xf>
    <xf numFmtId="164" fontId="26" fillId="51" borderId="11" xfId="24" applyNumberFormat="1" applyFont="1" applyFill="1" applyBorder="1" applyAlignment="1" applyProtection="1">
      <alignment vertical="center"/>
      <protection locked="0"/>
    </xf>
    <xf numFmtId="164" fontId="26" fillId="51" borderId="41" xfId="24" applyNumberFormat="1" applyFont="1" applyFill="1" applyBorder="1" applyAlignment="1" applyProtection="1">
      <alignment vertical="center"/>
      <protection locked="0"/>
    </xf>
    <xf numFmtId="10" fontId="26" fillId="51" borderId="12" xfId="31" applyNumberFormat="1" applyFont="1" applyFill="1" applyBorder="1" applyAlignment="1" applyProtection="1">
      <alignment vertical="center"/>
      <protection locked="0"/>
    </xf>
    <xf numFmtId="0" fontId="22" fillId="51" borderId="43" xfId="24" applyFont="1" applyFill="1" applyBorder="1" applyAlignment="1" applyProtection="1">
      <alignment vertical="top"/>
      <protection locked="0"/>
    </xf>
    <xf numFmtId="0" fontId="22" fillId="51" borderId="0" xfId="24" applyFont="1" applyFill="1" applyBorder="1" applyAlignment="1" applyProtection="1">
      <alignment vertical="center"/>
      <protection locked="0"/>
    </xf>
    <xf numFmtId="0" fontId="26" fillId="51" borderId="43" xfId="24" applyFont="1" applyFill="1" applyBorder="1" applyAlignment="1" applyProtection="1">
      <alignment vertical="center"/>
      <protection locked="0"/>
    </xf>
    <xf numFmtId="164" fontId="26" fillId="51" borderId="43" xfId="24" applyNumberFormat="1" applyFont="1" applyFill="1" applyBorder="1" applyAlignment="1" applyProtection="1">
      <alignment vertical="center"/>
      <protection locked="0"/>
    </xf>
    <xf numFmtId="10" fontId="26" fillId="51" borderId="10" xfId="31" applyNumberFormat="1" applyFont="1" applyFill="1" applyBorder="1" applyAlignment="1" applyProtection="1">
      <alignment vertical="center"/>
      <protection locked="0"/>
    </xf>
    <xf numFmtId="179" fontId="22" fillId="50" borderId="44" xfId="30" applyNumberFormat="1" applyFont="1" applyFill="1" applyBorder="1" applyAlignment="1" applyProtection="1">
      <alignment vertical="top"/>
      <protection locked="0"/>
    </xf>
    <xf numFmtId="0" fontId="22" fillId="50" borderId="28" xfId="24" applyFont="1" applyFill="1" applyBorder="1" applyAlignment="1" applyProtection="1">
      <alignment vertical="center"/>
      <protection locked="0"/>
    </xf>
    <xf numFmtId="44" fontId="22" fillId="50" borderId="45" xfId="30" applyFont="1" applyFill="1" applyBorder="1" applyAlignment="1" applyProtection="1">
      <alignment vertical="center"/>
      <protection locked="0"/>
    </xf>
    <xf numFmtId="164" fontId="22" fillId="50" borderId="44" xfId="24" applyNumberFormat="1" applyFont="1" applyFill="1" applyBorder="1" applyAlignment="1" applyProtection="1">
      <alignment vertical="center"/>
      <protection locked="0"/>
    </xf>
    <xf numFmtId="179" fontId="22" fillId="50" borderId="44" xfId="30" applyNumberFormat="1" applyFill="1" applyBorder="1" applyAlignment="1" applyProtection="1">
      <alignment vertical="top"/>
      <protection locked="0"/>
    </xf>
    <xf numFmtId="0" fontId="22" fillId="50" borderId="28" xfId="24" applyFill="1" applyBorder="1" applyAlignment="1" applyProtection="1">
      <alignment vertical="center"/>
      <protection locked="0"/>
    </xf>
    <xf numFmtId="44" fontId="22" fillId="50" borderId="45" xfId="30" applyFill="1" applyBorder="1" applyAlignment="1" applyProtection="1">
      <alignment vertical="center"/>
      <protection locked="0"/>
    </xf>
    <xf numFmtId="0" fontId="22" fillId="50" borderId="44" xfId="24" applyFill="1" applyBorder="1" applyAlignment="1" applyProtection="1">
      <alignment vertical="center"/>
      <protection locked="0"/>
    </xf>
    <xf numFmtId="164" fontId="22" fillId="50" borderId="44" xfId="24" applyNumberFormat="1" applyFill="1" applyBorder="1" applyAlignment="1" applyProtection="1">
      <alignment vertical="center"/>
      <protection locked="0"/>
    </xf>
    <xf numFmtId="10" fontId="22" fillId="50" borderId="29" xfId="31" applyNumberFormat="1" applyFill="1" applyBorder="1" applyAlignment="1" applyProtection="1">
      <alignment vertical="center"/>
      <protection locked="0"/>
    </xf>
    <xf numFmtId="0" fontId="29" fillId="0" borderId="0" xfId="24" applyFont="1" applyProtection="1">
      <protection locked="0"/>
    </xf>
    <xf numFmtId="0" fontId="44" fillId="0" borderId="31" xfId="0" applyFont="1" applyFill="1" applyBorder="1" applyAlignment="1" applyProtection="1">
      <alignment vertical="center"/>
    </xf>
    <xf numFmtId="0" fontId="44" fillId="0" borderId="32" xfId="0" applyFont="1" applyFill="1" applyBorder="1" applyAlignment="1" applyProtection="1">
      <alignment vertical="center"/>
    </xf>
    <xf numFmtId="0" fontId="44" fillId="0" borderId="32" xfId="0" applyFont="1" applyFill="1" applyBorder="1" applyAlignment="1" applyProtection="1">
      <alignment horizontal="left" vertical="center" wrapText="1"/>
    </xf>
    <xf numFmtId="0" fontId="44" fillId="0" borderId="33" xfId="0" applyFont="1" applyFill="1" applyBorder="1" applyAlignment="1" applyProtection="1">
      <alignment vertical="center"/>
    </xf>
    <xf numFmtId="175" fontId="43" fillId="52" borderId="37" xfId="4" applyNumberFormat="1" applyFont="1" applyFill="1" applyBorder="1" applyAlignment="1" applyProtection="1">
      <alignment horizontal="center" vertical="center" wrapText="1"/>
    </xf>
    <xf numFmtId="175" fontId="43" fillId="52" borderId="4" xfId="4" applyNumberFormat="1" applyFont="1" applyFill="1" applyBorder="1" applyAlignment="1" applyProtection="1">
      <alignment horizontal="center" vertical="center" wrapText="1"/>
    </xf>
    <xf numFmtId="175" fontId="45" fillId="0" borderId="35" xfId="4" applyNumberFormat="1" applyFont="1" applyFill="1" applyBorder="1" applyAlignment="1" applyProtection="1">
      <alignment vertical="center"/>
    </xf>
    <xf numFmtId="175" fontId="45" fillId="0" borderId="30" xfId="4" applyNumberFormat="1" applyFont="1" applyFill="1" applyBorder="1" applyAlignment="1" applyProtection="1">
      <alignment vertical="center"/>
    </xf>
    <xf numFmtId="175" fontId="45" fillId="0" borderId="36" xfId="4" applyNumberFormat="1" applyFont="1" applyFill="1" applyBorder="1" applyAlignment="1" applyProtection="1">
      <alignment vertical="center"/>
    </xf>
    <xf numFmtId="175" fontId="45" fillId="0" borderId="26" xfId="4" applyNumberFormat="1" applyFont="1" applyFill="1" applyBorder="1" applyAlignment="1" applyProtection="1">
      <alignment vertical="center"/>
    </xf>
    <xf numFmtId="175" fontId="45" fillId="0" borderId="37" xfId="4" applyNumberFormat="1" applyFont="1" applyFill="1" applyBorder="1" applyAlignment="1" applyProtection="1">
      <alignment vertical="center"/>
    </xf>
    <xf numFmtId="175" fontId="45" fillId="0" borderId="4" xfId="4" applyNumberFormat="1" applyFont="1" applyFill="1" applyBorder="1" applyAlignment="1" applyProtection="1">
      <alignment vertical="center"/>
    </xf>
    <xf numFmtId="10" fontId="45" fillId="0" borderId="35" xfId="5" applyNumberFormat="1" applyFont="1" applyFill="1" applyBorder="1" applyAlignment="1" applyProtection="1">
      <alignment vertical="center"/>
    </xf>
    <xf numFmtId="10" fontId="45" fillId="0" borderId="36" xfId="5" applyNumberFormat="1" applyFont="1" applyFill="1" applyBorder="1" applyAlignment="1" applyProtection="1">
      <alignment vertical="center"/>
    </xf>
    <xf numFmtId="10" fontId="45" fillId="0" borderId="40" xfId="5" applyNumberFormat="1" applyFont="1" applyFill="1" applyBorder="1" applyAlignment="1" applyProtection="1">
      <alignment vertical="center"/>
    </xf>
    <xf numFmtId="10" fontId="5" fillId="0" borderId="0" xfId="0" applyNumberFormat="1" applyFont="1" applyAlignment="1">
      <alignment vertical="center"/>
    </xf>
    <xf numFmtId="166" fontId="4" fillId="4" borderId="5" xfId="4" applyNumberFormat="1" applyFont="1" applyFill="1" applyBorder="1"/>
    <xf numFmtId="164" fontId="41" fillId="40" borderId="43" xfId="30" applyNumberFormat="1" applyFont="1" applyFill="1" applyBorder="1" applyAlignment="1" applyProtection="1">
      <alignment horizontal="left" vertical="center"/>
      <protection locked="0"/>
    </xf>
    <xf numFmtId="179" fontId="41" fillId="40" borderId="43" xfId="30" applyNumberFormat="1" applyFont="1" applyFill="1" applyBorder="1" applyAlignment="1" applyProtection="1">
      <alignment horizontal="left" vertical="center"/>
      <protection locked="0"/>
    </xf>
    <xf numFmtId="0" fontId="26" fillId="0" borderId="25" xfId="24" applyFont="1" applyBorder="1" applyAlignment="1" applyProtection="1">
      <alignment horizontal="center" vertical="center"/>
    </xf>
    <xf numFmtId="0" fontId="45" fillId="0" borderId="0" xfId="0" applyFont="1"/>
    <xf numFmtId="0" fontId="46" fillId="0" borderId="0" xfId="0" applyFont="1"/>
    <xf numFmtId="0" fontId="47" fillId="0" borderId="0" xfId="0" applyFont="1"/>
    <xf numFmtId="0" fontId="26" fillId="0" borderId="25" xfId="24" applyFont="1" applyBorder="1" applyAlignment="1" applyProtection="1">
      <alignment horizontal="center" vertical="center"/>
    </xf>
    <xf numFmtId="0" fontId="0" fillId="0" borderId="7" xfId="0" applyBorder="1"/>
    <xf numFmtId="0" fontId="4" fillId="0" borderId="9" xfId="0" applyFont="1" applyBorder="1" applyAlignment="1">
      <alignment horizontal="right"/>
    </xf>
    <xf numFmtId="0" fontId="0" fillId="0" borderId="10" xfId="0" applyBorder="1"/>
    <xf numFmtId="0" fontId="4" fillId="0" borderId="0" xfId="0" applyFont="1" applyBorder="1"/>
    <xf numFmtId="0" fontId="0" fillId="0" borderId="12" xfId="0" applyBorder="1"/>
    <xf numFmtId="0" fontId="0" fillId="0" borderId="5" xfId="0" applyBorder="1" applyAlignment="1">
      <alignment horizontal="center"/>
    </xf>
    <xf numFmtId="0" fontId="0" fillId="0" borderId="14" xfId="0" applyBorder="1" applyAlignment="1">
      <alignment horizontal="center" wrapText="1"/>
    </xf>
    <xf numFmtId="166" fontId="4" fillId="4" borderId="14" xfId="4" applyNumberFormat="1" applyFont="1" applyFill="1" applyBorder="1"/>
    <xf numFmtId="10" fontId="45" fillId="0" borderId="12" xfId="5" applyNumberFormat="1" applyFont="1" applyFill="1" applyBorder="1" applyAlignment="1" applyProtection="1">
      <alignment vertical="center"/>
    </xf>
    <xf numFmtId="10" fontId="45" fillId="0" borderId="30" xfId="5" applyNumberFormat="1" applyFont="1" applyFill="1" applyBorder="1" applyAlignment="1">
      <alignment vertical="center"/>
    </xf>
    <xf numFmtId="10" fontId="45" fillId="0" borderId="14" xfId="5" applyNumberFormat="1" applyFont="1" applyFill="1" applyBorder="1" applyAlignment="1" applyProtection="1">
      <alignment vertical="center"/>
    </xf>
    <xf numFmtId="10" fontId="45" fillId="0" borderId="26" xfId="5" applyNumberFormat="1" applyFont="1" applyFill="1" applyBorder="1" applyAlignment="1">
      <alignment vertical="center"/>
    </xf>
    <xf numFmtId="10" fontId="45" fillId="0" borderId="39" xfId="5" applyNumberFormat="1" applyFont="1" applyFill="1" applyBorder="1" applyAlignment="1" applyProtection="1">
      <alignment vertical="center"/>
    </xf>
    <xf numFmtId="10" fontId="45" fillId="0" borderId="4" xfId="5" applyNumberFormat="1" applyFont="1" applyFill="1" applyBorder="1" applyAlignment="1">
      <alignment vertical="center"/>
    </xf>
    <xf numFmtId="10" fontId="45" fillId="0" borderId="1" xfId="5" applyNumberFormat="1" applyFont="1" applyFill="1" applyBorder="1" applyAlignment="1" applyProtection="1">
      <alignment vertical="center"/>
    </xf>
    <xf numFmtId="10" fontId="45" fillId="0" borderId="31" xfId="5" applyNumberFormat="1" applyFont="1" applyFill="1" applyBorder="1" applyAlignment="1">
      <alignment vertical="center"/>
    </xf>
    <xf numFmtId="10" fontId="45" fillId="0" borderId="35" xfId="5" applyNumberFormat="1" applyFont="1" applyFill="1" applyBorder="1" applyAlignment="1">
      <alignment vertical="center"/>
    </xf>
    <xf numFmtId="10" fontId="45" fillId="0" borderId="52" xfId="5" applyNumberFormat="1" applyFont="1" applyFill="1" applyBorder="1" applyAlignment="1">
      <alignment vertical="center"/>
    </xf>
    <xf numFmtId="10" fontId="45" fillId="0" borderId="36" xfId="5" applyNumberFormat="1" applyFont="1" applyFill="1" applyBorder="1" applyAlignment="1">
      <alignment vertical="center"/>
    </xf>
    <xf numFmtId="10" fontId="45" fillId="0" borderId="53" xfId="5" applyNumberFormat="1" applyFont="1" applyFill="1" applyBorder="1" applyAlignment="1">
      <alignment vertical="center"/>
    </xf>
    <xf numFmtId="10" fontId="45" fillId="0" borderId="5" xfId="5" applyNumberFormat="1" applyFont="1" applyFill="1" applyBorder="1" applyAlignment="1" applyProtection="1">
      <alignment vertical="center"/>
    </xf>
    <xf numFmtId="10" fontId="45" fillId="0" borderId="32" xfId="5" applyNumberFormat="1" applyFont="1" applyFill="1" applyBorder="1" applyAlignment="1">
      <alignment vertical="center"/>
    </xf>
    <xf numFmtId="10" fontId="45" fillId="0" borderId="3" xfId="5" applyNumberFormat="1" applyFont="1" applyFill="1" applyBorder="1" applyAlignment="1" applyProtection="1">
      <alignment vertical="center"/>
    </xf>
    <xf numFmtId="10" fontId="45" fillId="0" borderId="38" xfId="5" applyNumberFormat="1" applyFont="1" applyFill="1" applyBorder="1" applyAlignment="1">
      <alignment vertical="center"/>
    </xf>
    <xf numFmtId="10" fontId="45" fillId="0" borderId="37" xfId="5" applyNumberFormat="1" applyFont="1" applyFill="1" applyBorder="1" applyAlignment="1">
      <alignment vertical="center"/>
    </xf>
    <xf numFmtId="10" fontId="45" fillId="0" borderId="54" xfId="5" applyNumberFormat="1" applyFont="1" applyFill="1" applyBorder="1" applyAlignment="1">
      <alignment vertical="center"/>
    </xf>
    <xf numFmtId="165" fontId="0" fillId="0" borderId="3" xfId="1" applyNumberFormat="1" applyFont="1" applyBorder="1"/>
    <xf numFmtId="165" fontId="4" fillId="3" borderId="0" xfId="1" applyNumberFormat="1" applyFont="1" applyFill="1"/>
    <xf numFmtId="0" fontId="4" fillId="0" borderId="0" xfId="0" applyFont="1" applyFill="1" applyBorder="1"/>
    <xf numFmtId="166" fontId="4" fillId="0" borderId="5" xfId="4" applyNumberFormat="1" applyFont="1" applyFill="1" applyBorder="1"/>
    <xf numFmtId="0" fontId="48" fillId="0" borderId="0" xfId="0" applyFont="1"/>
    <xf numFmtId="0" fontId="43" fillId="52" borderId="46" xfId="87" applyFont="1" applyFill="1" applyBorder="1" applyAlignment="1" applyProtection="1">
      <alignment horizontal="center" vertical="center" wrapText="1"/>
    </xf>
    <xf numFmtId="0" fontId="43" fillId="52" borderId="38" xfId="87" applyFont="1" applyFill="1" applyBorder="1" applyAlignment="1" applyProtection="1">
      <alignment horizontal="center" vertical="center" wrapText="1"/>
    </xf>
    <xf numFmtId="0" fontId="43" fillId="52" borderId="47" xfId="87" applyFont="1" applyFill="1" applyBorder="1" applyAlignment="1" applyProtection="1">
      <alignment horizontal="center" vertical="center" wrapText="1"/>
    </xf>
    <xf numFmtId="0" fontId="43" fillId="52" borderId="48" xfId="87" applyFont="1" applyFill="1" applyBorder="1" applyAlignment="1" applyProtection="1">
      <alignment horizontal="center" vertical="center" wrapText="1"/>
    </xf>
    <xf numFmtId="10" fontId="44" fillId="52" borderId="2" xfId="5" applyNumberFormat="1" applyFont="1" applyFill="1" applyBorder="1" applyAlignment="1">
      <alignment horizontal="center" vertical="center" wrapText="1"/>
    </xf>
    <xf numFmtId="10" fontId="44" fillId="52" borderId="4" xfId="5" applyNumberFormat="1" applyFont="1" applyFill="1" applyBorder="1" applyAlignment="1">
      <alignment horizontal="center" vertical="center" wrapText="1"/>
    </xf>
    <xf numFmtId="10" fontId="44" fillId="52" borderId="49" xfId="5" applyNumberFormat="1" applyFont="1" applyFill="1" applyBorder="1" applyAlignment="1">
      <alignment horizontal="center" vertical="center" wrapText="1"/>
    </xf>
    <xf numFmtId="10" fontId="44" fillId="52" borderId="40" xfId="5" applyNumberFormat="1" applyFont="1" applyFill="1" applyBorder="1" applyAlignment="1">
      <alignment horizontal="center" vertical="center" wrapText="1"/>
    </xf>
    <xf numFmtId="10" fontId="44" fillId="52" borderId="50" xfId="5" applyNumberFormat="1" applyFont="1" applyFill="1" applyBorder="1" applyAlignment="1">
      <alignment horizontal="center" vertical="center" wrapText="1"/>
    </xf>
    <xf numFmtId="10" fontId="44" fillId="52" borderId="39" xfId="5" applyNumberFormat="1" applyFont="1" applyFill="1" applyBorder="1" applyAlignment="1">
      <alignment horizontal="center" vertical="center" wrapText="1"/>
    </xf>
    <xf numFmtId="10" fontId="44" fillId="52" borderId="51" xfId="5" applyNumberFormat="1" applyFont="1" applyFill="1" applyBorder="1" applyAlignment="1">
      <alignment horizontal="center" vertical="center" wrapText="1"/>
    </xf>
    <xf numFmtId="10" fontId="44" fillId="52" borderId="3" xfId="5" applyNumberFormat="1" applyFont="1" applyFill="1" applyBorder="1" applyAlignment="1">
      <alignment horizontal="center" vertical="center" wrapText="1"/>
    </xf>
    <xf numFmtId="10" fontId="44" fillId="52" borderId="46" xfId="5" applyNumberFormat="1" applyFont="1" applyFill="1" applyBorder="1" applyAlignment="1">
      <alignment horizontal="center" vertical="center" wrapText="1"/>
    </xf>
    <xf numFmtId="10" fontId="44" fillId="52" borderId="38" xfId="5" applyNumberFormat="1" applyFont="1" applyFill="1" applyBorder="1" applyAlignment="1">
      <alignment horizontal="center" vertical="center" wrapText="1"/>
    </xf>
    <xf numFmtId="0" fontId="26" fillId="0" borderId="13" xfId="24" applyFont="1" applyBorder="1" applyAlignment="1" applyProtection="1">
      <alignment horizontal="left" vertical="center" wrapText="1"/>
    </xf>
    <xf numFmtId="0" fontId="26" fillId="0" borderId="5" xfId="24" applyFont="1" applyBorder="1" applyAlignment="1" applyProtection="1">
      <alignment horizontal="left" vertical="center"/>
    </xf>
    <xf numFmtId="0" fontId="26" fillId="0" borderId="14" xfId="24" applyFont="1" applyBorder="1" applyAlignment="1" applyProtection="1">
      <alignment horizontal="left" vertical="center"/>
    </xf>
    <xf numFmtId="0" fontId="26" fillId="0" borderId="7" xfId="24" applyFont="1" applyBorder="1" applyAlignment="1" applyProtection="1">
      <alignment horizontal="left" vertical="center" wrapText="1"/>
    </xf>
    <xf numFmtId="0" fontId="26" fillId="0" borderId="15" xfId="24" applyFont="1" applyBorder="1" applyAlignment="1" applyProtection="1">
      <alignment horizontal="left" vertical="center"/>
    </xf>
    <xf numFmtId="0" fontId="26" fillId="0" borderId="8" xfId="24" applyFont="1" applyBorder="1" applyAlignment="1" applyProtection="1">
      <alignment horizontal="left" vertical="center"/>
    </xf>
    <xf numFmtId="0" fontId="26" fillId="0" borderId="9" xfId="24" applyFont="1" applyBorder="1" applyAlignment="1" applyProtection="1">
      <alignment horizontal="left" vertical="center"/>
    </xf>
    <xf numFmtId="0" fontId="26" fillId="0" borderId="0" xfId="24" applyFont="1" applyBorder="1" applyAlignment="1" applyProtection="1">
      <alignment horizontal="left" vertical="center"/>
    </xf>
    <xf numFmtId="0" fontId="26" fillId="0" borderId="10" xfId="24" applyFont="1" applyBorder="1" applyAlignment="1" applyProtection="1">
      <alignment horizontal="left" vertical="center"/>
    </xf>
    <xf numFmtId="0" fontId="26" fillId="0" borderId="11" xfId="24" applyFont="1" applyBorder="1" applyAlignment="1" applyProtection="1">
      <alignment horizontal="left" vertical="center"/>
    </xf>
    <xf numFmtId="0" fontId="26" fillId="0" borderId="1" xfId="24" applyFont="1" applyBorder="1" applyAlignment="1" applyProtection="1">
      <alignment horizontal="left" vertical="center"/>
    </xf>
    <xf numFmtId="0" fontId="26" fillId="0" borderId="12" xfId="24" applyFont="1" applyBorder="1" applyAlignment="1" applyProtection="1">
      <alignment horizontal="left" vertical="center"/>
    </xf>
    <xf numFmtId="0" fontId="26" fillId="0" borderId="25" xfId="24" applyFont="1" applyBorder="1" applyAlignment="1" applyProtection="1">
      <alignment horizontal="center" vertical="center"/>
    </xf>
    <xf numFmtId="0" fontId="26" fillId="6" borderId="25" xfId="24" applyFont="1" applyFill="1" applyBorder="1" applyAlignment="1" applyProtection="1">
      <alignment horizontal="center" vertical="center"/>
    </xf>
    <xf numFmtId="0" fontId="26" fillId="5" borderId="25" xfId="24" applyFont="1" applyFill="1" applyBorder="1" applyAlignment="1" applyProtection="1">
      <alignment horizontal="center" vertical="center"/>
    </xf>
    <xf numFmtId="0" fontId="22" fillId="44" borderId="25" xfId="24" applyFont="1" applyFill="1" applyBorder="1" applyAlignment="1" applyProtection="1">
      <alignment horizontal="left" vertical="top"/>
    </xf>
    <xf numFmtId="0" fontId="22" fillId="44" borderId="25" xfId="24" applyFill="1" applyBorder="1" applyAlignment="1" applyProtection="1">
      <alignment horizontal="left" vertical="top"/>
    </xf>
    <xf numFmtId="0" fontId="26" fillId="44" borderId="0" xfId="24" applyFont="1" applyFill="1" applyAlignment="1" applyProtection="1">
      <alignment horizontal="center" wrapText="1"/>
      <protection locked="0"/>
    </xf>
    <xf numFmtId="0" fontId="22" fillId="44" borderId="0" xfId="24" applyFill="1" applyAlignment="1" applyProtection="1">
      <alignment horizontal="center" wrapText="1"/>
      <protection locked="0"/>
    </xf>
    <xf numFmtId="0" fontId="26" fillId="0" borderId="43" xfId="24" applyFont="1" applyFill="1" applyBorder="1" applyAlignment="1" applyProtection="1">
      <alignment horizontal="center" wrapText="1"/>
      <protection locked="0"/>
    </xf>
    <xf numFmtId="0" fontId="22" fillId="0" borderId="41" xfId="24" applyBorder="1" applyAlignment="1" applyProtection="1">
      <alignment wrapText="1"/>
      <protection locked="0"/>
    </xf>
    <xf numFmtId="0" fontId="26" fillId="0" borderId="10" xfId="24" applyFont="1" applyFill="1" applyBorder="1" applyAlignment="1" applyProtection="1">
      <alignment horizontal="center" wrapText="1"/>
      <protection locked="0"/>
    </xf>
    <xf numFmtId="0" fontId="22" fillId="0" borderId="12" xfId="24" applyBorder="1" applyAlignment="1" applyProtection="1">
      <alignment wrapText="1"/>
      <protection locked="0"/>
    </xf>
    <xf numFmtId="0" fontId="26" fillId="51" borderId="0" xfId="24" applyFont="1" applyFill="1" applyAlignment="1" applyProtection="1">
      <alignment horizontal="left" vertical="top" wrapText="1"/>
      <protection locked="0"/>
    </xf>
    <xf numFmtId="0" fontId="38" fillId="44" borderId="25" xfId="24" applyFont="1" applyFill="1" applyBorder="1" applyAlignment="1" applyProtection="1">
      <alignment horizontal="left" vertical="top"/>
      <protection locked="0"/>
    </xf>
    <xf numFmtId="0" fontId="26" fillId="44" borderId="41" xfId="24" applyFont="1" applyFill="1" applyBorder="1" applyAlignment="1" applyProtection="1">
      <alignment horizontal="left" vertical="top"/>
      <protection locked="0"/>
    </xf>
    <xf numFmtId="0" fontId="26" fillId="0" borderId="13" xfId="24" applyFont="1" applyBorder="1" applyAlignment="1" applyProtection="1">
      <alignment horizontal="center"/>
      <protection locked="0"/>
    </xf>
    <xf numFmtId="0" fontId="26" fillId="0" borderId="5" xfId="24" applyFont="1" applyBorder="1" applyAlignment="1" applyProtection="1">
      <alignment horizontal="center"/>
      <protection locked="0"/>
    </xf>
    <xf numFmtId="0" fontId="26" fillId="0" borderId="14" xfId="24" applyFont="1" applyBorder="1" applyAlignment="1" applyProtection="1">
      <alignment horizontal="center"/>
      <protection locked="0"/>
    </xf>
    <xf numFmtId="0" fontId="28" fillId="41" borderId="0" xfId="24" applyFont="1" applyFill="1" applyBorder="1" applyAlignment="1" applyProtection="1">
      <alignment horizontal="left" indent="7"/>
    </xf>
    <xf numFmtId="0" fontId="31" fillId="0" borderId="0" xfId="24" applyFont="1" applyAlignment="1" applyProtection="1">
      <alignment horizontal="center"/>
    </xf>
    <xf numFmtId="0" fontId="32" fillId="0" borderId="0" xfId="24" applyFont="1" applyAlignment="1" applyProtection="1">
      <alignment horizontal="left" vertical="top" wrapText="1"/>
    </xf>
  </cellXfs>
  <cellStyles count="88">
    <cellStyle name="$" xfId="6"/>
    <cellStyle name="$.00" xfId="7"/>
    <cellStyle name="$_9. Rev2Cost_GDPIPI" xfId="25"/>
    <cellStyle name="$_9. Rev2Cost_GDPIPI 2" xfId="82"/>
    <cellStyle name="$_lists" xfId="20"/>
    <cellStyle name="$_lists 2" xfId="80"/>
    <cellStyle name="$_lists_4. Current Monthly Fixed Charge" xfId="22"/>
    <cellStyle name="$_Sheet4" xfId="28"/>
    <cellStyle name="$_Sheet4 2" xfId="84"/>
    <cellStyle name="$M" xfId="8"/>
    <cellStyle name="$M.00" xfId="9"/>
    <cellStyle name="$M_9. Rev2Cost_GDPIPI" xfId="26"/>
    <cellStyle name="20% - Accent1 2" xfId="32"/>
    <cellStyle name="20% - Accent2 2" xfId="33"/>
    <cellStyle name="20% - Accent3 2" xfId="34"/>
    <cellStyle name="20% - Accent4 2" xfId="35"/>
    <cellStyle name="20% - Accent5 2" xfId="36"/>
    <cellStyle name="20% - Accent6 2" xfId="37"/>
    <cellStyle name="40% - Accent1 2" xfId="38"/>
    <cellStyle name="40% - Accent2 2" xfId="39"/>
    <cellStyle name="40% - Accent3 2" xfId="40"/>
    <cellStyle name="40% - Accent4 2" xfId="41"/>
    <cellStyle name="40% - Accent5 2" xfId="42"/>
    <cellStyle name="40% - Accent6 2" xfId="43"/>
    <cellStyle name="60% - Accent1 2" xfId="44"/>
    <cellStyle name="60% - Accent2 2" xfId="45"/>
    <cellStyle name="60% - Accent3 2" xfId="46"/>
    <cellStyle name="60% - Accent4 2" xfId="47"/>
    <cellStyle name="60% - Accent5 2" xfId="48"/>
    <cellStyle name="60% - Accent6 2" xfId="49"/>
    <cellStyle name="Accent1 2" xfId="50"/>
    <cellStyle name="Accent2 2" xfId="51"/>
    <cellStyle name="Accent3 2" xfId="52"/>
    <cellStyle name="Accent4 2" xfId="53"/>
    <cellStyle name="Accent5 2" xfId="54"/>
    <cellStyle name="Accent6 2" xfId="55"/>
    <cellStyle name="Bad 2" xfId="56"/>
    <cellStyle name="Calculation 2" xfId="57"/>
    <cellStyle name="Check Cell 2" xfId="58"/>
    <cellStyle name="Comma" xfId="4" builtinId="3"/>
    <cellStyle name="Comma 2" xfId="59"/>
    <cellStyle name="Comma 3" xfId="60"/>
    <cellStyle name="Comma 4" xfId="79"/>
    <cellStyle name="Comma0" xfId="10"/>
    <cellStyle name="Currency" xfId="1" builtinId="4"/>
    <cellStyle name="Currency 2" xfId="30"/>
    <cellStyle name="Currency 3" xfId="2"/>
    <cellStyle name="Currency0" xfId="11"/>
    <cellStyle name="Date" xfId="12"/>
    <cellStyle name="Explanatory Text 2" xfId="61"/>
    <cellStyle name="Fixed" xfId="13"/>
    <cellStyle name="Good 2" xfId="62"/>
    <cellStyle name="Grey" xfId="14"/>
    <cellStyle name="Heading 1 2" xfId="63"/>
    <cellStyle name="Heading 2 2" xfId="64"/>
    <cellStyle name="Heading 3 2" xfId="65"/>
    <cellStyle name="Heading 4 2" xfId="66"/>
    <cellStyle name="Input [yellow]" xfId="15"/>
    <cellStyle name="Input 2" xfId="67"/>
    <cellStyle name="Linked Cell 2" xfId="68"/>
    <cellStyle name="M" xfId="16"/>
    <cellStyle name="M.00" xfId="17"/>
    <cellStyle name="M_9. Rev2Cost_GDPIPI" xfId="27"/>
    <cellStyle name="M_9. Rev2Cost_GDPIPI 2" xfId="83"/>
    <cellStyle name="M_lists" xfId="21"/>
    <cellStyle name="M_lists 2" xfId="81"/>
    <cellStyle name="M_lists_4. Current Monthly Fixed Charge" xfId="23"/>
    <cellStyle name="M_Sheet4" xfId="29"/>
    <cellStyle name="M_Sheet4 2" xfId="85"/>
    <cellStyle name="Neutral 2" xfId="69"/>
    <cellStyle name="Normal" xfId="0" builtinId="0"/>
    <cellStyle name="Normal - Style1" xfId="18"/>
    <cellStyle name="Normal 2" xfId="24"/>
    <cellStyle name="Normal 3" xfId="70"/>
    <cellStyle name="Normal 4" xfId="71"/>
    <cellStyle name="Normal 5" xfId="72"/>
    <cellStyle name="Normal 6" xfId="86"/>
    <cellStyle name="Normal_6. Cost Allocation for Def-Var" xfId="87"/>
    <cellStyle name="Note 2" xfId="73"/>
    <cellStyle name="Output 2" xfId="74"/>
    <cellStyle name="Percent" xfId="5" builtinId="5"/>
    <cellStyle name="Percent [2]" xfId="19"/>
    <cellStyle name="Percent 2" xfId="31"/>
    <cellStyle name="Percent 3" xfId="75"/>
    <cellStyle name="Percent 4" xfId="3"/>
    <cellStyle name="Title 2" xfId="76"/>
    <cellStyle name="Total 2" xfId="77"/>
    <cellStyle name="Warning Text 2" xfId="78"/>
  </cellStyles>
  <dxfs count="4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28575</xdr:colOff>
      <xdr:row>0</xdr:row>
      <xdr:rowOff>57150</xdr:rowOff>
    </xdr:from>
    <xdr:to>
      <xdr:col>13</xdr:col>
      <xdr:colOff>1438275</xdr:colOff>
      <xdr:row>8</xdr:row>
      <xdr:rowOff>1884</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611225" cy="1676400"/>
        </a:xfrm>
        <a:prstGeom prst="rect">
          <a:avLst/>
        </a:prstGeom>
        <a:ln>
          <a:noFill/>
        </a:ln>
        <a:effectLst>
          <a:softEdge rad="112500"/>
        </a:effectLst>
      </xdr:spPr>
    </xdr:pic>
    <xdr:clientData/>
  </xdr:twoCellAnchor>
  <xdr:twoCellAnchor>
    <xdr:from>
      <xdr:col>2</xdr:col>
      <xdr:colOff>166475</xdr:colOff>
      <xdr:row>2</xdr:row>
      <xdr:rowOff>85254</xdr:rowOff>
    </xdr:from>
    <xdr:to>
      <xdr:col>10</xdr:col>
      <xdr:colOff>794085</xdr:colOff>
      <xdr:row>5</xdr:row>
      <xdr:rowOff>84843</xdr:rowOff>
    </xdr:to>
    <xdr:sp macro="" textlink="">
      <xdr:nvSpPr>
        <xdr:cNvPr id="3" name="Rectangle 2"/>
        <xdr:cNvSpPr/>
      </xdr:nvSpPr>
      <xdr:spPr>
        <a:xfrm>
          <a:off x="166475" y="590079"/>
          <a:ext cx="9609685"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3</xdr:col>
      <xdr:colOff>16357</xdr:colOff>
      <xdr:row>1</xdr:row>
      <xdr:rowOff>6409</xdr:rowOff>
    </xdr:from>
    <xdr:to>
      <xdr:col>3</xdr:col>
      <xdr:colOff>407593</xdr:colOff>
      <xdr:row>3</xdr:row>
      <xdr:rowOff>20475</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358613</xdr:colOff>
      <xdr:row>0</xdr:row>
      <xdr:rowOff>165301</xdr:rowOff>
    </xdr:from>
    <xdr:to>
      <xdr:col>4</xdr:col>
      <xdr:colOff>640216</xdr:colOff>
      <xdr:row>2</xdr:row>
      <xdr:rowOff>135597</xdr:rowOff>
    </xdr:to>
    <xdr:sp macro="" textlink="">
      <xdr:nvSpPr>
        <xdr:cNvPr id="5" name="Rectangle 4"/>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0</xdr:row>
      <xdr:rowOff>57150</xdr:rowOff>
    </xdr:from>
    <xdr:to>
      <xdr:col>13</xdr:col>
      <xdr:colOff>1438275</xdr:colOff>
      <xdr:row>8</xdr:row>
      <xdr:rowOff>1884</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544550" cy="1421109"/>
        </a:xfrm>
        <a:prstGeom prst="rect">
          <a:avLst/>
        </a:prstGeom>
        <a:ln>
          <a:noFill/>
        </a:ln>
        <a:effectLst>
          <a:softEdge rad="112500"/>
        </a:effectLst>
      </xdr:spPr>
    </xdr:pic>
    <xdr:clientData/>
  </xdr:twoCellAnchor>
  <xdr:twoCellAnchor>
    <xdr:from>
      <xdr:col>2</xdr:col>
      <xdr:colOff>166475</xdr:colOff>
      <xdr:row>2</xdr:row>
      <xdr:rowOff>85254</xdr:rowOff>
    </xdr:from>
    <xdr:to>
      <xdr:col>10</xdr:col>
      <xdr:colOff>794085</xdr:colOff>
      <xdr:row>5</xdr:row>
      <xdr:rowOff>84843</xdr:rowOff>
    </xdr:to>
    <xdr:sp macro="" textlink="">
      <xdr:nvSpPr>
        <xdr:cNvPr id="3" name="Rectangle 2"/>
        <xdr:cNvSpPr/>
      </xdr:nvSpPr>
      <xdr:spPr>
        <a:xfrm>
          <a:off x="166475" y="590079"/>
          <a:ext cx="9543010"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3</xdr:col>
      <xdr:colOff>16357</xdr:colOff>
      <xdr:row>1</xdr:row>
      <xdr:rowOff>6409</xdr:rowOff>
    </xdr:from>
    <xdr:to>
      <xdr:col>3</xdr:col>
      <xdr:colOff>407593</xdr:colOff>
      <xdr:row>3</xdr:row>
      <xdr:rowOff>20475</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358613</xdr:colOff>
      <xdr:row>0</xdr:row>
      <xdr:rowOff>165301</xdr:rowOff>
    </xdr:from>
    <xdr:to>
      <xdr:col>4</xdr:col>
      <xdr:colOff>640216</xdr:colOff>
      <xdr:row>2</xdr:row>
      <xdr:rowOff>135597</xdr:rowOff>
    </xdr:to>
    <xdr:sp macro="" textlink="">
      <xdr:nvSpPr>
        <xdr:cNvPr id="5" name="Rectangle 4"/>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RM%20&amp;%20ICM%20Rate%20Generator%20Model%20EB-2018-0037_20181119.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row r="16">
          <cell r="A16" t="str">
            <v>Rate Class</v>
          </cell>
          <cell r="B16" t="str">
            <v>Unit</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6">
          <cell r="D16">
            <v>2.9999999999999997E-4</v>
          </cell>
        </row>
        <row r="17">
          <cell r="D17">
            <v>0.25</v>
          </cell>
        </row>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72"/>
  <sheetViews>
    <sheetView showGridLines="0" tabSelected="1" workbookViewId="0">
      <selection activeCell="I71" sqref="I71"/>
    </sheetView>
  </sheetViews>
  <sheetFormatPr defaultRowHeight="15" x14ac:dyDescent="0.25"/>
  <cols>
    <col min="1" max="1" width="47.7109375" bestFit="1" customWidth="1"/>
    <col min="2" max="2" width="11.5703125" bestFit="1" customWidth="1"/>
    <col min="3" max="3" width="3.5703125" bestFit="1" customWidth="1"/>
    <col min="4" max="4" width="15.28515625" style="2" bestFit="1" customWidth="1"/>
    <col min="5" max="5" width="16.7109375" style="25" bestFit="1" customWidth="1"/>
    <col min="9" max="9" width="14.28515625" bestFit="1" customWidth="1"/>
  </cols>
  <sheetData>
    <row r="1" spans="1:18" ht="18.75" x14ac:dyDescent="0.3">
      <c r="A1" s="16" t="s">
        <v>0</v>
      </c>
      <c r="R1" s="263">
        <v>4343</v>
      </c>
    </row>
    <row r="3" spans="1:18" x14ac:dyDescent="0.25">
      <c r="A3" s="29" t="s">
        <v>1</v>
      </c>
      <c r="B3" s="17"/>
      <c r="C3" s="17"/>
      <c r="D3" s="18"/>
      <c r="E3" s="26"/>
    </row>
    <row r="4" spans="1:18" x14ac:dyDescent="0.25">
      <c r="A4" s="19" t="s">
        <v>2</v>
      </c>
      <c r="B4" s="20"/>
      <c r="C4" s="20"/>
      <c r="D4" s="21">
        <v>10458405.494322199</v>
      </c>
      <c r="E4" s="27" t="s">
        <v>3</v>
      </c>
    </row>
    <row r="6" spans="1:18" x14ac:dyDescent="0.25">
      <c r="A6" s="29" t="s">
        <v>100</v>
      </c>
      <c r="B6" s="17"/>
      <c r="C6" s="17"/>
      <c r="D6" s="18"/>
      <c r="E6" s="26"/>
    </row>
    <row r="7" spans="1:18" ht="30" x14ac:dyDescent="0.25">
      <c r="A7" s="50"/>
      <c r="B7" s="51" t="s">
        <v>98</v>
      </c>
      <c r="C7" s="9"/>
      <c r="D7" s="56" t="s">
        <v>101</v>
      </c>
      <c r="E7" s="28"/>
    </row>
    <row r="8" spans="1:18" x14ac:dyDescent="0.25">
      <c r="A8" s="23" t="s">
        <v>5</v>
      </c>
      <c r="B8" s="12">
        <v>23476441.24722369</v>
      </c>
      <c r="C8" s="9"/>
      <c r="D8" s="24">
        <v>23476441.24722369</v>
      </c>
      <c r="E8" s="28" t="s">
        <v>6</v>
      </c>
    </row>
    <row r="9" spans="1:18" x14ac:dyDescent="0.25">
      <c r="A9" s="23" t="s">
        <v>7</v>
      </c>
      <c r="B9" s="12">
        <v>608788.69215318479</v>
      </c>
      <c r="C9" s="9"/>
      <c r="D9" s="52">
        <f>B9*(D8/B8)</f>
        <v>608788.69215318479</v>
      </c>
      <c r="E9" s="28" t="s">
        <v>8</v>
      </c>
    </row>
    <row r="10" spans="1:18" x14ac:dyDescent="0.25">
      <c r="A10" s="19" t="s">
        <v>99</v>
      </c>
      <c r="B10" s="53">
        <v>1884447.3512634139</v>
      </c>
      <c r="C10" s="20"/>
      <c r="D10" s="54">
        <f>B10*(D8/B8)</f>
        <v>1884447.3512634139</v>
      </c>
      <c r="E10" s="27" t="s">
        <v>41</v>
      </c>
    </row>
    <row r="11" spans="1:18" x14ac:dyDescent="0.25">
      <c r="A11" s="20"/>
      <c r="B11" s="53"/>
      <c r="C11" s="20"/>
      <c r="D11" s="54"/>
      <c r="E11" s="55"/>
    </row>
    <row r="12" spans="1:18" x14ac:dyDescent="0.25">
      <c r="A12" s="49" t="s">
        <v>4</v>
      </c>
      <c r="B12" s="9"/>
      <c r="C12" s="9"/>
      <c r="D12" s="24"/>
      <c r="E12" s="28"/>
    </row>
    <row r="13" spans="1:18" x14ac:dyDescent="0.25">
      <c r="A13" s="50"/>
      <c r="B13" s="51"/>
      <c r="C13" s="9"/>
      <c r="D13" s="24"/>
      <c r="E13" s="28"/>
    </row>
    <row r="14" spans="1:18" x14ac:dyDescent="0.25">
      <c r="A14" s="23" t="s">
        <v>5</v>
      </c>
      <c r="B14" s="12"/>
      <c r="C14" s="9"/>
      <c r="D14" s="24">
        <f>D8</f>
        <v>23476441.24722369</v>
      </c>
      <c r="E14" s="28" t="s">
        <v>6</v>
      </c>
    </row>
    <row r="15" spans="1:18" x14ac:dyDescent="0.25">
      <c r="A15" s="23" t="s">
        <v>7</v>
      </c>
      <c r="B15" s="12"/>
      <c r="C15" s="9"/>
      <c r="D15" s="52">
        <f>D9</f>
        <v>608788.69215318479</v>
      </c>
      <c r="E15" s="28" t="s">
        <v>8</v>
      </c>
    </row>
    <row r="16" spans="1:18" ht="15.75" thickBot="1" x14ac:dyDescent="0.3">
      <c r="A16" s="23" t="s">
        <v>9</v>
      </c>
      <c r="B16" s="9"/>
      <c r="C16" s="9"/>
      <c r="D16" s="59">
        <f>D14-D15/2</f>
        <v>23172046.901147097</v>
      </c>
      <c r="E16" s="60" t="s">
        <v>102</v>
      </c>
    </row>
    <row r="17" spans="1:9" x14ac:dyDescent="0.25">
      <c r="A17" s="23"/>
      <c r="B17" s="9"/>
      <c r="C17" s="9"/>
      <c r="D17" s="24"/>
      <c r="E17" s="28"/>
    </row>
    <row r="18" spans="1:9" x14ac:dyDescent="0.25">
      <c r="A18" s="23" t="s">
        <v>10</v>
      </c>
      <c r="B18" s="15">
        <v>0.04</v>
      </c>
      <c r="C18" s="9" t="s">
        <v>11</v>
      </c>
      <c r="D18" s="24">
        <f>D16*B18</f>
        <v>926881.87604588387</v>
      </c>
      <c r="E18" s="28" t="s">
        <v>12</v>
      </c>
    </row>
    <row r="19" spans="1:9" x14ac:dyDescent="0.25">
      <c r="A19" s="23" t="s">
        <v>13</v>
      </c>
      <c r="B19" s="15">
        <v>0.56000000000000005</v>
      </c>
      <c r="C19" s="9" t="s">
        <v>14</v>
      </c>
      <c r="D19" s="24">
        <f>D16*B19</f>
        <v>12976346.264642376</v>
      </c>
      <c r="E19" s="28" t="s">
        <v>15</v>
      </c>
    </row>
    <row r="20" spans="1:9" x14ac:dyDescent="0.25">
      <c r="A20" s="23"/>
      <c r="B20" s="9"/>
      <c r="C20" s="9"/>
      <c r="D20" s="24"/>
      <c r="E20" s="28"/>
    </row>
    <row r="21" spans="1:9" x14ac:dyDescent="0.25">
      <c r="A21" s="23" t="s">
        <v>16</v>
      </c>
      <c r="B21" s="57">
        <v>1.6500000000000001E-2</v>
      </c>
      <c r="C21" s="9" t="s">
        <v>17</v>
      </c>
      <c r="D21" s="24">
        <f>D18*B21</f>
        <v>15293.550954757084</v>
      </c>
      <c r="E21" s="28" t="s">
        <v>18</v>
      </c>
    </row>
    <row r="22" spans="1:9" x14ac:dyDescent="0.25">
      <c r="A22" s="23" t="s">
        <v>19</v>
      </c>
      <c r="B22" s="57">
        <v>2.8899999999999999E-2</v>
      </c>
      <c r="C22" s="9" t="s">
        <v>20</v>
      </c>
      <c r="D22" s="24">
        <f>D19*B22</f>
        <v>375016.40704816463</v>
      </c>
      <c r="E22" s="28" t="s">
        <v>21</v>
      </c>
    </row>
    <row r="23" spans="1:9" x14ac:dyDescent="0.25">
      <c r="A23" s="23"/>
      <c r="B23" s="9"/>
      <c r="C23" s="9"/>
      <c r="D23" s="24"/>
      <c r="E23" s="28"/>
    </row>
    <row r="24" spans="1:9" ht="15.75" thickBot="1" x14ac:dyDescent="0.3">
      <c r="A24" s="23" t="s">
        <v>22</v>
      </c>
      <c r="B24" s="9"/>
      <c r="C24" s="9"/>
      <c r="D24" s="22">
        <f>SUM(D21:D22)</f>
        <v>390309.95800292172</v>
      </c>
      <c r="E24" s="28" t="s">
        <v>23</v>
      </c>
    </row>
    <row r="25" spans="1:9" x14ac:dyDescent="0.25">
      <c r="A25" s="23"/>
      <c r="B25" s="9"/>
      <c r="C25" s="9"/>
      <c r="D25" s="24"/>
      <c r="E25" s="28"/>
      <c r="I25" s="5"/>
    </row>
    <row r="26" spans="1:9" x14ac:dyDescent="0.25">
      <c r="A26" s="23"/>
      <c r="B26" s="9"/>
      <c r="C26" s="9"/>
      <c r="D26" s="24"/>
      <c r="E26" s="28"/>
    </row>
    <row r="27" spans="1:9" x14ac:dyDescent="0.25">
      <c r="A27" s="23" t="s">
        <v>24</v>
      </c>
      <c r="B27" s="57">
        <v>0.39999999999999991</v>
      </c>
      <c r="C27" s="9" t="s">
        <v>25</v>
      </c>
      <c r="D27" s="58">
        <f>D16*B27</f>
        <v>9268818.7604588363</v>
      </c>
      <c r="E27" s="28" t="s">
        <v>26</v>
      </c>
    </row>
    <row r="28" spans="1:9" x14ac:dyDescent="0.25">
      <c r="A28" s="23"/>
      <c r="B28" s="57"/>
      <c r="C28" s="9"/>
      <c r="D28" s="24"/>
      <c r="E28" s="28"/>
    </row>
    <row r="29" spans="1:9" x14ac:dyDescent="0.25">
      <c r="A29" s="23" t="s">
        <v>27</v>
      </c>
      <c r="B29" s="57">
        <v>9.1899999999999996E-2</v>
      </c>
      <c r="C29" s="9" t="s">
        <v>28</v>
      </c>
      <c r="D29" s="24">
        <f>D27*B29</f>
        <v>851804.44408616703</v>
      </c>
      <c r="E29" s="28" t="s">
        <v>29</v>
      </c>
    </row>
    <row r="30" spans="1:9" x14ac:dyDescent="0.25">
      <c r="A30" s="23"/>
      <c r="B30" s="9"/>
      <c r="C30" s="9"/>
      <c r="D30" s="24"/>
      <c r="E30" s="28"/>
    </row>
    <row r="31" spans="1:9" ht="15.75" thickBot="1" x14ac:dyDescent="0.3">
      <c r="A31" s="23" t="s">
        <v>30</v>
      </c>
      <c r="B31" s="9"/>
      <c r="C31" s="9"/>
      <c r="D31" s="22">
        <f>D24+D29</f>
        <v>1242114.4020890887</v>
      </c>
      <c r="E31" s="28" t="s">
        <v>31</v>
      </c>
    </row>
    <row r="32" spans="1:9" x14ac:dyDescent="0.25">
      <c r="A32" s="19"/>
      <c r="B32" s="20"/>
      <c r="C32" s="20"/>
      <c r="D32" s="21"/>
      <c r="E32" s="27"/>
    </row>
    <row r="34" spans="1:9" x14ac:dyDescent="0.25">
      <c r="A34" s="29" t="s">
        <v>32</v>
      </c>
      <c r="B34" s="17"/>
      <c r="C34" s="17"/>
      <c r="D34" s="18"/>
      <c r="E34" s="26"/>
    </row>
    <row r="35" spans="1:9" x14ac:dyDescent="0.25">
      <c r="A35" s="19" t="s">
        <v>33</v>
      </c>
      <c r="B35" s="20"/>
      <c r="C35" s="20" t="s">
        <v>8</v>
      </c>
      <c r="D35" s="21">
        <f>D15</f>
        <v>608788.69215318479</v>
      </c>
      <c r="E35" s="27" t="s">
        <v>34</v>
      </c>
    </row>
    <row r="37" spans="1:9" x14ac:dyDescent="0.25">
      <c r="A37" s="29" t="s">
        <v>35</v>
      </c>
      <c r="B37" s="17"/>
      <c r="C37" s="17"/>
      <c r="D37" s="18"/>
      <c r="E37" s="26"/>
    </row>
    <row r="38" spans="1:9" x14ac:dyDescent="0.25">
      <c r="A38" s="23" t="s">
        <v>36</v>
      </c>
      <c r="B38" s="9"/>
      <c r="C38" s="9" t="s">
        <v>28</v>
      </c>
      <c r="D38" s="24">
        <f>D29</f>
        <v>851804.44408616703</v>
      </c>
      <c r="E38" s="28" t="s">
        <v>37</v>
      </c>
    </row>
    <row r="39" spans="1:9" x14ac:dyDescent="0.25">
      <c r="A39" s="23"/>
      <c r="B39" s="9"/>
      <c r="C39" s="9"/>
      <c r="D39" s="24"/>
      <c r="E39" s="28"/>
    </row>
    <row r="40" spans="1:9" x14ac:dyDescent="0.25">
      <c r="A40" s="23" t="s">
        <v>38</v>
      </c>
      <c r="B40" s="9"/>
      <c r="C40" s="9" t="s">
        <v>34</v>
      </c>
      <c r="D40" s="24">
        <f>D35</f>
        <v>608788.69215318479</v>
      </c>
      <c r="E40" s="28" t="s">
        <v>39</v>
      </c>
    </row>
    <row r="41" spans="1:9" x14ac:dyDescent="0.25">
      <c r="A41" s="23"/>
      <c r="B41" s="9"/>
      <c r="C41" s="9"/>
      <c r="D41" s="24"/>
      <c r="E41" s="28"/>
    </row>
    <row r="42" spans="1:9" x14ac:dyDescent="0.25">
      <c r="A42" s="23" t="s">
        <v>40</v>
      </c>
      <c r="B42" s="9"/>
      <c r="C42" s="9"/>
      <c r="D42" s="24">
        <f>D10</f>
        <v>1884447.3512634139</v>
      </c>
      <c r="E42" s="28" t="s">
        <v>41</v>
      </c>
      <c r="I42" s="4"/>
    </row>
    <row r="43" spans="1:9" x14ac:dyDescent="0.25">
      <c r="A43" s="23"/>
      <c r="B43" s="9"/>
      <c r="C43" s="9"/>
      <c r="D43" s="24"/>
      <c r="E43" s="28"/>
    </row>
    <row r="44" spans="1:9" ht="15.75" thickBot="1" x14ac:dyDescent="0.3">
      <c r="A44" s="23" t="s">
        <v>42</v>
      </c>
      <c r="B44" s="9"/>
      <c r="C44" s="9"/>
      <c r="D44" s="22">
        <f>D38+D40-D42</f>
        <v>-423854.2150240622</v>
      </c>
      <c r="E44" s="28" t="s">
        <v>43</v>
      </c>
    </row>
    <row r="45" spans="1:9" x14ac:dyDescent="0.25">
      <c r="A45" s="23"/>
      <c r="B45" s="9"/>
      <c r="C45" s="9"/>
      <c r="D45" s="24"/>
      <c r="E45" s="28"/>
    </row>
    <row r="46" spans="1:9" x14ac:dyDescent="0.25">
      <c r="A46" s="23" t="s">
        <v>44</v>
      </c>
      <c r="B46" s="9">
        <v>0.26500000000000001</v>
      </c>
      <c r="C46" s="9" t="s">
        <v>45</v>
      </c>
      <c r="D46" s="24"/>
      <c r="E46" s="28"/>
    </row>
    <row r="47" spans="1:9" x14ac:dyDescent="0.25">
      <c r="A47" s="23"/>
      <c r="B47" s="9"/>
      <c r="C47" s="9"/>
      <c r="D47" s="24"/>
      <c r="E47" s="28"/>
    </row>
    <row r="48" spans="1:9" x14ac:dyDescent="0.25">
      <c r="A48" s="23" t="s">
        <v>46</v>
      </c>
      <c r="B48" s="9"/>
      <c r="C48" s="9"/>
      <c r="D48" s="24">
        <f>D44*B46</f>
        <v>-112321.36698137649</v>
      </c>
      <c r="E48" s="28" t="s">
        <v>47</v>
      </c>
    </row>
    <row r="49" spans="1:5" x14ac:dyDescent="0.25">
      <c r="A49" s="23"/>
      <c r="B49" s="9"/>
      <c r="C49" s="9"/>
      <c r="D49" s="24"/>
      <c r="E49" s="28"/>
    </row>
    <row r="50" spans="1:5" x14ac:dyDescent="0.25">
      <c r="A50" s="23" t="s">
        <v>48</v>
      </c>
      <c r="B50" s="9"/>
      <c r="C50" s="9"/>
      <c r="D50" s="24">
        <f>D48/(1-B46)</f>
        <v>-152818.18636921971</v>
      </c>
      <c r="E50" s="28" t="s">
        <v>49</v>
      </c>
    </row>
    <row r="51" spans="1:5" x14ac:dyDescent="0.25">
      <c r="A51" s="19"/>
      <c r="B51" s="20"/>
      <c r="C51" s="20"/>
      <c r="D51" s="21"/>
      <c r="E51" s="27"/>
    </row>
    <row r="53" spans="1:5" hidden="1" x14ac:dyDescent="0.25">
      <c r="A53" s="42" t="s">
        <v>50</v>
      </c>
      <c r="B53" s="42"/>
      <c r="C53" s="42"/>
      <c r="D53" s="43"/>
      <c r="E53" s="44"/>
    </row>
    <row r="54" spans="1:5" hidden="1" x14ac:dyDescent="0.25">
      <c r="A54" s="42" t="s">
        <v>51</v>
      </c>
      <c r="B54" s="42"/>
      <c r="C54" s="42"/>
      <c r="D54" s="43"/>
      <c r="E54" s="44" t="s">
        <v>52</v>
      </c>
    </row>
    <row r="55" spans="1:5" hidden="1" x14ac:dyDescent="0.25">
      <c r="A55" s="42"/>
      <c r="B55" s="42"/>
      <c r="C55" s="42"/>
      <c r="D55" s="43"/>
      <c r="E55" s="44"/>
    </row>
    <row r="56" spans="1:5" hidden="1" x14ac:dyDescent="0.25">
      <c r="A56" s="42" t="s">
        <v>53</v>
      </c>
      <c r="B56" s="42"/>
      <c r="C56" s="42"/>
      <c r="D56" s="43"/>
      <c r="E56" s="44" t="s">
        <v>54</v>
      </c>
    </row>
    <row r="57" spans="1:5" hidden="1" x14ac:dyDescent="0.25">
      <c r="A57" s="42"/>
      <c r="B57" s="42"/>
      <c r="C57" s="42"/>
      <c r="D57" s="43"/>
      <c r="E57" s="44"/>
    </row>
    <row r="58" spans="1:5" hidden="1" x14ac:dyDescent="0.25">
      <c r="A58" s="42" t="s">
        <v>55</v>
      </c>
      <c r="B58" s="42"/>
      <c r="C58" s="42"/>
      <c r="D58" s="43"/>
      <c r="E58" s="44" t="s">
        <v>56</v>
      </c>
    </row>
    <row r="59" spans="1:5" hidden="1" x14ac:dyDescent="0.25">
      <c r="A59" s="42"/>
      <c r="B59" s="42"/>
      <c r="C59" s="42"/>
      <c r="D59" s="43"/>
      <c r="E59" s="44"/>
    </row>
    <row r="60" spans="1:5" hidden="1" x14ac:dyDescent="0.25">
      <c r="A60" s="42" t="s">
        <v>57</v>
      </c>
      <c r="B60" s="42"/>
      <c r="C60" s="42" t="s">
        <v>58</v>
      </c>
      <c r="D60" s="43"/>
      <c r="E60" s="44"/>
    </row>
    <row r="61" spans="1:5" hidden="1" x14ac:dyDescent="0.25">
      <c r="A61" s="42"/>
      <c r="B61" s="42"/>
      <c r="C61" s="42"/>
      <c r="D61" s="43"/>
      <c r="E61" s="44"/>
    </row>
    <row r="62" spans="1:5" hidden="1" x14ac:dyDescent="0.25">
      <c r="A62" s="42" t="s">
        <v>59</v>
      </c>
      <c r="B62" s="42"/>
      <c r="C62" s="42"/>
      <c r="D62" s="43"/>
      <c r="E62" s="44" t="s">
        <v>60</v>
      </c>
    </row>
    <row r="63" spans="1:5" hidden="1" x14ac:dyDescent="0.25">
      <c r="A63" s="42"/>
      <c r="B63" s="42"/>
      <c r="C63" s="42"/>
      <c r="D63" s="43"/>
      <c r="E63" s="44"/>
    </row>
    <row r="64" spans="1:5" hidden="1" x14ac:dyDescent="0.25"/>
    <row r="65" spans="1:5" x14ac:dyDescent="0.25">
      <c r="A65" s="29" t="s">
        <v>61</v>
      </c>
      <c r="B65" s="17"/>
      <c r="C65" s="17"/>
      <c r="D65" s="18"/>
      <c r="E65" s="26"/>
    </row>
    <row r="66" spans="1:5" x14ac:dyDescent="0.25">
      <c r="A66" s="23" t="s">
        <v>30</v>
      </c>
      <c r="B66" s="9"/>
      <c r="C66" s="9" t="s">
        <v>62</v>
      </c>
      <c r="D66" s="24">
        <f>D31</f>
        <v>1242114.4020890887</v>
      </c>
      <c r="E66" s="28" t="s">
        <v>52</v>
      </c>
    </row>
    <row r="67" spans="1:5" x14ac:dyDescent="0.25">
      <c r="A67" s="23" t="s">
        <v>63</v>
      </c>
      <c r="B67" s="9"/>
      <c r="C67" s="9" t="s">
        <v>34</v>
      </c>
      <c r="D67" s="24">
        <f>D35</f>
        <v>608788.69215318479</v>
      </c>
      <c r="E67" s="28" t="s">
        <v>54</v>
      </c>
    </row>
    <row r="68" spans="1:5" x14ac:dyDescent="0.25">
      <c r="A68" s="23" t="s">
        <v>48</v>
      </c>
      <c r="B68" s="9"/>
      <c r="C68" s="9" t="s">
        <v>64</v>
      </c>
      <c r="D68" s="24">
        <f>D50</f>
        <v>-152818.18636921971</v>
      </c>
      <c r="E68" s="28" t="s">
        <v>65</v>
      </c>
    </row>
    <row r="69" spans="1:5" x14ac:dyDescent="0.25">
      <c r="A69" s="23"/>
      <c r="B69" s="9"/>
      <c r="C69" s="9"/>
      <c r="D69" s="24"/>
      <c r="E69" s="28"/>
    </row>
    <row r="70" spans="1:5" x14ac:dyDescent="0.25">
      <c r="A70" s="23"/>
      <c r="B70" s="9"/>
      <c r="C70" s="9"/>
      <c r="D70" s="24"/>
      <c r="E70" s="28"/>
    </row>
    <row r="71" spans="1:5" ht="15.75" thickBot="1" x14ac:dyDescent="0.3">
      <c r="A71" s="23" t="s">
        <v>61</v>
      </c>
      <c r="B71" s="9"/>
      <c r="C71" s="9"/>
      <c r="D71" s="30">
        <f>SUM(D66:D69)</f>
        <v>1698084.9078730536</v>
      </c>
      <c r="E71" s="28" t="s">
        <v>66</v>
      </c>
    </row>
    <row r="72" spans="1:5" x14ac:dyDescent="0.25">
      <c r="A72" s="19"/>
      <c r="B72" s="20"/>
      <c r="C72" s="20"/>
      <c r="D72" s="21"/>
      <c r="E72" s="27"/>
    </row>
  </sheetData>
  <sheetProtection password="CC7B" sheet="1" objects="1" scenarios="1"/>
  <pageMargins left="0.11811023622047245" right="0.11811023622047245" top="0.35433070866141736" bottom="0.35433070866141736" header="0.11811023622047245" footer="0.11811023622047245"/>
  <pageSetup scale="69" orientation="portrait" r:id="rId1"/>
  <headerFooter>
    <oddFooter>&amp;L&amp;9&amp;Z&amp;F  &amp;A  &amp;D  &amp;T&amp;R&amp;P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R29"/>
  <sheetViews>
    <sheetView showGridLines="0" zoomScale="80" zoomScaleNormal="80" workbookViewId="0">
      <selection activeCell="N33" sqref="N33"/>
    </sheetView>
  </sheetViews>
  <sheetFormatPr defaultRowHeight="15" x14ac:dyDescent="0.25"/>
  <cols>
    <col min="1" max="1" width="35.5703125" customWidth="1"/>
    <col min="2" max="2" width="2.85546875" customWidth="1"/>
    <col min="3" max="3" width="16.28515625" customWidth="1"/>
    <col min="4" max="4" width="17.7109375" customWidth="1"/>
    <col min="5" max="5" width="17.5703125" customWidth="1"/>
    <col min="6" max="6" width="16.85546875" customWidth="1"/>
    <col min="7" max="7" width="15.42578125" customWidth="1"/>
    <col min="8" max="8" width="15.7109375" customWidth="1"/>
    <col min="9" max="9" width="15.5703125" customWidth="1"/>
    <col min="10" max="10" width="2.42578125" customWidth="1"/>
    <col min="11" max="11" width="13.5703125" customWidth="1"/>
    <col min="12" max="12" width="13.28515625" customWidth="1"/>
    <col min="13" max="13" width="13.85546875" customWidth="1"/>
    <col min="14" max="14" width="2.85546875" customWidth="1"/>
    <col min="15" max="15" width="15.28515625" customWidth="1"/>
    <col min="16" max="16" width="16.85546875" customWidth="1"/>
    <col min="17" max="17" width="18.140625" customWidth="1"/>
    <col min="18" max="18" width="2.140625" customWidth="1"/>
    <col min="26" max="26" width="6.140625" bestFit="1" customWidth="1"/>
  </cols>
  <sheetData>
    <row r="1" spans="1:18" ht="18.75" x14ac:dyDescent="0.3">
      <c r="A1" s="16" t="s">
        <v>94</v>
      </c>
    </row>
    <row r="6" spans="1:18" s="39" customFormat="1" ht="60" x14ac:dyDescent="0.25">
      <c r="A6" s="36" t="s">
        <v>67</v>
      </c>
      <c r="B6" s="37"/>
      <c r="C6" s="37" t="s">
        <v>68</v>
      </c>
      <c r="D6" s="37" t="s">
        <v>69</v>
      </c>
      <c r="E6" s="37" t="s">
        <v>70</v>
      </c>
      <c r="F6" s="37" t="s">
        <v>71</v>
      </c>
      <c r="G6" s="37" t="s">
        <v>72</v>
      </c>
      <c r="H6" s="37" t="s">
        <v>73</v>
      </c>
      <c r="I6" s="37" t="s">
        <v>74</v>
      </c>
      <c r="J6" s="37"/>
      <c r="K6" s="37" t="s">
        <v>75</v>
      </c>
      <c r="L6" s="37" t="s">
        <v>76</v>
      </c>
      <c r="M6" s="37" t="s">
        <v>77</v>
      </c>
      <c r="N6" s="37"/>
      <c r="O6" s="37" t="s">
        <v>78</v>
      </c>
      <c r="P6" s="37" t="s">
        <v>79</v>
      </c>
      <c r="Q6" s="37" t="s">
        <v>80</v>
      </c>
      <c r="R6" s="38"/>
    </row>
    <row r="7" spans="1:18" s="39" customFormat="1" ht="30" x14ac:dyDescent="0.25">
      <c r="C7" s="39" t="s">
        <v>81</v>
      </c>
      <c r="D7" s="39" t="s">
        <v>81</v>
      </c>
      <c r="E7" s="39" t="s">
        <v>81</v>
      </c>
      <c r="F7" s="39" t="s">
        <v>97</v>
      </c>
      <c r="G7" s="39" t="s">
        <v>95</v>
      </c>
      <c r="H7" s="39" t="s">
        <v>96</v>
      </c>
      <c r="K7" s="39" t="s">
        <v>82</v>
      </c>
      <c r="L7" s="39" t="s">
        <v>82</v>
      </c>
      <c r="M7" s="39" t="s">
        <v>82</v>
      </c>
      <c r="O7" s="39" t="s">
        <v>83</v>
      </c>
      <c r="P7" s="39" t="s">
        <v>84</v>
      </c>
      <c r="Q7" s="39" t="s">
        <v>85</v>
      </c>
    </row>
    <row r="8" spans="1:18" x14ac:dyDescent="0.25">
      <c r="A8" s="7" t="s">
        <v>86</v>
      </c>
      <c r="C8" s="45">
        <v>0.61450000000000005</v>
      </c>
      <c r="D8" s="45">
        <v>0</v>
      </c>
      <c r="E8" s="31">
        <v>0</v>
      </c>
      <c r="F8" s="2">
        <f>$I$17*'Rate Riders'!C8+50</f>
        <v>1124339.1433879915</v>
      </c>
      <c r="G8" s="2">
        <f>$I$17*'Rate Riders'!D8</f>
        <v>0</v>
      </c>
      <c r="H8" s="2">
        <f>$I$17*'Rate Riders'!E8</f>
        <v>0</v>
      </c>
      <c r="I8" s="2">
        <f>SUM(F8:H8)</f>
        <v>1124339.1433879915</v>
      </c>
      <c r="K8" s="6">
        <v>20188</v>
      </c>
      <c r="L8" s="6">
        <v>193694443</v>
      </c>
      <c r="M8" s="6">
        <v>0</v>
      </c>
      <c r="O8" s="3">
        <f>$I$17*C8/K8/12</f>
        <v>4.6409135104517185</v>
      </c>
      <c r="P8" s="46">
        <f>$I$17*D8/L8</f>
        <v>0</v>
      </c>
      <c r="Q8" s="46">
        <f>IFERROR($I$17*E8/M8,0)</f>
        <v>0</v>
      </c>
    </row>
    <row r="9" spans="1:18" x14ac:dyDescent="0.25">
      <c r="A9" s="7" t="s">
        <v>87</v>
      </c>
      <c r="C9" s="31">
        <v>5.9663703968130581E-2</v>
      </c>
      <c r="D9" s="31">
        <v>4.990186691489016E-2</v>
      </c>
      <c r="E9" s="31">
        <v>0</v>
      </c>
      <c r="F9" s="2">
        <f>$I$17*'Rate Riders'!C9</f>
        <v>109160.70728345685</v>
      </c>
      <c r="G9" s="2">
        <f>$I$17*'Rate Riders'!D9</f>
        <v>91300.451110176422</v>
      </c>
      <c r="H9" s="2">
        <f>$I$17*'Rate Riders'!E9</f>
        <v>0</v>
      </c>
      <c r="I9" s="2">
        <f t="shared" ref="I9:I14" si="0">SUM(F9:H9)</f>
        <v>200461.15839363326</v>
      </c>
      <c r="K9" s="6">
        <v>1810</v>
      </c>
      <c r="L9" s="6">
        <v>50527239</v>
      </c>
      <c r="M9" s="6">
        <v>0</v>
      </c>
      <c r="O9" s="3">
        <f t="shared" ref="O9:O14" si="1">$I$17*C9/K9/12</f>
        <v>5.0258152524611814</v>
      </c>
      <c r="P9" s="46">
        <f t="shared" ref="P9:P14" si="2">$I$17*D9/L9</f>
        <v>1.8069550784315846E-3</v>
      </c>
      <c r="Q9" s="46">
        <f t="shared" ref="Q9:Q14" si="3">IFERROR($I$17*E9/M9,0)</f>
        <v>0</v>
      </c>
    </row>
    <row r="10" spans="1:18" x14ac:dyDescent="0.25">
      <c r="A10" s="7" t="s">
        <v>88</v>
      </c>
      <c r="C10" s="31">
        <v>1.8765279861280917E-2</v>
      </c>
      <c r="D10" s="31">
        <v>0</v>
      </c>
      <c r="E10" s="31">
        <v>0.14747273027950766</v>
      </c>
      <c r="F10" s="2">
        <f>$I$17*'Rate Riders'!C10</f>
        <v>34332.954305411637</v>
      </c>
      <c r="G10" s="2">
        <f>$I$17*'Rate Riders'!D10</f>
        <v>0</v>
      </c>
      <c r="H10" s="2">
        <f>$I$17*'Rate Riders'!E10</f>
        <v>269816.0937331749</v>
      </c>
      <c r="I10" s="2">
        <f t="shared" si="0"/>
        <v>304149.04803858651</v>
      </c>
      <c r="K10" s="6">
        <v>186</v>
      </c>
      <c r="L10" s="6">
        <v>135373696</v>
      </c>
      <c r="M10" s="6">
        <v>394783</v>
      </c>
      <c r="O10" s="3">
        <f t="shared" si="1"/>
        <v>15.382147986295536</v>
      </c>
      <c r="P10" s="46">
        <f t="shared" si="2"/>
        <v>0</v>
      </c>
      <c r="Q10" s="46">
        <f t="shared" si="3"/>
        <v>0.68345418554794635</v>
      </c>
    </row>
    <row r="11" spans="1:18" x14ac:dyDescent="0.25">
      <c r="A11" s="7" t="s">
        <v>89</v>
      </c>
      <c r="C11" s="31">
        <v>2.3715153736857848E-3</v>
      </c>
      <c r="D11" s="31">
        <v>0</v>
      </c>
      <c r="E11" s="31">
        <v>8.8085240471343376E-2</v>
      </c>
      <c r="F11" s="2">
        <f>$I$17*'Rate Riders'!C11</f>
        <v>4338.9243092150418</v>
      </c>
      <c r="G11" s="2">
        <f>$I$17*'Rate Riders'!D11</f>
        <v>0</v>
      </c>
      <c r="H11" s="2">
        <f>$I$17*'Rate Riders'!E11</f>
        <v>161160.7478513456</v>
      </c>
      <c r="I11" s="2">
        <f t="shared" si="0"/>
        <v>165499.67216056064</v>
      </c>
      <c r="K11" s="6">
        <v>11</v>
      </c>
      <c r="L11" s="6">
        <v>99309703</v>
      </c>
      <c r="M11" s="6">
        <v>262132</v>
      </c>
      <c r="O11" s="3">
        <f t="shared" si="1"/>
        <v>32.87063870617456</v>
      </c>
      <c r="P11" s="46">
        <f t="shared" si="2"/>
        <v>0</v>
      </c>
      <c r="Q11" s="46">
        <f t="shared" si="3"/>
        <v>0.61480760781341304</v>
      </c>
    </row>
    <row r="12" spans="1:18" x14ac:dyDescent="0.25">
      <c r="A12" s="7" t="s">
        <v>90</v>
      </c>
      <c r="C12" s="31">
        <v>1.4075836379794256E-3</v>
      </c>
      <c r="D12" s="31">
        <v>4.8872388204585903E-4</v>
      </c>
      <c r="E12" s="31">
        <v>0</v>
      </c>
      <c r="F12" s="2">
        <f>$I$17*'Rate Riders'!C12</f>
        <v>2575.3148943707747</v>
      </c>
      <c r="G12" s="2">
        <f>$I$17*'Rate Riders'!D12</f>
        <v>894.1691695664648</v>
      </c>
      <c r="H12" s="2">
        <f>$I$17*'Rate Riders'!E12</f>
        <v>0</v>
      </c>
      <c r="I12" s="2">
        <f t="shared" si="0"/>
        <v>3469.4840639372396</v>
      </c>
      <c r="K12" s="6">
        <v>152</v>
      </c>
      <c r="L12" s="6">
        <v>934714</v>
      </c>
      <c r="M12" s="6">
        <v>0</v>
      </c>
      <c r="O12" s="3">
        <f t="shared" si="1"/>
        <v>1.4119050955980124</v>
      </c>
      <c r="P12" s="46">
        <f t="shared" si="2"/>
        <v>9.5662327681672122E-4</v>
      </c>
      <c r="Q12" s="46">
        <f t="shared" si="3"/>
        <v>0</v>
      </c>
    </row>
    <row r="13" spans="1:18" x14ac:dyDescent="0.25">
      <c r="A13" s="7" t="s">
        <v>91</v>
      </c>
      <c r="C13" s="31">
        <v>1.9035679438833726E-3</v>
      </c>
      <c r="D13" s="31">
        <v>0</v>
      </c>
      <c r="E13" s="31">
        <v>2.4474771434025142E-3</v>
      </c>
      <c r="F13" s="2">
        <f>$I$17*'Rate Riders'!C13</f>
        <v>3482.7677347591166</v>
      </c>
      <c r="G13" s="2">
        <f>$I$17*'Rate Riders'!D13</f>
        <v>0</v>
      </c>
      <c r="H13" s="2">
        <f>$I$17*'Rate Riders'!E13</f>
        <v>4477.903956090644</v>
      </c>
      <c r="I13" s="2">
        <f t="shared" si="0"/>
        <v>7960.6716908497601</v>
      </c>
      <c r="K13" s="6">
        <v>173</v>
      </c>
      <c r="L13" s="6">
        <v>260238</v>
      </c>
      <c r="M13" s="6">
        <v>704</v>
      </c>
      <c r="O13" s="3">
        <f t="shared" si="1"/>
        <v>1.6776337836026574</v>
      </c>
      <c r="P13" s="46">
        <f t="shared" si="2"/>
        <v>0</v>
      </c>
      <c r="Q13" s="46">
        <f t="shared" si="3"/>
        <v>6.3606590285378468</v>
      </c>
    </row>
    <row r="14" spans="1:18" ht="15.75" thickBot="1" x14ac:dyDescent="0.3">
      <c r="A14" s="41" t="s">
        <v>92</v>
      </c>
      <c r="B14" s="10"/>
      <c r="C14" s="34">
        <v>1.2490759447439758E-2</v>
      </c>
      <c r="D14" s="34">
        <v>0</v>
      </c>
      <c r="E14" s="34">
        <v>4.7420494179776991E-4</v>
      </c>
      <c r="F14" s="259">
        <f>$I$17*'Rate Riders'!C14</f>
        <v>22853.092334300254</v>
      </c>
      <c r="G14" s="259">
        <f>$I$17*'Rate Riders'!D14</f>
        <v>0</v>
      </c>
      <c r="H14" s="259">
        <f>$I$17*'Rate Riders'!E14</f>
        <v>867.60531782614657</v>
      </c>
      <c r="I14" s="259">
        <f t="shared" si="0"/>
        <v>23720.6976521264</v>
      </c>
      <c r="J14" s="10"/>
      <c r="K14" s="40">
        <v>4674</v>
      </c>
      <c r="L14" s="40">
        <v>1128400</v>
      </c>
      <c r="M14" s="40">
        <v>3155</v>
      </c>
      <c r="N14" s="10"/>
      <c r="O14" s="35">
        <f t="shared" si="1"/>
        <v>0.40745065494045524</v>
      </c>
      <c r="P14" s="47">
        <f t="shared" si="2"/>
        <v>0</v>
      </c>
      <c r="Q14" s="47">
        <f t="shared" si="3"/>
        <v>0.27499376159307343</v>
      </c>
      <c r="R14" s="10"/>
    </row>
    <row r="15" spans="1:18" x14ac:dyDescent="0.25">
      <c r="A15" s="7" t="s">
        <v>93</v>
      </c>
      <c r="C15" s="32">
        <f>SUM(C8:C14)</f>
        <v>0.71110241023239984</v>
      </c>
      <c r="D15" s="32">
        <f>SUM(D8:D14)</f>
        <v>5.0390590796936016E-2</v>
      </c>
      <c r="E15" s="32">
        <f>SUM(E8:E14)</f>
        <v>0.23847965283605133</v>
      </c>
      <c r="F15" s="2">
        <f>SUM(F8:F14)</f>
        <v>1301082.9042495049</v>
      </c>
      <c r="G15" s="2">
        <f t="shared" ref="G15:I15" si="4">SUM(G8:G14)</f>
        <v>92194.620279742885</v>
      </c>
      <c r="H15" s="2">
        <f t="shared" si="4"/>
        <v>436322.3508584373</v>
      </c>
      <c r="I15" s="2">
        <f t="shared" si="4"/>
        <v>1829599.8753876856</v>
      </c>
      <c r="K15" s="6">
        <f>SUM(K8:K14)</f>
        <v>27194</v>
      </c>
      <c r="L15" s="6">
        <f>SUM(L8:L14)</f>
        <v>481228433</v>
      </c>
      <c r="M15" s="6">
        <f>SUM(M8:M14)</f>
        <v>660774</v>
      </c>
      <c r="P15" s="48"/>
      <c r="Q15" s="48"/>
    </row>
    <row r="16" spans="1:18" x14ac:dyDescent="0.25">
      <c r="E16" s="33">
        <f>SUM(C15:E15)</f>
        <v>0.99997265386538714</v>
      </c>
      <c r="F16" s="1"/>
      <c r="G16" s="1"/>
      <c r="H16" s="1"/>
      <c r="I16" s="2"/>
    </row>
    <row r="17" spans="7:18" x14ac:dyDescent="0.25">
      <c r="I17" s="260">
        <f>'Off-line Incremental Rev Rqur'!D71+I26+I27</f>
        <v>1829599.9078730536</v>
      </c>
    </row>
    <row r="18" spans="7:18" ht="45" x14ac:dyDescent="0.25">
      <c r="G18" s="233"/>
      <c r="H18" s="17"/>
      <c r="I18" s="37" t="s">
        <v>218</v>
      </c>
      <c r="J18" s="238"/>
      <c r="K18" s="239" t="s">
        <v>219</v>
      </c>
      <c r="O18" s="5"/>
      <c r="P18" s="5"/>
      <c r="Q18" s="5"/>
      <c r="R18" s="5"/>
    </row>
    <row r="19" spans="7:18" x14ac:dyDescent="0.25">
      <c r="G19" s="234" t="s">
        <v>103</v>
      </c>
      <c r="H19" s="9" t="s">
        <v>212</v>
      </c>
      <c r="I19" s="12">
        <v>5000</v>
      </c>
      <c r="J19" s="9"/>
      <c r="K19" s="14">
        <v>35000</v>
      </c>
      <c r="R19" s="5"/>
    </row>
    <row r="20" spans="7:18" x14ac:dyDescent="0.25">
      <c r="G20" s="23"/>
      <c r="H20" s="9" t="s">
        <v>213</v>
      </c>
      <c r="I20" s="12">
        <v>25000</v>
      </c>
      <c r="J20" s="9"/>
      <c r="K20" s="14">
        <v>18750</v>
      </c>
      <c r="R20" s="5"/>
    </row>
    <row r="21" spans="7:18" x14ac:dyDescent="0.25">
      <c r="G21" s="23"/>
      <c r="H21" s="9" t="s">
        <v>214</v>
      </c>
      <c r="I21" s="12">
        <v>38110</v>
      </c>
      <c r="J21" s="9"/>
      <c r="K21" s="14">
        <v>27750</v>
      </c>
      <c r="R21" s="5"/>
    </row>
    <row r="22" spans="7:18" x14ac:dyDescent="0.25">
      <c r="G22" s="23"/>
      <c r="H22" s="9" t="s">
        <v>215</v>
      </c>
      <c r="I22" s="12">
        <v>18405</v>
      </c>
      <c r="J22" s="9"/>
      <c r="K22" s="14">
        <v>15000</v>
      </c>
      <c r="R22" s="5"/>
    </row>
    <row r="23" spans="7:18" x14ac:dyDescent="0.25">
      <c r="G23" s="23"/>
      <c r="H23" s="9" t="s">
        <v>216</v>
      </c>
      <c r="I23" s="12">
        <v>5000</v>
      </c>
      <c r="J23" s="9"/>
      <c r="K23" s="14">
        <v>3750</v>
      </c>
      <c r="R23" s="5"/>
    </row>
    <row r="24" spans="7:18" x14ac:dyDescent="0.25">
      <c r="G24" s="23"/>
      <c r="H24" s="9" t="s">
        <v>217</v>
      </c>
      <c r="I24" s="12">
        <v>40000</v>
      </c>
      <c r="J24" s="9"/>
      <c r="K24" s="14">
        <v>20000</v>
      </c>
      <c r="R24" s="5"/>
    </row>
    <row r="25" spans="7:18" x14ac:dyDescent="0.25">
      <c r="G25" s="23"/>
      <c r="H25" s="9"/>
      <c r="I25" s="53"/>
      <c r="J25" s="9"/>
      <c r="K25" s="235"/>
      <c r="R25" s="5"/>
    </row>
    <row r="26" spans="7:18" x14ac:dyDescent="0.25">
      <c r="G26" s="23"/>
      <c r="H26" s="236" t="s">
        <v>206</v>
      </c>
      <c r="I26" s="225">
        <f>SUM(I19:I25)</f>
        <v>131515</v>
      </c>
      <c r="J26" s="225">
        <f t="shared" ref="J26:K26" si="5">SUM(J19:J25)</f>
        <v>0</v>
      </c>
      <c r="K26" s="240">
        <f t="shared" si="5"/>
        <v>120250</v>
      </c>
      <c r="R26" s="5"/>
    </row>
    <row r="27" spans="7:18" x14ac:dyDescent="0.25">
      <c r="G27" s="23"/>
      <c r="H27" s="261"/>
      <c r="I27" s="262"/>
      <c r="J27" s="9"/>
      <c r="K27" s="235"/>
      <c r="R27" s="5"/>
    </row>
    <row r="28" spans="7:18" x14ac:dyDescent="0.25">
      <c r="G28" s="19"/>
      <c r="H28" s="20"/>
      <c r="I28" s="53"/>
      <c r="J28" s="20"/>
      <c r="K28" s="237"/>
      <c r="R28" s="5"/>
    </row>
    <row r="29" spans="7:18" x14ac:dyDescent="0.25">
      <c r="R29" s="5"/>
    </row>
  </sheetData>
  <sheetProtection password="CC7B" sheet="1" objects="1" scenarios="1"/>
  <pageMargins left="0.11811023622047245" right="0.11811023622047245" top="0.35433070866141736" bottom="0.35433070866141736" header="0.11811023622047245" footer="0.11811023622047245"/>
  <pageSetup scale="53" orientation="landscape" r:id="rId1"/>
  <headerFooter>
    <oddFooter>&amp;L&amp;9&amp;Z&amp;F  &amp;A  &amp;D  &amp;T&amp;R&amp;P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7"/>
  <sheetViews>
    <sheetView showGridLines="0" zoomScale="90" zoomScaleNormal="90" workbookViewId="0">
      <selection activeCell="G19" sqref="G19"/>
    </sheetView>
  </sheetViews>
  <sheetFormatPr defaultRowHeight="15" x14ac:dyDescent="0.25"/>
  <cols>
    <col min="1" max="1" width="31.85546875" bestFit="1" customWidth="1"/>
    <col min="2" max="2" width="10" bestFit="1" customWidth="1"/>
    <col min="3" max="3" width="6.5703125" bestFit="1" customWidth="1"/>
    <col min="4" max="4" width="11.28515625" customWidth="1"/>
    <col min="5" max="5" width="11.140625" customWidth="1"/>
    <col min="6" max="6" width="12" customWidth="1"/>
    <col min="7" max="7" width="11.140625" style="11" bestFit="1" customWidth="1"/>
  </cols>
  <sheetData>
    <row r="1" spans="1:7" ht="18.75" x14ac:dyDescent="0.3">
      <c r="A1" s="16" t="s">
        <v>205</v>
      </c>
    </row>
    <row r="3" spans="1:7" ht="15.75" thickBot="1" x14ac:dyDescent="0.3"/>
    <row r="4" spans="1:7" ht="15" customHeight="1" x14ac:dyDescent="0.25">
      <c r="A4" s="264" t="s">
        <v>67</v>
      </c>
      <c r="B4" s="266" t="s">
        <v>192</v>
      </c>
      <c r="C4" s="267"/>
      <c r="D4" s="270" t="s">
        <v>202</v>
      </c>
      <c r="E4" s="272" t="s">
        <v>203</v>
      </c>
      <c r="F4" s="268" t="s">
        <v>204</v>
      </c>
    </row>
    <row r="5" spans="1:7" ht="30.75" customHeight="1" thickBot="1" x14ac:dyDescent="0.3">
      <c r="A5" s="265"/>
      <c r="B5" s="213" t="s">
        <v>193</v>
      </c>
      <c r="C5" s="214" t="s">
        <v>194</v>
      </c>
      <c r="D5" s="271"/>
      <c r="E5" s="273"/>
      <c r="F5" s="269"/>
    </row>
    <row r="6" spans="1:7" s="13" customFormat="1" x14ac:dyDescent="0.25">
      <c r="A6" s="209" t="s">
        <v>195</v>
      </c>
      <c r="B6" s="215">
        <v>750</v>
      </c>
      <c r="C6" s="216">
        <v>0</v>
      </c>
      <c r="D6" s="221">
        <f>'Bill Impacts - IRM only'!M93</f>
        <v>-2.4973303811158004E-2</v>
      </c>
      <c r="E6" s="241">
        <f>'Bill Impacts - ICM only'!M120</f>
        <v>4.3981080395347372E-2</v>
      </c>
      <c r="F6" s="242">
        <f>'Bill Impacts - IRM &amp; ICM'!M120</f>
        <v>1.9007776584189239E-2</v>
      </c>
      <c r="G6" s="224"/>
    </row>
    <row r="7" spans="1:7" s="13" customFormat="1" x14ac:dyDescent="0.25">
      <c r="A7" s="210" t="s">
        <v>196</v>
      </c>
      <c r="B7" s="215">
        <v>2000</v>
      </c>
      <c r="C7" s="216">
        <v>0</v>
      </c>
      <c r="D7" s="221">
        <f>'Bill Impacts - IRM only'!M149</f>
        <v>-3.2445075745178728E-2</v>
      </c>
      <c r="E7" s="241">
        <f>'Bill Impacts - ICM only'!M176</f>
        <v>3.3662761231034406E-2</v>
      </c>
      <c r="F7" s="242">
        <f>'Bill Impacts - IRM &amp; ICM'!M176</f>
        <v>1.2176854858558924E-3</v>
      </c>
      <c r="G7" s="224"/>
    </row>
    <row r="8" spans="1:7" s="13" customFormat="1" x14ac:dyDescent="0.25">
      <c r="A8" s="210" t="s">
        <v>197</v>
      </c>
      <c r="B8" s="217">
        <v>328500</v>
      </c>
      <c r="C8" s="218">
        <v>500</v>
      </c>
      <c r="D8" s="222">
        <f>'Bill Impacts - IRM only'!M215</f>
        <v>9.5918475515998011E-2</v>
      </c>
      <c r="E8" s="243">
        <f>'Bill Impacts - ICM only'!M242</f>
        <v>8.1515088840078201E-3</v>
      </c>
      <c r="F8" s="244">
        <f>'Bill Impacts - IRM &amp; ICM'!M242</f>
        <v>0.10406998440000584</v>
      </c>
      <c r="G8" s="224"/>
    </row>
    <row r="9" spans="1:7" s="13" customFormat="1" ht="30" x14ac:dyDescent="0.25">
      <c r="A9" s="211" t="s">
        <v>198</v>
      </c>
      <c r="B9" s="215">
        <v>1600000</v>
      </c>
      <c r="C9" s="216">
        <v>2500</v>
      </c>
      <c r="D9" s="221">
        <f>'Bill Impacts - IRM only'!M271</f>
        <v>9.6363052737361635E-2</v>
      </c>
      <c r="E9" s="241">
        <f>'Bill Impacts - ICM only'!M298</f>
        <v>7.3997925001354162E-3</v>
      </c>
      <c r="F9" s="242">
        <f>'Bill Impacts - IRM &amp; ICM'!M298</f>
        <v>0.10376284523749693</v>
      </c>
      <c r="G9" s="224"/>
    </row>
    <row r="10" spans="1:7" s="13" customFormat="1" x14ac:dyDescent="0.25">
      <c r="A10" s="210" t="s">
        <v>199</v>
      </c>
      <c r="B10" s="217">
        <v>150</v>
      </c>
      <c r="C10" s="216">
        <v>0</v>
      </c>
      <c r="D10" s="221">
        <f>'Bill Impacts - IRM only'!M317</f>
        <v>-2.3588550354178211E-2</v>
      </c>
      <c r="E10" s="241">
        <f>'Bill Impacts - ICM only'!M344</f>
        <v>6.3253565087079633E-2</v>
      </c>
      <c r="F10" s="242">
        <f>'Bill Impacts - IRM &amp; ICM'!M344</f>
        <v>3.9665014732901543E-2</v>
      </c>
      <c r="G10" s="224"/>
    </row>
    <row r="11" spans="1:7" s="13" customFormat="1" x14ac:dyDescent="0.25">
      <c r="A11" s="210" t="s">
        <v>200</v>
      </c>
      <c r="B11" s="217">
        <v>650</v>
      </c>
      <c r="C11" s="216">
        <v>1</v>
      </c>
      <c r="D11" s="221">
        <f>'Bill Impacts - IRM only'!M373</f>
        <v>-1.001123784994718E-2</v>
      </c>
      <c r="E11" s="241">
        <f>'Bill Impacts - ICM only'!M400</f>
        <v>7.4223631479303442E-2</v>
      </c>
      <c r="F11" s="242">
        <f>'Bill Impacts - IRM &amp; ICM'!M400</f>
        <v>6.4212393629356143E-2</v>
      </c>
      <c r="G11" s="224"/>
    </row>
    <row r="12" spans="1:7" s="13" customFormat="1" ht="15.75" thickBot="1" x14ac:dyDescent="0.3">
      <c r="A12" s="212" t="s">
        <v>201</v>
      </c>
      <c r="B12" s="219">
        <v>94033.37</v>
      </c>
      <c r="C12" s="220">
        <v>251</v>
      </c>
      <c r="D12" s="223">
        <f>'Bill Impacts - IRM only'!M439</f>
        <v>9.0449627810532326E-2</v>
      </c>
      <c r="E12" s="245">
        <f>'Bill Impacts - ICM only'!M466</f>
        <v>5.5946007020205675E-3</v>
      </c>
      <c r="F12" s="246">
        <f>'Bill Impacts - IRM &amp; ICM'!M466</f>
        <v>9.604422851255276E-2</v>
      </c>
      <c r="G12" s="224"/>
    </row>
    <row r="14" spans="1:7" s="229" customFormat="1" x14ac:dyDescent="0.25">
      <c r="G14" s="230"/>
    </row>
    <row r="15" spans="1:7" s="229" customFormat="1" ht="15.75" thickBot="1" x14ac:dyDescent="0.3">
      <c r="A15" s="231" t="s">
        <v>207</v>
      </c>
      <c r="G15" s="230"/>
    </row>
    <row r="16" spans="1:7" x14ac:dyDescent="0.25">
      <c r="A16" s="264" t="s">
        <v>67</v>
      </c>
      <c r="B16" s="266" t="s">
        <v>192</v>
      </c>
      <c r="C16" s="267"/>
      <c r="D16" s="270" t="s">
        <v>208</v>
      </c>
      <c r="E16" s="272" t="s">
        <v>203</v>
      </c>
      <c r="F16" s="268" t="s">
        <v>204</v>
      </c>
    </row>
    <row r="17" spans="1:8" ht="62.25" customHeight="1" thickBot="1" x14ac:dyDescent="0.3">
      <c r="A17" s="265"/>
      <c r="B17" s="213" t="s">
        <v>193</v>
      </c>
      <c r="C17" s="214" t="s">
        <v>194</v>
      </c>
      <c r="D17" s="271"/>
      <c r="E17" s="273"/>
      <c r="F17" s="269"/>
    </row>
    <row r="18" spans="1:8" x14ac:dyDescent="0.25">
      <c r="A18" s="209" t="s">
        <v>195</v>
      </c>
      <c r="B18" s="215">
        <v>750</v>
      </c>
      <c r="C18" s="216">
        <v>0</v>
      </c>
      <c r="D18" s="221">
        <f>'Bill Impacts - IRM no GA'!M93</f>
        <v>-2.4973303811158004E-2</v>
      </c>
      <c r="E18" s="241">
        <f t="shared" ref="E18:E24" si="0">E6</f>
        <v>4.3981080395347372E-2</v>
      </c>
      <c r="F18" s="242">
        <f>D18+E18</f>
        <v>1.9007776584189368E-2</v>
      </c>
      <c r="G18" s="224"/>
      <c r="H18" s="32"/>
    </row>
    <row r="19" spans="1:8" x14ac:dyDescent="0.25">
      <c r="A19" s="210" t="s">
        <v>196</v>
      </c>
      <c r="B19" s="215">
        <v>2000</v>
      </c>
      <c r="C19" s="216">
        <v>0</v>
      </c>
      <c r="D19" s="221">
        <f>'Bill Impacts - IRM no GA'!M149</f>
        <v>-3.2445075745178728E-2</v>
      </c>
      <c r="E19" s="241">
        <f t="shared" si="0"/>
        <v>3.3662761231034406E-2</v>
      </c>
      <c r="F19" s="242">
        <f t="shared" ref="F19:F24" si="1">D19+E19</f>
        <v>1.2176854858556782E-3</v>
      </c>
      <c r="G19" s="224"/>
      <c r="H19" s="32"/>
    </row>
    <row r="20" spans="1:8" x14ac:dyDescent="0.25">
      <c r="A20" s="210" t="s">
        <v>197</v>
      </c>
      <c r="B20" s="217">
        <v>328500</v>
      </c>
      <c r="C20" s="218">
        <v>500</v>
      </c>
      <c r="D20" s="222">
        <f>'Bill Impacts - IRM no GA'!M215</f>
        <v>-1.4202443936868635E-2</v>
      </c>
      <c r="E20" s="243">
        <f t="shared" si="0"/>
        <v>8.1515088840078201E-3</v>
      </c>
      <c r="F20" s="244">
        <f t="shared" si="1"/>
        <v>-6.050935052860815E-3</v>
      </c>
      <c r="G20" s="224"/>
      <c r="H20" s="32"/>
    </row>
    <row r="21" spans="1:8" ht="30" x14ac:dyDescent="0.25">
      <c r="A21" s="211" t="s">
        <v>198</v>
      </c>
      <c r="B21" s="215">
        <v>1600000</v>
      </c>
      <c r="C21" s="216">
        <v>2500</v>
      </c>
      <c r="D21" s="221">
        <f>'Bill Impacts - IRM no GA'!M271</f>
        <v>-1.4391690978193554E-2</v>
      </c>
      <c r="E21" s="241">
        <f t="shared" si="0"/>
        <v>7.3997925001354162E-3</v>
      </c>
      <c r="F21" s="242">
        <f t="shared" si="1"/>
        <v>-6.9918984780581381E-3</v>
      </c>
      <c r="G21" s="224"/>
      <c r="H21" s="32"/>
    </row>
    <row r="22" spans="1:8" x14ac:dyDescent="0.25">
      <c r="A22" s="210" t="s">
        <v>199</v>
      </c>
      <c r="B22" s="217">
        <v>150</v>
      </c>
      <c r="C22" s="216">
        <v>0</v>
      </c>
      <c r="D22" s="221">
        <f>'Bill Impacts - IRM no GA'!M317</f>
        <v>-2.3588550354178211E-2</v>
      </c>
      <c r="E22" s="241">
        <f t="shared" si="0"/>
        <v>6.3253565087079633E-2</v>
      </c>
      <c r="F22" s="242">
        <f t="shared" si="1"/>
        <v>3.9665014732901419E-2</v>
      </c>
      <c r="G22" s="224"/>
      <c r="H22" s="32"/>
    </row>
    <row r="23" spans="1:8" x14ac:dyDescent="0.25">
      <c r="A23" s="210" t="s">
        <v>200</v>
      </c>
      <c r="B23" s="217">
        <v>650</v>
      </c>
      <c r="C23" s="216">
        <v>1</v>
      </c>
      <c r="D23" s="221">
        <f>'Bill Impacts - IRM no GA'!M373</f>
        <v>-1.001123784994718E-2</v>
      </c>
      <c r="E23" s="241">
        <f t="shared" si="0"/>
        <v>7.4223631479303442E-2</v>
      </c>
      <c r="F23" s="242">
        <f t="shared" si="1"/>
        <v>6.4212393629356268E-2</v>
      </c>
      <c r="G23" s="224"/>
      <c r="H23" s="32"/>
    </row>
    <row r="24" spans="1:8" ht="15.75" thickBot="1" x14ac:dyDescent="0.3">
      <c r="A24" s="212" t="s">
        <v>201</v>
      </c>
      <c r="B24" s="219">
        <v>94033.37</v>
      </c>
      <c r="C24" s="220">
        <v>251</v>
      </c>
      <c r="D24" s="223">
        <f>'Bill Impacts - IRM no GA'!M439</f>
        <v>-2.0775142992195104E-2</v>
      </c>
      <c r="E24" s="245">
        <f t="shared" si="0"/>
        <v>5.5946007020205675E-3</v>
      </c>
      <c r="F24" s="246">
        <f t="shared" si="1"/>
        <v>-1.5180542290174535E-2</v>
      </c>
      <c r="G24" s="224"/>
      <c r="H24" s="32"/>
    </row>
    <row r="27" spans="1:8" x14ac:dyDescent="0.25">
      <c r="E27" s="31"/>
    </row>
    <row r="28" spans="1:8" ht="15.75" thickBot="1" x14ac:dyDescent="0.3">
      <c r="A28" s="231" t="s">
        <v>209</v>
      </c>
      <c r="B28" s="229"/>
      <c r="C28" s="229"/>
      <c r="D28" s="229"/>
      <c r="E28" s="229"/>
      <c r="F28" s="229"/>
      <c r="G28" s="230"/>
      <c r="H28" s="229"/>
    </row>
    <row r="29" spans="1:8" ht="34.5" customHeight="1" x14ac:dyDescent="0.25">
      <c r="A29" s="264" t="s">
        <v>67</v>
      </c>
      <c r="B29" s="266" t="s">
        <v>192</v>
      </c>
      <c r="C29" s="267"/>
      <c r="D29" s="270" t="s">
        <v>208</v>
      </c>
      <c r="E29" s="274" t="s">
        <v>203</v>
      </c>
      <c r="F29" s="276" t="s">
        <v>210</v>
      </c>
      <c r="G29" s="270" t="s">
        <v>211</v>
      </c>
      <c r="H29" s="268" t="s">
        <v>204</v>
      </c>
    </row>
    <row r="30" spans="1:8" ht="59.25" customHeight="1" thickBot="1" x14ac:dyDescent="0.3">
      <c r="A30" s="265"/>
      <c r="B30" s="213" t="s">
        <v>193</v>
      </c>
      <c r="C30" s="214" t="s">
        <v>194</v>
      </c>
      <c r="D30" s="271"/>
      <c r="E30" s="275"/>
      <c r="F30" s="277"/>
      <c r="G30" s="271"/>
      <c r="H30" s="269"/>
    </row>
    <row r="31" spans="1:8" x14ac:dyDescent="0.25">
      <c r="A31" s="209" t="s">
        <v>195</v>
      </c>
      <c r="B31" s="215">
        <v>750</v>
      </c>
      <c r="C31" s="216">
        <v>0</v>
      </c>
      <c r="D31" s="221">
        <f>D18</f>
        <v>-2.4973303811158004E-2</v>
      </c>
      <c r="E31" s="247">
        <f>E18</f>
        <v>4.3981080395347372E-2</v>
      </c>
      <c r="F31" s="248">
        <f>D31+E31</f>
        <v>1.9007776584189368E-2</v>
      </c>
      <c r="G31" s="249">
        <f>'Bill Impacts - GARR only'!M93</f>
        <v>0</v>
      </c>
      <c r="H31" s="250">
        <f t="shared" ref="H31:H37" si="2">F6</f>
        <v>1.9007776584189239E-2</v>
      </c>
    </row>
    <row r="32" spans="1:8" x14ac:dyDescent="0.25">
      <c r="A32" s="210" t="s">
        <v>196</v>
      </c>
      <c r="B32" s="215">
        <v>2000</v>
      </c>
      <c r="C32" s="216">
        <v>0</v>
      </c>
      <c r="D32" s="221">
        <f t="shared" ref="D32:E37" si="3">D19</f>
        <v>-3.2445075745178728E-2</v>
      </c>
      <c r="E32" s="247">
        <f t="shared" si="3"/>
        <v>3.3662761231034406E-2</v>
      </c>
      <c r="F32" s="248">
        <f t="shared" ref="F32:F37" si="4">D32+E32</f>
        <v>1.2176854858556782E-3</v>
      </c>
      <c r="G32" s="251">
        <f>'Bill Impacts - GARR only'!M149</f>
        <v>0</v>
      </c>
      <c r="H32" s="252">
        <f t="shared" si="2"/>
        <v>1.2176854858558924E-3</v>
      </c>
    </row>
    <row r="33" spans="1:8" x14ac:dyDescent="0.25">
      <c r="A33" s="210" t="s">
        <v>197</v>
      </c>
      <c r="B33" s="217">
        <v>328500</v>
      </c>
      <c r="C33" s="218">
        <v>500</v>
      </c>
      <c r="D33" s="222">
        <f t="shared" si="3"/>
        <v>-1.4202443936868635E-2</v>
      </c>
      <c r="E33" s="253">
        <f t="shared" si="3"/>
        <v>8.1515088840078201E-3</v>
      </c>
      <c r="F33" s="254">
        <f t="shared" si="4"/>
        <v>-6.050935052860815E-3</v>
      </c>
      <c r="G33" s="251">
        <f>'Bill Impacts - GARR only'!M215</f>
        <v>0.11022741596276577</v>
      </c>
      <c r="H33" s="252">
        <f t="shared" si="2"/>
        <v>0.10406998440000584</v>
      </c>
    </row>
    <row r="34" spans="1:8" ht="30" x14ac:dyDescent="0.25">
      <c r="A34" s="211" t="s">
        <v>198</v>
      </c>
      <c r="B34" s="215">
        <v>1600000</v>
      </c>
      <c r="C34" s="216">
        <v>2500</v>
      </c>
      <c r="D34" s="221">
        <f t="shared" si="3"/>
        <v>-1.4391690978193554E-2</v>
      </c>
      <c r="E34" s="247">
        <f t="shared" si="3"/>
        <v>7.3997925001354162E-3</v>
      </c>
      <c r="F34" s="248">
        <f t="shared" si="4"/>
        <v>-6.9918984780581381E-3</v>
      </c>
      <c r="G34" s="251">
        <f>'Bill Impacts - GARR only'!M271</f>
        <v>0.11086328181710213</v>
      </c>
      <c r="H34" s="252">
        <f t="shared" si="2"/>
        <v>0.10376284523749693</v>
      </c>
    </row>
    <row r="35" spans="1:8" x14ac:dyDescent="0.25">
      <c r="A35" s="210" t="s">
        <v>199</v>
      </c>
      <c r="B35" s="217">
        <v>150</v>
      </c>
      <c r="C35" s="216">
        <v>0</v>
      </c>
      <c r="D35" s="221">
        <f t="shared" si="3"/>
        <v>-2.3588550354178211E-2</v>
      </c>
      <c r="E35" s="247">
        <f t="shared" si="3"/>
        <v>6.3253565087079633E-2</v>
      </c>
      <c r="F35" s="248">
        <f t="shared" si="4"/>
        <v>3.9665014732901419E-2</v>
      </c>
      <c r="G35" s="251">
        <f>'Bill Impacts - GARR only'!M317</f>
        <v>0</v>
      </c>
      <c r="H35" s="252">
        <f t="shared" si="2"/>
        <v>3.9665014732901543E-2</v>
      </c>
    </row>
    <row r="36" spans="1:8" x14ac:dyDescent="0.25">
      <c r="A36" s="210" t="s">
        <v>200</v>
      </c>
      <c r="B36" s="217">
        <v>650</v>
      </c>
      <c r="C36" s="216">
        <v>1</v>
      </c>
      <c r="D36" s="221">
        <f t="shared" si="3"/>
        <v>-1.001123784994718E-2</v>
      </c>
      <c r="E36" s="247">
        <f t="shared" si="3"/>
        <v>7.4223631479303442E-2</v>
      </c>
      <c r="F36" s="248">
        <f t="shared" si="4"/>
        <v>6.4212393629356268E-2</v>
      </c>
      <c r="G36" s="251">
        <f>'Bill Impacts - GARR only'!M373</f>
        <v>0</v>
      </c>
      <c r="H36" s="252">
        <f t="shared" si="2"/>
        <v>6.4212393629356143E-2</v>
      </c>
    </row>
    <row r="37" spans="1:8" ht="15.75" thickBot="1" x14ac:dyDescent="0.3">
      <c r="A37" s="212" t="s">
        <v>201</v>
      </c>
      <c r="B37" s="219">
        <v>94033.37</v>
      </c>
      <c r="C37" s="220">
        <v>251</v>
      </c>
      <c r="D37" s="223">
        <f t="shared" si="3"/>
        <v>-2.0775142992195104E-2</v>
      </c>
      <c r="E37" s="255">
        <f t="shared" si="3"/>
        <v>5.5946007020205675E-3</v>
      </c>
      <c r="F37" s="256">
        <f t="shared" si="4"/>
        <v>-1.5180542290174535E-2</v>
      </c>
      <c r="G37" s="257">
        <f>'Bill Impacts - GARR only'!M439</f>
        <v>0.11138218446320403</v>
      </c>
      <c r="H37" s="258">
        <f t="shared" si="2"/>
        <v>9.604422851255276E-2</v>
      </c>
    </row>
  </sheetData>
  <sheetProtection password="CC7B" sheet="1" objects="1" scenarios="1"/>
  <mergeCells count="17">
    <mergeCell ref="G29:G30"/>
    <mergeCell ref="H29:H30"/>
    <mergeCell ref="A29:A30"/>
    <mergeCell ref="B29:C29"/>
    <mergeCell ref="D29:D30"/>
    <mergeCell ref="E29:E30"/>
    <mergeCell ref="F29:F30"/>
    <mergeCell ref="A16:A17"/>
    <mergeCell ref="B16:C16"/>
    <mergeCell ref="D16:D17"/>
    <mergeCell ref="E16:E17"/>
    <mergeCell ref="F16:F17"/>
    <mergeCell ref="A4:A5"/>
    <mergeCell ref="B4:C4"/>
    <mergeCell ref="F4:F5"/>
    <mergeCell ref="D4:D5"/>
    <mergeCell ref="E4:E5"/>
  </mergeCells>
  <pageMargins left="0.11811023622047245" right="0.11811023622047245" top="0.15748031496062992" bottom="0.15748031496062992" header="0.11811023622047245" footer="0.11811023622047245"/>
  <pageSetup scale="64" orientation="landscape" r:id="rId1"/>
  <headerFooter>
    <oddFooter>&amp;L&amp;9&amp;Z&amp;F  &amp;A  &amp;D  &amp;T&amp;R&amp;P</oddFooter>
  </headerFooter>
  <rowBreaks count="1" manualBreakCount="1">
    <brk id="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1056"/>
  <sheetViews>
    <sheetView topLeftCell="C142" zoomScale="80" zoomScaleNormal="80" workbookViewId="0">
      <selection activeCell="G19" sqref="G19"/>
    </sheetView>
  </sheetViews>
  <sheetFormatPr defaultRowHeight="15" x14ac:dyDescent="0.25"/>
  <cols>
    <col min="1" max="1" width="9" style="100" hidden="1" customWidth="1"/>
    <col min="2" max="2" width="4.7109375" style="100" hidden="1" customWidth="1"/>
    <col min="3" max="3" width="3.42578125" style="208" customWidth="1"/>
    <col min="4" max="4" width="34.7109375" style="100" customWidth="1"/>
    <col min="5" max="5" width="13.140625" style="100" customWidth="1"/>
    <col min="6" max="6" width="10.7109375" style="100" bestFit="1" customWidth="1"/>
    <col min="7" max="7" width="11.28515625" style="100" bestFit="1" customWidth="1"/>
    <col min="8" max="8" width="19.140625" style="100" bestFit="1" customWidth="1"/>
    <col min="9" max="9" width="12.85546875" style="100" customWidth="1"/>
    <col min="10" max="10" width="16.5703125" style="100" bestFit="1" customWidth="1"/>
    <col min="11" max="11" width="21.28515625" style="100" bestFit="1" customWidth="1"/>
    <col min="12" max="12" width="14.42578125" style="100" bestFit="1" customWidth="1"/>
    <col min="13" max="13" width="20" style="100" bestFit="1" customWidth="1"/>
    <col min="14" max="14" width="22.140625" style="100" customWidth="1"/>
    <col min="15" max="15" width="14.42578125" style="100" customWidth="1"/>
    <col min="16" max="16384" width="9.140625" style="8"/>
  </cols>
  <sheetData>
    <row r="1" spans="1:15" ht="15.75" x14ac:dyDescent="0.25">
      <c r="A1" s="71"/>
      <c r="B1" s="71"/>
      <c r="C1" s="72"/>
      <c r="D1" s="75" t="s">
        <v>106</v>
      </c>
      <c r="E1" s="71"/>
      <c r="F1" s="71"/>
      <c r="G1" s="71"/>
      <c r="H1" s="71"/>
      <c r="I1" s="71"/>
      <c r="J1" s="71"/>
      <c r="K1" s="71"/>
      <c r="L1" s="71"/>
      <c r="M1" s="71"/>
      <c r="N1" s="71"/>
      <c r="O1" s="71"/>
    </row>
    <row r="2" spans="1:15" ht="64.5" x14ac:dyDescent="0.25">
      <c r="A2" s="71"/>
      <c r="B2" s="71"/>
      <c r="C2" s="72"/>
      <c r="D2" s="278" t="s">
        <v>107</v>
      </c>
      <c r="E2" s="279"/>
      <c r="F2" s="280"/>
      <c r="G2" s="76" t="s">
        <v>108</v>
      </c>
      <c r="H2" s="77" t="s">
        <v>109</v>
      </c>
      <c r="I2" s="77" t="s">
        <v>110</v>
      </c>
      <c r="J2" s="77" t="s">
        <v>111</v>
      </c>
      <c r="K2" s="77" t="s">
        <v>112</v>
      </c>
      <c r="L2" s="77" t="s">
        <v>113</v>
      </c>
      <c r="M2" s="78" t="s">
        <v>114</v>
      </c>
      <c r="N2" s="79" t="s">
        <v>115</v>
      </c>
      <c r="O2" s="71"/>
    </row>
    <row r="3" spans="1:15" x14ac:dyDescent="0.25">
      <c r="A3" s="71"/>
      <c r="B3" s="71">
        <v>1</v>
      </c>
      <c r="C3" s="80">
        <v>1</v>
      </c>
      <c r="D3" s="81" t="s">
        <v>116</v>
      </c>
      <c r="E3" s="82"/>
      <c r="F3" s="83"/>
      <c r="G3" s="84" t="str">
        <f>IF(ISERROR(VLOOKUP(D3, '[1]4. Billing Det. for Def-Var'!$A$16:$B$16, 2, FALSE)),"", VLOOKUP(D3,'[1]4. Billing Det. for Def-Var'!$A$16:$B$16, 2, FALSE))</f>
        <v/>
      </c>
      <c r="H3" s="85" t="s">
        <v>117</v>
      </c>
      <c r="I3" s="86">
        <v>1.056</v>
      </c>
      <c r="J3" s="87">
        <f t="shared" ref="J3:J22" si="0">IF(ISBLANK(I3),"", I3)</f>
        <v>1.056</v>
      </c>
      <c r="K3" s="88">
        <v>750</v>
      </c>
      <c r="L3" s="88"/>
      <c r="M3" s="85" t="s">
        <v>118</v>
      </c>
      <c r="N3" s="89"/>
      <c r="O3" s="71"/>
    </row>
    <row r="4" spans="1:15" x14ac:dyDescent="0.25">
      <c r="A4" s="71"/>
      <c r="B4" s="71">
        <v>2</v>
      </c>
      <c r="C4" s="80">
        <v>2</v>
      </c>
      <c r="D4" s="81" t="s">
        <v>119</v>
      </c>
      <c r="E4" s="82"/>
      <c r="F4" s="83"/>
      <c r="G4" s="84" t="str">
        <f>IF(ISERROR(VLOOKUP(D4, '[1]4. Billing Det. for Def-Var'!$A$16:$B$16, 2, FALSE)),"", VLOOKUP(D4,'[1]4. Billing Det. for Def-Var'!$A$16:$B$16, 2, FALSE))</f>
        <v/>
      </c>
      <c r="H4" s="85" t="s">
        <v>117</v>
      </c>
      <c r="I4" s="86">
        <v>1.056</v>
      </c>
      <c r="J4" s="87">
        <f t="shared" si="0"/>
        <v>1.056</v>
      </c>
      <c r="K4" s="88">
        <v>2000</v>
      </c>
      <c r="L4" s="88"/>
      <c r="M4" s="85" t="s">
        <v>118</v>
      </c>
      <c r="N4" s="89"/>
      <c r="O4" s="71"/>
    </row>
    <row r="5" spans="1:15" x14ac:dyDescent="0.25">
      <c r="A5" s="71"/>
      <c r="B5" s="71">
        <v>3</v>
      </c>
      <c r="C5" s="80">
        <v>3</v>
      </c>
      <c r="D5" s="81" t="s">
        <v>120</v>
      </c>
      <c r="E5" s="82"/>
      <c r="F5" s="83"/>
      <c r="G5" s="84" t="str">
        <f>IF(ISERROR(VLOOKUP(D5, '[1]4. Billing Det. for Def-Var'!$A$16:$B$16, 2, FALSE)),"", VLOOKUP(D5,'[1]4. Billing Det. for Def-Var'!$A$16:$B$16, 2, FALSE))</f>
        <v/>
      </c>
      <c r="H5" s="85" t="s">
        <v>121</v>
      </c>
      <c r="I5" s="86">
        <v>1.056</v>
      </c>
      <c r="J5" s="87">
        <f t="shared" si="0"/>
        <v>1.056</v>
      </c>
      <c r="K5" s="88">
        <v>328500</v>
      </c>
      <c r="L5" s="88">
        <v>500</v>
      </c>
      <c r="M5" s="85" t="s">
        <v>122</v>
      </c>
      <c r="N5" s="89"/>
      <c r="O5" s="71"/>
    </row>
    <row r="6" spans="1:15" x14ac:dyDescent="0.25">
      <c r="A6" s="71"/>
      <c r="B6" s="71">
        <v>4</v>
      </c>
      <c r="C6" s="80">
        <v>4</v>
      </c>
      <c r="D6" s="81" t="s">
        <v>123</v>
      </c>
      <c r="E6" s="82"/>
      <c r="F6" s="83"/>
      <c r="G6" s="84" t="str">
        <f>IF(ISERROR(VLOOKUP(D6, '[1]4. Billing Det. for Def-Var'!$A$16:$B$16, 2, FALSE)),"", VLOOKUP(D6,'[1]4. Billing Det. for Def-Var'!$A$16:$B$16, 2, FALSE))</f>
        <v/>
      </c>
      <c r="H6" s="85" t="s">
        <v>121</v>
      </c>
      <c r="I6" s="86">
        <v>1.056</v>
      </c>
      <c r="J6" s="87">
        <f t="shared" si="0"/>
        <v>1.056</v>
      </c>
      <c r="K6" s="88">
        <v>1600000</v>
      </c>
      <c r="L6" s="88">
        <v>2500</v>
      </c>
      <c r="M6" s="85" t="s">
        <v>124</v>
      </c>
      <c r="N6" s="89"/>
      <c r="O6" s="71"/>
    </row>
    <row r="7" spans="1:15" x14ac:dyDescent="0.25">
      <c r="A7" s="71"/>
      <c r="B7" s="71">
        <v>5</v>
      </c>
      <c r="C7" s="80">
        <v>5</v>
      </c>
      <c r="D7" s="81" t="s">
        <v>125</v>
      </c>
      <c r="E7" s="82"/>
      <c r="F7" s="83"/>
      <c r="G7" s="84" t="str">
        <f>IF(ISERROR(VLOOKUP(D7, '[1]4. Billing Det. for Def-Var'!$A$16:$B$16, 2, FALSE)),"", VLOOKUP(D7,'[1]4. Billing Det. for Def-Var'!$A$16:$B$16, 2, FALSE))</f>
        <v/>
      </c>
      <c r="H7" s="85" t="s">
        <v>117</v>
      </c>
      <c r="I7" s="86">
        <v>1.056</v>
      </c>
      <c r="J7" s="87">
        <f t="shared" si="0"/>
        <v>1.056</v>
      </c>
      <c r="K7" s="88">
        <v>150</v>
      </c>
      <c r="L7" s="88"/>
      <c r="M7" s="85" t="s">
        <v>118</v>
      </c>
      <c r="N7" s="90"/>
      <c r="O7" s="71"/>
    </row>
    <row r="8" spans="1:15" x14ac:dyDescent="0.25">
      <c r="A8" s="71"/>
      <c r="B8" s="71">
        <v>6</v>
      </c>
      <c r="C8" s="80">
        <v>6</v>
      </c>
      <c r="D8" s="81" t="s">
        <v>126</v>
      </c>
      <c r="E8" s="82"/>
      <c r="F8" s="83"/>
      <c r="G8" s="84" t="str">
        <f>IF(ISERROR(VLOOKUP(D8, '[1]4. Billing Det. for Def-Var'!$A$16:$B$16, 2, FALSE)),"", VLOOKUP(D8,'[1]4. Billing Det. for Def-Var'!$A$16:$B$16, 2, FALSE))</f>
        <v/>
      </c>
      <c r="H8" s="85" t="s">
        <v>117</v>
      </c>
      <c r="I8" s="86">
        <v>1.056</v>
      </c>
      <c r="J8" s="87">
        <f t="shared" si="0"/>
        <v>1.056</v>
      </c>
      <c r="K8" s="88">
        <v>650</v>
      </c>
      <c r="L8" s="88">
        <v>1</v>
      </c>
      <c r="M8" s="85" t="s">
        <v>122</v>
      </c>
      <c r="N8" s="90"/>
      <c r="O8" s="71"/>
    </row>
    <row r="9" spans="1:15" x14ac:dyDescent="0.25">
      <c r="A9" s="71"/>
      <c r="B9" s="71">
        <v>7</v>
      </c>
      <c r="C9" s="80">
        <v>7</v>
      </c>
      <c r="D9" s="81" t="s">
        <v>127</v>
      </c>
      <c r="E9" s="82"/>
      <c r="F9" s="83"/>
      <c r="G9" s="84" t="str">
        <f>IF(ISERROR(VLOOKUP(D9, '[1]4. Billing Det. for Def-Var'!$A$16:$B$16, 2, FALSE)),"", VLOOKUP(D9,'[1]4. Billing Det. for Def-Var'!$A$16:$B$16, 2, FALSE))</f>
        <v/>
      </c>
      <c r="H9" s="85" t="s">
        <v>121</v>
      </c>
      <c r="I9" s="86">
        <v>1.056</v>
      </c>
      <c r="J9" s="87">
        <f t="shared" si="0"/>
        <v>1.056</v>
      </c>
      <c r="K9" s="88">
        <v>94033.37</v>
      </c>
      <c r="L9" s="88">
        <v>251</v>
      </c>
      <c r="M9" s="85" t="s">
        <v>122</v>
      </c>
      <c r="N9" s="90"/>
      <c r="O9" s="71"/>
    </row>
    <row r="10" spans="1:15" x14ac:dyDescent="0.25">
      <c r="A10" s="71"/>
      <c r="B10" s="71">
        <v>8</v>
      </c>
      <c r="C10" s="80">
        <f>IF(ISERROR(VLOOKUP(D10, D3:AS22, 42, FALSE)),"", VLOOKUP(D10, D3:AS22, 42, FALSE))</f>
        <v>0</v>
      </c>
      <c r="D10" s="91" t="s">
        <v>116</v>
      </c>
      <c r="E10" s="92"/>
      <c r="F10" s="93"/>
      <c r="G10" s="84" t="str">
        <f>IF(ISERROR(VLOOKUP(D10, '[1]4. Billing Det. for Def-Var'!$A$16:$B$16, 2, FALSE)),"", VLOOKUP(D10,'[1]4. Billing Det. for Def-Var'!$A$16:$B$16, 2, FALSE))</f>
        <v/>
      </c>
      <c r="H10" s="85" t="s">
        <v>117</v>
      </c>
      <c r="I10" s="86">
        <v>1.056</v>
      </c>
      <c r="J10" s="87">
        <f t="shared" si="0"/>
        <v>1.056</v>
      </c>
      <c r="K10" s="88">
        <v>342</v>
      </c>
      <c r="L10" s="88"/>
      <c r="M10" s="85" t="s">
        <v>118</v>
      </c>
      <c r="N10" s="89"/>
      <c r="O10" s="71"/>
    </row>
    <row r="11" spans="1:15" x14ac:dyDescent="0.25">
      <c r="A11" s="71"/>
      <c r="B11" s="71">
        <v>9</v>
      </c>
      <c r="C11" s="80">
        <f>IF(ISERROR(VLOOKUP(D11, D3:AS22, 42, FALSE)),"", VLOOKUP(D11, D3:AS22, 42, FALSE))</f>
        <v>0</v>
      </c>
      <c r="D11" s="91" t="s">
        <v>116</v>
      </c>
      <c r="E11" s="92"/>
      <c r="F11" s="93"/>
      <c r="G11" s="84" t="str">
        <f>IF(ISERROR(VLOOKUP(D11, '[1]4. Billing Det. for Def-Var'!$A$16:$B$16, 2, FALSE)),"", VLOOKUP(D11,'[1]4. Billing Det. for Def-Var'!$A$16:$B$16, 2, FALSE))</f>
        <v/>
      </c>
      <c r="H11" s="85" t="s">
        <v>117</v>
      </c>
      <c r="I11" s="86">
        <v>1.056</v>
      </c>
      <c r="J11" s="87">
        <f t="shared" si="0"/>
        <v>1.056</v>
      </c>
      <c r="K11" s="88">
        <v>1000</v>
      </c>
      <c r="L11" s="88"/>
      <c r="M11" s="85" t="s">
        <v>118</v>
      </c>
      <c r="N11" s="89"/>
      <c r="O11" s="71"/>
    </row>
    <row r="12" spans="1:15" x14ac:dyDescent="0.25">
      <c r="A12" s="71"/>
      <c r="B12" s="71">
        <v>10</v>
      </c>
      <c r="C12" s="80">
        <f>IF(ISERROR(VLOOKUP(D12, D3:AS22, 42, FALSE)),"", VLOOKUP(D12, D3:AS22, 42, FALSE))</f>
        <v>0</v>
      </c>
      <c r="D12" s="91" t="s">
        <v>116</v>
      </c>
      <c r="E12" s="92"/>
      <c r="F12" s="93"/>
      <c r="G12" s="84" t="str">
        <f>IF(ISERROR(VLOOKUP(D12, '[1]4. Billing Det. for Def-Var'!$A$16:$B$16, 2, FALSE)),"", VLOOKUP(D12,'[1]4. Billing Det. for Def-Var'!$A$16:$B$16, 2, FALSE))</f>
        <v/>
      </c>
      <c r="H12" s="85" t="s">
        <v>117</v>
      </c>
      <c r="I12" s="86">
        <v>1.056</v>
      </c>
      <c r="J12" s="87">
        <f t="shared" si="0"/>
        <v>1.056</v>
      </c>
      <c r="K12" s="88">
        <v>2500</v>
      </c>
      <c r="L12" s="88"/>
      <c r="M12" s="85" t="s">
        <v>118</v>
      </c>
      <c r="N12" s="89"/>
      <c r="O12" s="71"/>
    </row>
    <row r="13" spans="1:15" x14ac:dyDescent="0.25">
      <c r="A13" s="71"/>
      <c r="B13" s="71">
        <v>11</v>
      </c>
      <c r="C13" s="80">
        <f>IF(ISERROR(VLOOKUP(D13, D3:AS22, 42, FALSE)),"", VLOOKUP(D13, D3:AS22, 42, FALSE))</f>
        <v>0</v>
      </c>
      <c r="D13" s="91" t="s">
        <v>119</v>
      </c>
      <c r="E13" s="92"/>
      <c r="F13" s="93"/>
      <c r="G13" s="84" t="str">
        <f>IF(ISERROR(VLOOKUP(D13, '[1]4. Billing Det. for Def-Var'!$A$16:$B$16, 2, FALSE)),"", VLOOKUP(D13,'[1]4. Billing Det. for Def-Var'!$A$16:$B$16, 2, FALSE))</f>
        <v/>
      </c>
      <c r="H13" s="85" t="s">
        <v>117</v>
      </c>
      <c r="I13" s="86">
        <v>1.056</v>
      </c>
      <c r="J13" s="87">
        <f t="shared" si="0"/>
        <v>1.056</v>
      </c>
      <c r="K13" s="88">
        <v>500</v>
      </c>
      <c r="L13" s="88"/>
      <c r="M13" s="85" t="s">
        <v>118</v>
      </c>
      <c r="N13" s="89"/>
      <c r="O13" s="71"/>
    </row>
    <row r="14" spans="1:15" x14ac:dyDescent="0.25">
      <c r="A14" s="71"/>
      <c r="B14" s="71">
        <v>12</v>
      </c>
      <c r="C14" s="80">
        <f>IF(ISERROR(VLOOKUP(D14, D3:AS22, 42, FALSE)),"", VLOOKUP(D14, D3:AS22, 42, FALSE))</f>
        <v>0</v>
      </c>
      <c r="D14" s="91" t="s">
        <v>119</v>
      </c>
      <c r="E14" s="92"/>
      <c r="F14" s="93"/>
      <c r="G14" s="84" t="str">
        <f>IF(ISERROR(VLOOKUP(D14, '[1]4. Billing Det. for Def-Var'!$A$16:$B$16, 2, FALSE)),"", VLOOKUP(D14,'[1]4. Billing Det. for Def-Var'!$A$16:$B$16, 2, FALSE))</f>
        <v/>
      </c>
      <c r="H14" s="85" t="s">
        <v>117</v>
      </c>
      <c r="I14" s="86">
        <v>1.056</v>
      </c>
      <c r="J14" s="87">
        <f t="shared" si="0"/>
        <v>1.056</v>
      </c>
      <c r="K14" s="88">
        <v>5000</v>
      </c>
      <c r="L14" s="88"/>
      <c r="M14" s="85" t="s">
        <v>118</v>
      </c>
      <c r="N14" s="89"/>
      <c r="O14" s="71"/>
    </row>
    <row r="15" spans="1:15" x14ac:dyDescent="0.25">
      <c r="A15" s="71"/>
      <c r="B15" s="71">
        <v>13</v>
      </c>
      <c r="C15" s="80">
        <f>IF(ISERROR(VLOOKUP(D15, D3:AS22, 42, FALSE)),"", VLOOKUP(D15, D3:AS22, 42, FALSE))</f>
        <v>0</v>
      </c>
      <c r="D15" s="91" t="s">
        <v>119</v>
      </c>
      <c r="E15" s="92"/>
      <c r="F15" s="93"/>
      <c r="G15" s="84" t="str">
        <f>IF(ISERROR(VLOOKUP(D15, '[1]4. Billing Det. for Def-Var'!$A$16:$B$16, 2, FALSE)),"", VLOOKUP(D15,'[1]4. Billing Det. for Def-Var'!$A$16:$B$16, 2, FALSE))</f>
        <v/>
      </c>
      <c r="H15" s="85" t="s">
        <v>117</v>
      </c>
      <c r="I15" s="86">
        <v>1.056</v>
      </c>
      <c r="J15" s="87">
        <f t="shared" si="0"/>
        <v>1.056</v>
      </c>
      <c r="K15" s="88">
        <v>15000</v>
      </c>
      <c r="L15" s="88"/>
      <c r="M15" s="85" t="s">
        <v>118</v>
      </c>
      <c r="N15" s="89"/>
      <c r="O15" s="71"/>
    </row>
    <row r="16" spans="1:15" x14ac:dyDescent="0.25">
      <c r="A16" s="71"/>
      <c r="B16" s="71">
        <v>14</v>
      </c>
      <c r="C16" s="80">
        <f>IF(ISERROR(VLOOKUP(D16, D3:AS22, 42, FALSE)),"", VLOOKUP(D16, D3:AS22, 42, FALSE))</f>
        <v>0</v>
      </c>
      <c r="D16" s="91" t="s">
        <v>120</v>
      </c>
      <c r="E16" s="92"/>
      <c r="F16" s="93"/>
      <c r="G16" s="84" t="str">
        <f>IF(ISERROR(VLOOKUP(D16, '[1]4. Billing Det. for Def-Var'!$A$16:$B$16, 2, FALSE)),"", VLOOKUP(D16,'[1]4. Billing Det. for Def-Var'!$A$16:$B$16, 2, FALSE))</f>
        <v/>
      </c>
      <c r="H16" s="85" t="s">
        <v>121</v>
      </c>
      <c r="I16" s="86">
        <v>1.056</v>
      </c>
      <c r="J16" s="87">
        <f t="shared" si="0"/>
        <v>1.056</v>
      </c>
      <c r="K16" s="88">
        <v>20000</v>
      </c>
      <c r="L16" s="88">
        <v>60</v>
      </c>
      <c r="M16" s="85" t="s">
        <v>122</v>
      </c>
      <c r="N16" s="89"/>
      <c r="O16" s="71"/>
    </row>
    <row r="17" spans="1:15" x14ac:dyDescent="0.25">
      <c r="A17" s="71"/>
      <c r="B17" s="71">
        <v>15</v>
      </c>
      <c r="C17" s="80">
        <f>IF(ISERROR(VLOOKUP(D17, D3:AS22, 42, FALSE)),"", VLOOKUP(D17, D3:AS22, 42, FALSE))</f>
        <v>0</v>
      </c>
      <c r="D17" s="91" t="s">
        <v>120</v>
      </c>
      <c r="E17" s="92"/>
      <c r="F17" s="93"/>
      <c r="G17" s="84" t="str">
        <f>IF(ISERROR(VLOOKUP(D17, '[1]4. Billing Det. for Def-Var'!$A$16:$B$16, 2, FALSE)),"", VLOOKUP(D17,'[1]4. Billing Det. for Def-Var'!$A$16:$B$16, 2, FALSE))</f>
        <v/>
      </c>
      <c r="H17" s="85" t="s">
        <v>121</v>
      </c>
      <c r="I17" s="86">
        <v>1.056</v>
      </c>
      <c r="J17" s="87">
        <f t="shared" si="0"/>
        <v>1.056</v>
      </c>
      <c r="K17" s="88">
        <v>500000</v>
      </c>
      <c r="L17" s="88">
        <v>750</v>
      </c>
      <c r="M17" s="85" t="s">
        <v>122</v>
      </c>
      <c r="N17" s="89"/>
      <c r="O17" s="71"/>
    </row>
    <row r="18" spans="1:15" x14ac:dyDescent="0.25">
      <c r="A18" s="71"/>
      <c r="B18" s="71">
        <v>16</v>
      </c>
      <c r="C18" s="80">
        <f>IF(ISERROR(VLOOKUP(D18, D3:AS22, 42, FALSE)),"", VLOOKUP(D18, D3:AS22, 42, FALSE))</f>
        <v>0</v>
      </c>
      <c r="D18" s="91" t="s">
        <v>123</v>
      </c>
      <c r="E18" s="92"/>
      <c r="F18" s="93"/>
      <c r="G18" s="84" t="str">
        <f>IF(ISERROR(VLOOKUP(D18, '[1]4. Billing Det. for Def-Var'!$A$16:$B$16, 2, FALSE)),"", VLOOKUP(D18,'[1]4. Billing Det. for Def-Var'!$A$16:$B$16, 2, FALSE))</f>
        <v/>
      </c>
      <c r="H18" s="85" t="s">
        <v>121</v>
      </c>
      <c r="I18" s="86">
        <v>1.056</v>
      </c>
      <c r="J18" s="87">
        <f t="shared" si="0"/>
        <v>1.056</v>
      </c>
      <c r="K18" s="88">
        <v>1000000</v>
      </c>
      <c r="L18" s="88">
        <v>2000</v>
      </c>
      <c r="M18" s="85" t="s">
        <v>124</v>
      </c>
      <c r="N18" s="89"/>
      <c r="O18" s="71"/>
    </row>
    <row r="19" spans="1:15" x14ac:dyDescent="0.25">
      <c r="A19" s="71"/>
      <c r="B19" s="71">
        <v>17</v>
      </c>
      <c r="C19" s="80">
        <f>IF(ISERROR(VLOOKUP(D19, D3:AS22, 42, FALSE)),"", VLOOKUP(D19, D3:AS22, 42, FALSE))</f>
        <v>0</v>
      </c>
      <c r="D19" s="91" t="s">
        <v>123</v>
      </c>
      <c r="E19" s="92"/>
      <c r="F19" s="93"/>
      <c r="G19" s="84" t="str">
        <f>IF(ISERROR(VLOOKUP(D19, '[1]4. Billing Det. for Def-Var'!$A$16:$B$16, 2, FALSE)),"", VLOOKUP(D19,'[1]4. Billing Det. for Def-Var'!$A$16:$B$16, 2, FALSE))</f>
        <v/>
      </c>
      <c r="H19" s="85" t="s">
        <v>121</v>
      </c>
      <c r="I19" s="86">
        <v>1.056</v>
      </c>
      <c r="J19" s="87">
        <f t="shared" si="0"/>
        <v>1.056</v>
      </c>
      <c r="K19" s="88">
        <v>3000000</v>
      </c>
      <c r="L19" s="88">
        <v>4000</v>
      </c>
      <c r="M19" s="85" t="s">
        <v>124</v>
      </c>
      <c r="N19" s="89"/>
      <c r="O19" s="71"/>
    </row>
    <row r="20" spans="1:15" x14ac:dyDescent="0.25">
      <c r="A20" s="71"/>
      <c r="B20" s="71">
        <v>18</v>
      </c>
      <c r="C20" s="80">
        <f>IF(ISERROR(VLOOKUP(D20, D3:AS22, 42, FALSE)),"", VLOOKUP(D20, D3:AS22, 42, FALSE))</f>
        <v>0</v>
      </c>
      <c r="D20" s="91" t="s">
        <v>120</v>
      </c>
      <c r="E20" s="92"/>
      <c r="F20" s="93"/>
      <c r="G20" s="84" t="str">
        <f>IF(ISERROR(VLOOKUP(D20, '[1]4. Billing Det. for Def-Var'!$A$16:$B$16, 2, FALSE)),"", VLOOKUP(D20,'[1]4. Billing Det. for Def-Var'!$A$16:$B$16, 2, FALSE))</f>
        <v/>
      </c>
      <c r="H20" s="85" t="s">
        <v>117</v>
      </c>
      <c r="I20" s="86">
        <v>1.056</v>
      </c>
      <c r="J20" s="87">
        <f t="shared" si="0"/>
        <v>1.056</v>
      </c>
      <c r="K20" s="88">
        <v>69000</v>
      </c>
      <c r="L20" s="88">
        <v>160</v>
      </c>
      <c r="M20" s="85" t="s">
        <v>122</v>
      </c>
      <c r="N20" s="89"/>
      <c r="O20" s="71"/>
    </row>
    <row r="21" spans="1:15" x14ac:dyDescent="0.25">
      <c r="A21" s="71"/>
      <c r="B21" s="71">
        <v>19</v>
      </c>
      <c r="C21" s="80">
        <f>IF(ISERROR(VLOOKUP(D10, D3:AS22, 42, FALSE)),"", VLOOKUP(D10, D3:AS22, 42, FALSE))</f>
        <v>0</v>
      </c>
      <c r="D21" s="91" t="s">
        <v>128</v>
      </c>
      <c r="E21" s="92"/>
      <c r="F21" s="93"/>
      <c r="G21" s="84" t="str">
        <f>IF(ISERROR(VLOOKUP(D21, '[1]4. Billing Det. for Def-Var'!$A$16:$B$16, 2, FALSE)),"", VLOOKUP(D21,'[1]4. Billing Det. for Def-Var'!$A$16:$B$16, 2, FALSE))</f>
        <v/>
      </c>
      <c r="H21" s="85"/>
      <c r="I21" s="86"/>
      <c r="J21" s="87" t="str">
        <f t="shared" si="0"/>
        <v/>
      </c>
      <c r="K21" s="88"/>
      <c r="L21" s="88"/>
      <c r="M21" s="85"/>
      <c r="N21" s="89"/>
      <c r="O21" s="71"/>
    </row>
    <row r="22" spans="1:15" x14ac:dyDescent="0.25">
      <c r="A22" s="71"/>
      <c r="B22" s="71">
        <v>20</v>
      </c>
      <c r="C22" s="80">
        <f>IF(ISERROR(VLOOKUP(D11, D3:AS22, 42, FALSE)),"", VLOOKUP(D11, D3:AS22, 42, FALSE))</f>
        <v>0</v>
      </c>
      <c r="D22" s="91" t="s">
        <v>128</v>
      </c>
      <c r="E22" s="92"/>
      <c r="F22" s="93"/>
      <c r="G22" s="84" t="str">
        <f>IF(ISERROR(VLOOKUP(D22, '[1]4. Billing Det. for Def-Var'!$A$16:$B$16, 2, FALSE)),"", VLOOKUP(D22,'[1]4. Billing Det. for Def-Var'!$A$16:$B$16, 2, FALSE))</f>
        <v/>
      </c>
      <c r="H22" s="85"/>
      <c r="I22" s="86"/>
      <c r="J22" s="87" t="str">
        <f t="shared" si="0"/>
        <v/>
      </c>
      <c r="K22" s="88"/>
      <c r="L22" s="88"/>
      <c r="M22" s="85"/>
      <c r="N22" s="89"/>
      <c r="O22" s="71"/>
    </row>
    <row r="23" spans="1:15" x14ac:dyDescent="0.25">
      <c r="A23" s="71"/>
      <c r="B23" s="71"/>
      <c r="C23" s="72"/>
      <c r="D23" s="71"/>
      <c r="E23" s="71"/>
      <c r="F23" s="71"/>
      <c r="G23" s="71"/>
      <c r="H23" s="71"/>
      <c r="I23" s="71"/>
      <c r="J23" s="71"/>
      <c r="K23" s="71"/>
      <c r="L23" s="71"/>
      <c r="M23" s="71"/>
      <c r="N23" s="71"/>
      <c r="O23" s="71"/>
    </row>
    <row r="24" spans="1:15" ht="15.75" x14ac:dyDescent="0.25">
      <c r="A24" s="71"/>
      <c r="B24" s="71"/>
      <c r="C24" s="72"/>
      <c r="D24" s="75" t="s">
        <v>129</v>
      </c>
      <c r="E24" s="71"/>
      <c r="F24" s="71"/>
      <c r="G24" s="71"/>
      <c r="H24" s="71"/>
      <c r="I24" s="71"/>
      <c r="J24" s="71"/>
      <c r="K24" s="71"/>
      <c r="L24" s="71"/>
      <c r="M24" s="71"/>
      <c r="N24" s="71"/>
      <c r="O24" s="71"/>
    </row>
    <row r="25" spans="1:15" x14ac:dyDescent="0.25">
      <c r="A25" s="71"/>
      <c r="B25" s="71"/>
      <c r="C25" s="72"/>
      <c r="D25" s="281" t="s">
        <v>107</v>
      </c>
      <c r="E25" s="282"/>
      <c r="F25" s="283"/>
      <c r="G25" s="290" t="s">
        <v>108</v>
      </c>
      <c r="H25" s="291" t="s">
        <v>130</v>
      </c>
      <c r="I25" s="291"/>
      <c r="J25" s="291"/>
      <c r="K25" s="291"/>
      <c r="L25" s="291"/>
      <c r="M25" s="291"/>
      <c r="N25" s="291" t="s">
        <v>93</v>
      </c>
      <c r="O25" s="291"/>
    </row>
    <row r="26" spans="1:15" x14ac:dyDescent="0.25">
      <c r="A26" s="71"/>
      <c r="B26" s="71"/>
      <c r="C26" s="72"/>
      <c r="D26" s="284"/>
      <c r="E26" s="285"/>
      <c r="F26" s="286"/>
      <c r="G26" s="290"/>
      <c r="H26" s="292" t="s">
        <v>3</v>
      </c>
      <c r="I26" s="292"/>
      <c r="J26" s="292" t="s">
        <v>6</v>
      </c>
      <c r="K26" s="292"/>
      <c r="L26" s="292" t="s">
        <v>8</v>
      </c>
      <c r="M26" s="292"/>
      <c r="N26" s="292" t="s">
        <v>131</v>
      </c>
      <c r="O26" s="292"/>
    </row>
    <row r="27" spans="1:15" x14ac:dyDescent="0.25">
      <c r="A27" s="71"/>
      <c r="B27" s="71"/>
      <c r="C27" s="72"/>
      <c r="D27" s="287"/>
      <c r="E27" s="288"/>
      <c r="F27" s="289"/>
      <c r="G27" s="290"/>
      <c r="H27" s="94" t="s">
        <v>132</v>
      </c>
      <c r="I27" s="94" t="s">
        <v>133</v>
      </c>
      <c r="J27" s="94" t="s">
        <v>132</v>
      </c>
      <c r="K27" s="94" t="s">
        <v>133</v>
      </c>
      <c r="L27" s="94" t="s">
        <v>132</v>
      </c>
      <c r="M27" s="94" t="s">
        <v>133</v>
      </c>
      <c r="N27" s="94" t="s">
        <v>132</v>
      </c>
      <c r="O27" s="94" t="s">
        <v>133</v>
      </c>
    </row>
    <row r="28" spans="1:15" x14ac:dyDescent="0.25">
      <c r="A28" s="71"/>
      <c r="B28" s="71" t="str">
        <f>H3</f>
        <v>RPP</v>
      </c>
      <c r="C28" s="72">
        <v>1</v>
      </c>
      <c r="D28" s="293" t="str">
        <f t="shared" ref="D28:D47" si="1">IF(ISBLANK(D3), "", IF(D3 = "Add additional scenarios if required", "", IF(M3="YES", D3 &amp; " - " &amp; H3 &amp; " - Interval Customers", D3 &amp; " - " &amp;H3)))</f>
        <v>RESIDENTIAL SERVICE CLASSIFICATION - RPP</v>
      </c>
      <c r="E28" s="294"/>
      <c r="F28" s="294"/>
      <c r="G28" s="95" t="str">
        <f t="shared" ref="G28:G42" si="2">IF(ISBLANK(G3), "", G3)</f>
        <v/>
      </c>
      <c r="H28" s="96" t="str">
        <f>IF(LEN($G28)&gt;1, (SUMPRODUCT(--($C$51:$C$1973=$B3), --($A$51:$A$1973=$D3), --($B$51:$B$1973="ST_A"), $L$51:$L$1973)), "")</f>
        <v/>
      </c>
      <c r="I28" s="97" t="str">
        <f>IF(LEN($G28)&gt;1, (SUMPRODUCT(--($C$51:$C$1973=$B3), --($A$51:$A$1973=$D3), --($B$51:$B$1973="ST_A"), $M$51:$M$1973)), "")</f>
        <v/>
      </c>
      <c r="J28" s="96" t="str">
        <f>IF(LEN($G28)&gt;1, (SUMPRODUCT(--($C$51:$C$1973=$B3), --($A$51:$A$1973=$D3), --($B$51:$B$1973="ST_B"), $L$51:$L$1973)), "")</f>
        <v/>
      </c>
      <c r="K28" s="97" t="str">
        <f>IF(LEN($G28)&gt;1, (SUMPRODUCT(--($C$51:$C$1973=$B3), --($A$51:$A$1973=$D3), --($B$51:$B$1973="ST_B"), $M$51:$M$1973)), "")</f>
        <v/>
      </c>
      <c r="L28" s="96" t="str">
        <f>IF(LEN($G28)&gt;1, (SUMPRODUCT(--($C$51:$C$1973=$B3), --($A$51:$A$1973=$D3), --($B$51:$B$1973="ST_C"), $L$51:$L$1973)), "")</f>
        <v/>
      </c>
      <c r="M28" s="97" t="str">
        <f>IF(LEN($G28)&gt;1, (SUMPRODUCT(--($C$51:$C$1973=$B3), --($A$51:$A$1973=$D3), --($B$51:$B$1973="ST_C"), $M$51:$M$1973)), "")</f>
        <v/>
      </c>
      <c r="N28" s="96" t="str">
        <f>IF(LEN($G28)&gt;1, (SUMPRODUCT(--($C$51:$C$1973=$B3), --($A$51:$A$1973=$D3), --($B$51:$B$1973=$B28&amp;"_TOTAL"), $L$51:$L$1973)), "")</f>
        <v/>
      </c>
      <c r="O28" s="97" t="str">
        <f>IF(LEN($G28)&gt;1, (SUMPRODUCT(--($C$51:$C$1973=$B3), --($A$51:$A$1973=$D3), --($B$51:$B$1973=$B28&amp;"_TOTAL"), $M$51:$M$1973)), "")</f>
        <v/>
      </c>
    </row>
    <row r="29" spans="1:15" x14ac:dyDescent="0.25">
      <c r="A29" s="71"/>
      <c r="B29" s="71" t="str">
        <f t="shared" ref="B29:B47" si="3">H4</f>
        <v>RPP</v>
      </c>
      <c r="C29" s="72">
        <v>2</v>
      </c>
      <c r="D29" s="293" t="str">
        <f t="shared" si="1"/>
        <v>GENERAL SERVICE LESS THAN 50 KW SERVICE CLASSIFICATION - RPP</v>
      </c>
      <c r="E29" s="294"/>
      <c r="F29" s="294"/>
      <c r="G29" s="95" t="str">
        <f t="shared" si="2"/>
        <v/>
      </c>
      <c r="H29" s="96" t="str">
        <f t="shared" ref="H29:H47" si="4">IF(LEN($G29)&gt;1, (SUMPRODUCT(--($C$51:$C$1973=$B4), --($A$51:$A$1973=$D4), --($B$51:$B$1973="ST_A"), $L$51:$L$1973)), "")</f>
        <v/>
      </c>
      <c r="I29" s="97" t="str">
        <f t="shared" ref="I29:I47" si="5">IF(LEN($G29)&gt;1, (SUMPRODUCT(--($C$51:$C$1973=$B4), --($A$51:$A$1973=$D4), --($B$51:$B$1973="ST_A"), $M$51:$M$1973)), "")</f>
        <v/>
      </c>
      <c r="J29" s="96" t="str">
        <f t="shared" ref="J29:J47" si="6">IF(LEN($G29)&gt;1, (SUMPRODUCT(--($C$51:$C$1973=$B4), --($A$51:$A$1973=$D4), --($B$51:$B$1973="ST_B"), $L$51:$L$1973)), "")</f>
        <v/>
      </c>
      <c r="K29" s="97" t="str">
        <f t="shared" ref="K29:K47" si="7">IF(LEN($G29)&gt;1, (SUMPRODUCT(--($C$51:$C$1973=$B4), --($A$51:$A$1973=$D4), --($B$51:$B$1973="ST_B"), $M$51:$M$1973)), "")</f>
        <v/>
      </c>
      <c r="L29" s="96" t="str">
        <f t="shared" ref="L29:L47" si="8">IF(LEN($G29)&gt;1, (SUMPRODUCT(--($C$51:$C$1973=$B4), --($A$51:$A$1973=$D4), --($B$51:$B$1973="ST_C"), $L$51:$L$1973)), "")</f>
        <v/>
      </c>
      <c r="M29" s="97" t="str">
        <f t="shared" ref="M29:M47" si="9">IF(LEN($G29)&gt;1, (SUMPRODUCT(--($C$51:$C$1973=$B4), --($A$51:$A$1973=$D4), --($B$51:$B$1973="ST_C"), $M$51:$M$1973)), "")</f>
        <v/>
      </c>
      <c r="N29" s="96" t="str">
        <f t="shared" ref="N29:N47" si="10">IF(LEN($G29)&gt;1, (SUMPRODUCT(--($C$51:$C$1973=$B4), --($A$51:$A$1973=$D4), --($B$51:$B$1973=$B29&amp;"_TOTAL"), $L$51:$L$1973)), "")</f>
        <v/>
      </c>
      <c r="O29" s="97" t="str">
        <f t="shared" ref="O29:O47" si="11">IF(LEN($G29)&gt;1, (SUMPRODUCT(--($C$51:$C$1973=$B4), --($A$51:$A$1973=$D4), --($B$51:$B$1973=$B29&amp;"_TOTAL"), $M$51:$M$1973)), "")</f>
        <v/>
      </c>
    </row>
    <row r="30" spans="1:15" x14ac:dyDescent="0.25">
      <c r="A30" s="71"/>
      <c r="B30" s="71" t="str">
        <f t="shared" si="3"/>
        <v>Non-RPP (Other)</v>
      </c>
      <c r="C30" s="72">
        <v>3</v>
      </c>
      <c r="D30" s="293" t="str">
        <f t="shared" si="1"/>
        <v>GENERAL SERVICE 50 TO 999 KW SERVICE CLASSIFICATION - Non-RPP (Other)</v>
      </c>
      <c r="E30" s="294"/>
      <c r="F30" s="294"/>
      <c r="G30" s="95" t="str">
        <f t="shared" si="2"/>
        <v/>
      </c>
      <c r="H30" s="96" t="str">
        <f t="shared" si="4"/>
        <v/>
      </c>
      <c r="I30" s="97" t="str">
        <f t="shared" si="5"/>
        <v/>
      </c>
      <c r="J30" s="96" t="str">
        <f t="shared" si="6"/>
        <v/>
      </c>
      <c r="K30" s="97" t="str">
        <f t="shared" si="7"/>
        <v/>
      </c>
      <c r="L30" s="96" t="str">
        <f t="shared" si="8"/>
        <v/>
      </c>
      <c r="M30" s="97" t="str">
        <f t="shared" si="9"/>
        <v/>
      </c>
      <c r="N30" s="96" t="str">
        <f t="shared" si="10"/>
        <v/>
      </c>
      <c r="O30" s="97" t="str">
        <f t="shared" si="11"/>
        <v/>
      </c>
    </row>
    <row r="31" spans="1:15" x14ac:dyDescent="0.25">
      <c r="A31" s="71"/>
      <c r="B31" s="71" t="str">
        <f t="shared" si="3"/>
        <v>Non-RPP (Other)</v>
      </c>
      <c r="C31" s="72">
        <v>4</v>
      </c>
      <c r="D31" s="293" t="str">
        <f t="shared" si="1"/>
        <v>GENERAL SERVICE 1,000 TO 4,999 KW SERVICE CLASSIFICATION - Non-RPP (Other)</v>
      </c>
      <c r="E31" s="294"/>
      <c r="F31" s="294"/>
      <c r="G31" s="95" t="str">
        <f t="shared" si="2"/>
        <v/>
      </c>
      <c r="H31" s="96" t="str">
        <f t="shared" si="4"/>
        <v/>
      </c>
      <c r="I31" s="97" t="str">
        <f t="shared" si="5"/>
        <v/>
      </c>
      <c r="J31" s="96" t="str">
        <f t="shared" si="6"/>
        <v/>
      </c>
      <c r="K31" s="97" t="str">
        <f t="shared" si="7"/>
        <v/>
      </c>
      <c r="L31" s="96" t="str">
        <f t="shared" si="8"/>
        <v/>
      </c>
      <c r="M31" s="97" t="str">
        <f t="shared" si="9"/>
        <v/>
      </c>
      <c r="N31" s="96" t="str">
        <f t="shared" si="10"/>
        <v/>
      </c>
      <c r="O31" s="97" t="str">
        <f t="shared" si="11"/>
        <v/>
      </c>
    </row>
    <row r="32" spans="1:15" x14ac:dyDescent="0.25">
      <c r="A32" s="71"/>
      <c r="B32" s="71" t="str">
        <f t="shared" si="3"/>
        <v>RPP</v>
      </c>
      <c r="C32" s="72">
        <v>5</v>
      </c>
      <c r="D32" s="293" t="str">
        <f t="shared" si="1"/>
        <v>UNMETERED SCATTERED LOAD SERVICE CLASSIFICATION - RPP</v>
      </c>
      <c r="E32" s="294"/>
      <c r="F32" s="294"/>
      <c r="G32" s="95" t="str">
        <f t="shared" si="2"/>
        <v/>
      </c>
      <c r="H32" s="96" t="str">
        <f t="shared" si="4"/>
        <v/>
      </c>
      <c r="I32" s="97" t="str">
        <f t="shared" si="5"/>
        <v/>
      </c>
      <c r="J32" s="96" t="str">
        <f t="shared" si="6"/>
        <v/>
      </c>
      <c r="K32" s="97" t="str">
        <f t="shared" si="7"/>
        <v/>
      </c>
      <c r="L32" s="96" t="str">
        <f t="shared" si="8"/>
        <v/>
      </c>
      <c r="M32" s="97" t="str">
        <f t="shared" si="9"/>
        <v/>
      </c>
      <c r="N32" s="96" t="str">
        <f t="shared" si="10"/>
        <v/>
      </c>
      <c r="O32" s="97" t="str">
        <f t="shared" si="11"/>
        <v/>
      </c>
    </row>
    <row r="33" spans="1:15" x14ac:dyDescent="0.25">
      <c r="A33" s="71"/>
      <c r="B33" s="71" t="str">
        <f t="shared" si="3"/>
        <v>RPP</v>
      </c>
      <c r="C33" s="72">
        <v>6</v>
      </c>
      <c r="D33" s="293" t="str">
        <f t="shared" si="1"/>
        <v>SENTINEL LIGHTING SERVICE CLASSIFICATION - RPP</v>
      </c>
      <c r="E33" s="294"/>
      <c r="F33" s="294"/>
      <c r="G33" s="95" t="str">
        <f t="shared" si="2"/>
        <v/>
      </c>
      <c r="H33" s="96" t="str">
        <f t="shared" si="4"/>
        <v/>
      </c>
      <c r="I33" s="97" t="str">
        <f t="shared" si="5"/>
        <v/>
      </c>
      <c r="J33" s="96" t="str">
        <f t="shared" si="6"/>
        <v/>
      </c>
      <c r="K33" s="97" t="str">
        <f t="shared" si="7"/>
        <v/>
      </c>
      <c r="L33" s="96" t="str">
        <f t="shared" si="8"/>
        <v/>
      </c>
      <c r="M33" s="97" t="str">
        <f t="shared" si="9"/>
        <v/>
      </c>
      <c r="N33" s="96" t="str">
        <f t="shared" si="10"/>
        <v/>
      </c>
      <c r="O33" s="97" t="str">
        <f t="shared" si="11"/>
        <v/>
      </c>
    </row>
    <row r="34" spans="1:15" x14ac:dyDescent="0.25">
      <c r="A34" s="71"/>
      <c r="B34" s="71" t="str">
        <f t="shared" si="3"/>
        <v>Non-RPP (Other)</v>
      </c>
      <c r="C34" s="72">
        <v>7</v>
      </c>
      <c r="D34" s="293" t="str">
        <f t="shared" si="1"/>
        <v>STREET LIGHTING SERVICE CLASSIFICATION - Non-RPP (Other)</v>
      </c>
      <c r="E34" s="294"/>
      <c r="F34" s="294"/>
      <c r="G34" s="95" t="str">
        <f t="shared" si="2"/>
        <v/>
      </c>
      <c r="H34" s="96" t="str">
        <f t="shared" si="4"/>
        <v/>
      </c>
      <c r="I34" s="97" t="str">
        <f t="shared" si="5"/>
        <v/>
      </c>
      <c r="J34" s="96" t="str">
        <f t="shared" si="6"/>
        <v/>
      </c>
      <c r="K34" s="97" t="str">
        <f t="shared" si="7"/>
        <v/>
      </c>
      <c r="L34" s="96" t="str">
        <f t="shared" si="8"/>
        <v/>
      </c>
      <c r="M34" s="97" t="str">
        <f t="shared" si="9"/>
        <v/>
      </c>
      <c r="N34" s="96" t="str">
        <f t="shared" si="10"/>
        <v/>
      </c>
      <c r="O34" s="97" t="str">
        <f t="shared" si="11"/>
        <v/>
      </c>
    </row>
    <row r="35" spans="1:15" x14ac:dyDescent="0.25">
      <c r="A35" s="71"/>
      <c r="B35" s="71" t="str">
        <f t="shared" si="3"/>
        <v>RPP</v>
      </c>
      <c r="C35" s="72">
        <v>8</v>
      </c>
      <c r="D35" s="293" t="str">
        <f t="shared" si="1"/>
        <v>RESIDENTIAL SERVICE CLASSIFICATION - RPP</v>
      </c>
      <c r="E35" s="294"/>
      <c r="F35" s="294"/>
      <c r="G35" s="95" t="str">
        <f t="shared" si="2"/>
        <v/>
      </c>
      <c r="H35" s="96" t="str">
        <f t="shared" si="4"/>
        <v/>
      </c>
      <c r="I35" s="97" t="str">
        <f t="shared" si="5"/>
        <v/>
      </c>
      <c r="J35" s="96" t="str">
        <f t="shared" si="6"/>
        <v/>
      </c>
      <c r="K35" s="97" t="str">
        <f t="shared" si="7"/>
        <v/>
      </c>
      <c r="L35" s="96" t="str">
        <f t="shared" si="8"/>
        <v/>
      </c>
      <c r="M35" s="97" t="str">
        <f t="shared" si="9"/>
        <v/>
      </c>
      <c r="N35" s="96" t="str">
        <f t="shared" si="10"/>
        <v/>
      </c>
      <c r="O35" s="97" t="str">
        <f t="shared" si="11"/>
        <v/>
      </c>
    </row>
    <row r="36" spans="1:15" x14ac:dyDescent="0.25">
      <c r="A36" s="71"/>
      <c r="B36" s="71" t="str">
        <f t="shared" si="3"/>
        <v>RPP</v>
      </c>
      <c r="C36" s="72">
        <v>9</v>
      </c>
      <c r="D36" s="293" t="str">
        <f t="shared" si="1"/>
        <v>RESIDENTIAL SERVICE CLASSIFICATION - RPP</v>
      </c>
      <c r="E36" s="294"/>
      <c r="F36" s="294"/>
      <c r="G36" s="95" t="str">
        <f t="shared" si="2"/>
        <v/>
      </c>
      <c r="H36" s="96" t="str">
        <f t="shared" si="4"/>
        <v/>
      </c>
      <c r="I36" s="97" t="str">
        <f t="shared" si="5"/>
        <v/>
      </c>
      <c r="J36" s="96" t="str">
        <f t="shared" si="6"/>
        <v/>
      </c>
      <c r="K36" s="97" t="str">
        <f t="shared" si="7"/>
        <v/>
      </c>
      <c r="L36" s="96" t="str">
        <f t="shared" si="8"/>
        <v/>
      </c>
      <c r="M36" s="97" t="str">
        <f t="shared" si="9"/>
        <v/>
      </c>
      <c r="N36" s="96" t="str">
        <f t="shared" si="10"/>
        <v/>
      </c>
      <c r="O36" s="97" t="str">
        <f t="shared" si="11"/>
        <v/>
      </c>
    </row>
    <row r="37" spans="1:15" x14ac:dyDescent="0.25">
      <c r="A37" s="71"/>
      <c r="B37" s="71" t="str">
        <f t="shared" si="3"/>
        <v>RPP</v>
      </c>
      <c r="C37" s="72">
        <v>10</v>
      </c>
      <c r="D37" s="293" t="str">
        <f t="shared" si="1"/>
        <v>RESIDENTIAL SERVICE CLASSIFICATION - RPP</v>
      </c>
      <c r="E37" s="294"/>
      <c r="F37" s="294"/>
      <c r="G37" s="95" t="str">
        <f t="shared" si="2"/>
        <v/>
      </c>
      <c r="H37" s="96" t="str">
        <f t="shared" si="4"/>
        <v/>
      </c>
      <c r="I37" s="97" t="str">
        <f t="shared" si="5"/>
        <v/>
      </c>
      <c r="J37" s="96" t="str">
        <f t="shared" si="6"/>
        <v/>
      </c>
      <c r="K37" s="97" t="str">
        <f t="shared" si="7"/>
        <v/>
      </c>
      <c r="L37" s="96" t="str">
        <f t="shared" si="8"/>
        <v/>
      </c>
      <c r="M37" s="97" t="str">
        <f t="shared" si="9"/>
        <v/>
      </c>
      <c r="N37" s="96" t="str">
        <f t="shared" si="10"/>
        <v/>
      </c>
      <c r="O37" s="97" t="str">
        <f t="shared" si="11"/>
        <v/>
      </c>
    </row>
    <row r="38" spans="1:15" x14ac:dyDescent="0.25">
      <c r="A38" s="71"/>
      <c r="B38" s="71" t="str">
        <f t="shared" si="3"/>
        <v>RPP</v>
      </c>
      <c r="C38" s="72">
        <v>11</v>
      </c>
      <c r="D38" s="293" t="str">
        <f t="shared" si="1"/>
        <v>GENERAL SERVICE LESS THAN 50 KW SERVICE CLASSIFICATION - RPP</v>
      </c>
      <c r="E38" s="294"/>
      <c r="F38" s="294"/>
      <c r="G38" s="95" t="str">
        <f t="shared" si="2"/>
        <v/>
      </c>
      <c r="H38" s="96" t="str">
        <f t="shared" si="4"/>
        <v/>
      </c>
      <c r="I38" s="97" t="str">
        <f t="shared" si="5"/>
        <v/>
      </c>
      <c r="J38" s="96" t="str">
        <f t="shared" si="6"/>
        <v/>
      </c>
      <c r="K38" s="97" t="str">
        <f t="shared" si="7"/>
        <v/>
      </c>
      <c r="L38" s="96" t="str">
        <f t="shared" si="8"/>
        <v/>
      </c>
      <c r="M38" s="97" t="str">
        <f t="shared" si="9"/>
        <v/>
      </c>
      <c r="N38" s="96" t="str">
        <f t="shared" si="10"/>
        <v/>
      </c>
      <c r="O38" s="97" t="str">
        <f t="shared" si="11"/>
        <v/>
      </c>
    </row>
    <row r="39" spans="1:15" x14ac:dyDescent="0.25">
      <c r="A39" s="71"/>
      <c r="B39" s="71" t="str">
        <f t="shared" si="3"/>
        <v>RPP</v>
      </c>
      <c r="C39" s="72">
        <v>12</v>
      </c>
      <c r="D39" s="293" t="str">
        <f t="shared" si="1"/>
        <v>GENERAL SERVICE LESS THAN 50 KW SERVICE CLASSIFICATION - RPP</v>
      </c>
      <c r="E39" s="294"/>
      <c r="F39" s="294"/>
      <c r="G39" s="95" t="str">
        <f t="shared" si="2"/>
        <v/>
      </c>
      <c r="H39" s="96" t="str">
        <f t="shared" si="4"/>
        <v/>
      </c>
      <c r="I39" s="97" t="str">
        <f t="shared" si="5"/>
        <v/>
      </c>
      <c r="J39" s="96" t="str">
        <f t="shared" si="6"/>
        <v/>
      </c>
      <c r="K39" s="97" t="str">
        <f t="shared" si="7"/>
        <v/>
      </c>
      <c r="L39" s="96" t="str">
        <f t="shared" si="8"/>
        <v/>
      </c>
      <c r="M39" s="97" t="str">
        <f t="shared" si="9"/>
        <v/>
      </c>
      <c r="N39" s="96" t="str">
        <f t="shared" si="10"/>
        <v/>
      </c>
      <c r="O39" s="97" t="str">
        <f t="shared" si="11"/>
        <v/>
      </c>
    </row>
    <row r="40" spans="1:15" x14ac:dyDescent="0.25">
      <c r="A40" s="71"/>
      <c r="B40" s="71" t="str">
        <f t="shared" si="3"/>
        <v>RPP</v>
      </c>
      <c r="C40" s="72">
        <v>13</v>
      </c>
      <c r="D40" s="293" t="str">
        <f t="shared" si="1"/>
        <v>GENERAL SERVICE LESS THAN 50 KW SERVICE CLASSIFICATION - RPP</v>
      </c>
      <c r="E40" s="294"/>
      <c r="F40" s="294"/>
      <c r="G40" s="95" t="str">
        <f t="shared" si="2"/>
        <v/>
      </c>
      <c r="H40" s="96" t="str">
        <f t="shared" si="4"/>
        <v/>
      </c>
      <c r="I40" s="97" t="str">
        <f t="shared" si="5"/>
        <v/>
      </c>
      <c r="J40" s="96" t="str">
        <f t="shared" si="6"/>
        <v/>
      </c>
      <c r="K40" s="97" t="str">
        <f t="shared" si="7"/>
        <v/>
      </c>
      <c r="L40" s="96" t="str">
        <f t="shared" si="8"/>
        <v/>
      </c>
      <c r="M40" s="97" t="str">
        <f t="shared" si="9"/>
        <v/>
      </c>
      <c r="N40" s="96" t="str">
        <f t="shared" si="10"/>
        <v/>
      </c>
      <c r="O40" s="97" t="str">
        <f t="shared" si="11"/>
        <v/>
      </c>
    </row>
    <row r="41" spans="1:15" x14ac:dyDescent="0.25">
      <c r="A41" s="71"/>
      <c r="B41" s="71" t="str">
        <f t="shared" si="3"/>
        <v>Non-RPP (Other)</v>
      </c>
      <c r="C41" s="72">
        <v>14</v>
      </c>
      <c r="D41" s="293" t="str">
        <f t="shared" si="1"/>
        <v>GENERAL SERVICE 50 TO 999 KW SERVICE CLASSIFICATION - Non-RPP (Other)</v>
      </c>
      <c r="E41" s="294"/>
      <c r="F41" s="294"/>
      <c r="G41" s="95" t="str">
        <f t="shared" si="2"/>
        <v/>
      </c>
      <c r="H41" s="96" t="str">
        <f t="shared" si="4"/>
        <v/>
      </c>
      <c r="I41" s="97" t="str">
        <f t="shared" si="5"/>
        <v/>
      </c>
      <c r="J41" s="96" t="str">
        <f t="shared" si="6"/>
        <v/>
      </c>
      <c r="K41" s="97" t="str">
        <f t="shared" si="7"/>
        <v/>
      </c>
      <c r="L41" s="96" t="str">
        <f t="shared" si="8"/>
        <v/>
      </c>
      <c r="M41" s="97" t="str">
        <f t="shared" si="9"/>
        <v/>
      </c>
      <c r="N41" s="96" t="str">
        <f t="shared" si="10"/>
        <v/>
      </c>
      <c r="O41" s="97" t="str">
        <f t="shared" si="11"/>
        <v/>
      </c>
    </row>
    <row r="42" spans="1:15" x14ac:dyDescent="0.25">
      <c r="A42" s="71"/>
      <c r="B42" s="71" t="str">
        <f t="shared" si="3"/>
        <v>Non-RPP (Other)</v>
      </c>
      <c r="C42" s="72">
        <v>15</v>
      </c>
      <c r="D42" s="293" t="str">
        <f t="shared" si="1"/>
        <v>GENERAL SERVICE 50 TO 999 KW SERVICE CLASSIFICATION - Non-RPP (Other)</v>
      </c>
      <c r="E42" s="294"/>
      <c r="F42" s="294"/>
      <c r="G42" s="95" t="str">
        <f t="shared" si="2"/>
        <v/>
      </c>
      <c r="H42" s="96" t="str">
        <f t="shared" si="4"/>
        <v/>
      </c>
      <c r="I42" s="97" t="str">
        <f t="shared" si="5"/>
        <v/>
      </c>
      <c r="J42" s="96" t="str">
        <f t="shared" si="6"/>
        <v/>
      </c>
      <c r="K42" s="97" t="str">
        <f t="shared" si="7"/>
        <v/>
      </c>
      <c r="L42" s="96" t="str">
        <f t="shared" si="8"/>
        <v/>
      </c>
      <c r="M42" s="97" t="str">
        <f t="shared" si="9"/>
        <v/>
      </c>
      <c r="N42" s="96" t="str">
        <f t="shared" si="10"/>
        <v/>
      </c>
      <c r="O42" s="97" t="str">
        <f t="shared" si="11"/>
        <v/>
      </c>
    </row>
    <row r="43" spans="1:15" x14ac:dyDescent="0.25">
      <c r="A43" s="71"/>
      <c r="B43" s="71" t="str">
        <f t="shared" si="3"/>
        <v>Non-RPP (Other)</v>
      </c>
      <c r="C43" s="72">
        <v>16</v>
      </c>
      <c r="D43" s="293" t="str">
        <f t="shared" si="1"/>
        <v>GENERAL SERVICE 1,000 TO 4,999 KW SERVICE CLASSIFICATION - Non-RPP (Other)</v>
      </c>
      <c r="E43" s="294"/>
      <c r="F43" s="294"/>
      <c r="G43" s="95" t="str">
        <f>IF(ISBLANK(G18), "", G18)</f>
        <v/>
      </c>
      <c r="H43" s="96" t="str">
        <f t="shared" si="4"/>
        <v/>
      </c>
      <c r="I43" s="97" t="str">
        <f t="shared" si="5"/>
        <v/>
      </c>
      <c r="J43" s="96" t="str">
        <f t="shared" si="6"/>
        <v/>
      </c>
      <c r="K43" s="97" t="str">
        <f t="shared" si="7"/>
        <v/>
      </c>
      <c r="L43" s="96" t="str">
        <f t="shared" si="8"/>
        <v/>
      </c>
      <c r="M43" s="97" t="str">
        <f t="shared" si="9"/>
        <v/>
      </c>
      <c r="N43" s="96" t="str">
        <f t="shared" si="10"/>
        <v/>
      </c>
      <c r="O43" s="97" t="str">
        <f t="shared" si="11"/>
        <v/>
      </c>
    </row>
    <row r="44" spans="1:15" x14ac:dyDescent="0.25">
      <c r="A44" s="71"/>
      <c r="B44" s="71" t="str">
        <f t="shared" si="3"/>
        <v>Non-RPP (Other)</v>
      </c>
      <c r="C44" s="72">
        <v>17</v>
      </c>
      <c r="D44" s="293" t="str">
        <f t="shared" si="1"/>
        <v>GENERAL SERVICE 1,000 TO 4,999 KW SERVICE CLASSIFICATION - Non-RPP (Other)</v>
      </c>
      <c r="E44" s="294"/>
      <c r="F44" s="294"/>
      <c r="G44" s="95" t="str">
        <f>IF(ISBLANK(G19), "", G19)</f>
        <v/>
      </c>
      <c r="H44" s="96" t="str">
        <f t="shared" si="4"/>
        <v/>
      </c>
      <c r="I44" s="97" t="str">
        <f t="shared" si="5"/>
        <v/>
      </c>
      <c r="J44" s="96" t="str">
        <f t="shared" si="6"/>
        <v/>
      </c>
      <c r="K44" s="97" t="str">
        <f t="shared" si="7"/>
        <v/>
      </c>
      <c r="L44" s="96" t="str">
        <f t="shared" si="8"/>
        <v/>
      </c>
      <c r="M44" s="97" t="str">
        <f t="shared" si="9"/>
        <v/>
      </c>
      <c r="N44" s="96" t="str">
        <f t="shared" si="10"/>
        <v/>
      </c>
      <c r="O44" s="97" t="str">
        <f t="shared" si="11"/>
        <v/>
      </c>
    </row>
    <row r="45" spans="1:15" x14ac:dyDescent="0.25">
      <c r="A45" s="71"/>
      <c r="B45" s="71" t="str">
        <f t="shared" si="3"/>
        <v>RPP</v>
      </c>
      <c r="C45" s="72">
        <v>18</v>
      </c>
      <c r="D45" s="293" t="str">
        <f t="shared" si="1"/>
        <v>GENERAL SERVICE 50 TO 999 KW SERVICE CLASSIFICATION - RPP</v>
      </c>
      <c r="E45" s="294"/>
      <c r="F45" s="294"/>
      <c r="G45" s="95" t="str">
        <f>IF(ISBLANK(G20), "", G20)</f>
        <v/>
      </c>
      <c r="H45" s="96" t="str">
        <f t="shared" si="4"/>
        <v/>
      </c>
      <c r="I45" s="97" t="str">
        <f t="shared" si="5"/>
        <v/>
      </c>
      <c r="J45" s="96" t="str">
        <f t="shared" si="6"/>
        <v/>
      </c>
      <c r="K45" s="97" t="str">
        <f t="shared" si="7"/>
        <v/>
      </c>
      <c r="L45" s="96" t="str">
        <f t="shared" si="8"/>
        <v/>
      </c>
      <c r="M45" s="97" t="str">
        <f t="shared" si="9"/>
        <v/>
      </c>
      <c r="N45" s="96" t="str">
        <f t="shared" si="10"/>
        <v/>
      </c>
      <c r="O45" s="97" t="str">
        <f t="shared" si="11"/>
        <v/>
      </c>
    </row>
    <row r="46" spans="1:15" x14ac:dyDescent="0.25">
      <c r="A46" s="71"/>
      <c r="B46" s="71">
        <f t="shared" si="3"/>
        <v>0</v>
      </c>
      <c r="C46" s="72">
        <v>19</v>
      </c>
      <c r="D46" s="293" t="str">
        <f t="shared" si="1"/>
        <v/>
      </c>
      <c r="E46" s="294"/>
      <c r="F46" s="294"/>
      <c r="G46" s="95" t="str">
        <f>IF(ISBLANK(G21), "", G21)</f>
        <v/>
      </c>
      <c r="H46" s="96" t="str">
        <f t="shared" si="4"/>
        <v/>
      </c>
      <c r="I46" s="97" t="str">
        <f t="shared" si="5"/>
        <v/>
      </c>
      <c r="J46" s="96" t="str">
        <f t="shared" si="6"/>
        <v/>
      </c>
      <c r="K46" s="97" t="str">
        <f t="shared" si="7"/>
        <v/>
      </c>
      <c r="L46" s="96" t="str">
        <f t="shared" si="8"/>
        <v/>
      </c>
      <c r="M46" s="97" t="str">
        <f t="shared" si="9"/>
        <v/>
      </c>
      <c r="N46" s="96" t="str">
        <f t="shared" si="10"/>
        <v/>
      </c>
      <c r="O46" s="97" t="str">
        <f t="shared" si="11"/>
        <v/>
      </c>
    </row>
    <row r="47" spans="1:15" x14ac:dyDescent="0.25">
      <c r="A47" s="71"/>
      <c r="B47" s="71">
        <f t="shared" si="3"/>
        <v>0</v>
      </c>
      <c r="C47" s="72">
        <v>20</v>
      </c>
      <c r="D47" s="293" t="str">
        <f t="shared" si="1"/>
        <v/>
      </c>
      <c r="E47" s="294"/>
      <c r="F47" s="294"/>
      <c r="G47" s="95" t="str">
        <f>IF(ISBLANK(G22), "", G22)</f>
        <v/>
      </c>
      <c r="H47" s="96" t="str">
        <f t="shared" si="4"/>
        <v/>
      </c>
      <c r="I47" s="97" t="str">
        <f t="shared" si="5"/>
        <v/>
      </c>
      <c r="J47" s="96" t="str">
        <f t="shared" si="6"/>
        <v/>
      </c>
      <c r="K47" s="97" t="str">
        <f t="shared" si="7"/>
        <v/>
      </c>
      <c r="L47" s="96" t="str">
        <f t="shared" si="8"/>
        <v/>
      </c>
      <c r="M47" s="97" t="str">
        <f t="shared" si="9"/>
        <v/>
      </c>
      <c r="N47" s="96" t="str">
        <f t="shared" si="10"/>
        <v/>
      </c>
      <c r="O47" s="97" t="str">
        <f t="shared" si="11"/>
        <v/>
      </c>
    </row>
    <row r="48" spans="1:15" x14ac:dyDescent="0.25">
      <c r="A48" s="71"/>
      <c r="B48" s="71"/>
      <c r="C48" s="72"/>
      <c r="D48" s="71"/>
      <c r="E48" s="71"/>
      <c r="F48" s="71"/>
      <c r="G48" s="71"/>
      <c r="H48" s="71"/>
      <c r="I48" s="71"/>
      <c r="J48" s="71"/>
      <c r="K48" s="71"/>
      <c r="L48" s="71"/>
      <c r="M48" s="71"/>
      <c r="N48" s="71"/>
      <c r="O48" s="71"/>
    </row>
    <row r="49" spans="1:15" x14ac:dyDescent="0.25">
      <c r="A49" s="98"/>
      <c r="B49" s="98"/>
      <c r="C49" s="99"/>
      <c r="D49" s="98"/>
      <c r="E49" s="98"/>
      <c r="F49" s="98"/>
      <c r="G49" s="98"/>
      <c r="H49" s="98"/>
      <c r="I49" s="98"/>
      <c r="J49" s="98"/>
      <c r="K49" s="98"/>
      <c r="L49" s="98"/>
      <c r="M49" s="98"/>
      <c r="N49" s="98"/>
      <c r="O49" s="98"/>
    </row>
    <row r="50" spans="1:15" x14ac:dyDescent="0.25">
      <c r="A50" s="71"/>
      <c r="B50" s="71"/>
      <c r="C50" s="72"/>
      <c r="D50" s="71"/>
      <c r="E50" s="71"/>
      <c r="F50" s="71"/>
      <c r="G50" s="71"/>
      <c r="H50" s="71"/>
      <c r="I50" s="71"/>
      <c r="J50" s="71"/>
      <c r="K50" s="71"/>
      <c r="L50" s="71"/>
      <c r="M50" s="71"/>
      <c r="N50" s="71"/>
      <c r="O50" s="71"/>
    </row>
    <row r="51" spans="1:15" x14ac:dyDescent="0.25">
      <c r="C51" s="100"/>
      <c r="D51" s="101" t="s">
        <v>134</v>
      </c>
      <c r="E51" s="302" t="str">
        <f>D3</f>
        <v>RESIDENTIAL SERVICE CLASSIFICATION</v>
      </c>
      <c r="F51" s="302"/>
      <c r="G51" s="302"/>
      <c r="H51" s="302"/>
      <c r="I51" s="302"/>
      <c r="J51" s="302"/>
      <c r="K51" s="100" t="str">
        <f>IF(N3="DEMAND - INTERVAL","RTSR - INTERVAL METERED","")</f>
        <v/>
      </c>
    </row>
    <row r="52" spans="1:15" x14ac:dyDescent="0.25">
      <c r="C52" s="100"/>
      <c r="D52" s="101" t="s">
        <v>135</v>
      </c>
      <c r="E52" s="303" t="str">
        <f>H3</f>
        <v>RPP</v>
      </c>
      <c r="F52" s="303"/>
      <c r="G52" s="303"/>
      <c r="H52" s="102"/>
      <c r="I52" s="102"/>
    </row>
    <row r="53" spans="1:15" ht="15.75" x14ac:dyDescent="0.25">
      <c r="C53" s="100"/>
      <c r="D53" s="101" t="s">
        <v>136</v>
      </c>
      <c r="E53" s="103">
        <f>K3</f>
        <v>750</v>
      </c>
      <c r="F53" s="104" t="s">
        <v>137</v>
      </c>
      <c r="G53" s="105"/>
      <c r="J53" s="106"/>
      <c r="K53" s="106"/>
      <c r="L53" s="106"/>
      <c r="M53" s="106"/>
    </row>
    <row r="54" spans="1:15" ht="15.75" x14ac:dyDescent="0.25">
      <c r="C54" s="100"/>
      <c r="D54" s="101" t="s">
        <v>138</v>
      </c>
      <c r="E54" s="103">
        <f>L3</f>
        <v>0</v>
      </c>
      <c r="F54" s="107" t="s">
        <v>139</v>
      </c>
      <c r="G54" s="108"/>
      <c r="H54" s="109"/>
      <c r="I54" s="109"/>
      <c r="J54" s="109"/>
    </row>
    <row r="55" spans="1:15" x14ac:dyDescent="0.25">
      <c r="C55" s="100"/>
      <c r="D55" s="101" t="s">
        <v>140</v>
      </c>
      <c r="E55" s="110">
        <f>I3</f>
        <v>1.056</v>
      </c>
    </row>
    <row r="56" spans="1:15" x14ac:dyDescent="0.25">
      <c r="C56" s="100"/>
      <c r="D56" s="101" t="s">
        <v>141</v>
      </c>
      <c r="E56" s="110">
        <f>J3</f>
        <v>1.056</v>
      </c>
    </row>
    <row r="57" spans="1:15" x14ac:dyDescent="0.25">
      <c r="C57" s="100"/>
      <c r="D57" s="105"/>
    </row>
    <row r="58" spans="1:15" x14ac:dyDescent="0.25">
      <c r="C58" s="100"/>
      <c r="D58" s="105"/>
      <c r="E58" s="111"/>
      <c r="F58" s="304" t="s">
        <v>142</v>
      </c>
      <c r="G58" s="305"/>
      <c r="H58" s="306"/>
      <c r="I58" s="304" t="s">
        <v>143</v>
      </c>
      <c r="J58" s="305"/>
      <c r="K58" s="306"/>
      <c r="L58" s="304" t="s">
        <v>144</v>
      </c>
      <c r="M58" s="306"/>
    </row>
    <row r="59" spans="1:15" x14ac:dyDescent="0.25">
      <c r="C59" s="100"/>
      <c r="D59" s="105"/>
      <c r="E59" s="295"/>
      <c r="F59" s="112" t="s">
        <v>145</v>
      </c>
      <c r="G59" s="112" t="s">
        <v>146</v>
      </c>
      <c r="H59" s="113" t="s">
        <v>147</v>
      </c>
      <c r="I59" s="112" t="s">
        <v>145</v>
      </c>
      <c r="J59" s="114" t="s">
        <v>146</v>
      </c>
      <c r="K59" s="113" t="s">
        <v>147</v>
      </c>
      <c r="L59" s="297" t="s">
        <v>148</v>
      </c>
      <c r="M59" s="299" t="s">
        <v>149</v>
      </c>
    </row>
    <row r="60" spans="1:15" x14ac:dyDescent="0.25">
      <c r="C60" s="100"/>
      <c r="D60" s="105"/>
      <c r="E60" s="296"/>
      <c r="F60" s="115" t="s">
        <v>150</v>
      </c>
      <c r="G60" s="115"/>
      <c r="H60" s="116" t="s">
        <v>150</v>
      </c>
      <c r="I60" s="115" t="s">
        <v>150</v>
      </c>
      <c r="J60" s="116"/>
      <c r="K60" s="116" t="s">
        <v>150</v>
      </c>
      <c r="L60" s="298"/>
      <c r="M60" s="300"/>
    </row>
    <row r="61" spans="1:15" x14ac:dyDescent="0.25">
      <c r="A61" s="100" t="str">
        <f>$E51</f>
        <v>RESIDENTIAL SERVICE CLASSIFICATION</v>
      </c>
      <c r="C61" s="117"/>
      <c r="D61" s="118" t="s">
        <v>151</v>
      </c>
      <c r="E61" s="119"/>
      <c r="F61" s="120">
        <v>23.48</v>
      </c>
      <c r="G61" s="121">
        <v>1</v>
      </c>
      <c r="H61" s="122">
        <f>G61*F61</f>
        <v>23.48</v>
      </c>
      <c r="I61" s="123">
        <v>26.72</v>
      </c>
      <c r="J61" s="124">
        <f>G61</f>
        <v>1</v>
      </c>
      <c r="K61" s="122">
        <f>J61*I61</f>
        <v>26.72</v>
      </c>
      <c r="L61" s="125">
        <f t="shared" ref="L61:L82" si="12">K61-H61</f>
        <v>3.2399999999999984</v>
      </c>
      <c r="M61" s="126">
        <f>IF(ISERROR(L61/H61), "", L61/H61)</f>
        <v>0.13798977853492328</v>
      </c>
    </row>
    <row r="62" spans="1:15" x14ac:dyDescent="0.25">
      <c r="A62" s="100" t="str">
        <f>A61</f>
        <v>RESIDENTIAL SERVICE CLASSIFICATION</v>
      </c>
      <c r="C62" s="117"/>
      <c r="D62" s="118" t="s">
        <v>152</v>
      </c>
      <c r="E62" s="119"/>
      <c r="F62" s="127">
        <v>3.3999999999999998E-3</v>
      </c>
      <c r="G62" s="121">
        <f>IF($E54&gt;0, $E54, $E53)</f>
        <v>750</v>
      </c>
      <c r="H62" s="122">
        <f t="shared" ref="H62:H74" si="13">G62*F62</f>
        <v>2.5499999999999998</v>
      </c>
      <c r="I62" s="128">
        <v>0</v>
      </c>
      <c r="J62" s="124">
        <f>IF($E54&gt;0, $E54, $E53)</f>
        <v>750</v>
      </c>
      <c r="K62" s="122">
        <f>J62*I62</f>
        <v>0</v>
      </c>
      <c r="L62" s="125">
        <f t="shared" si="12"/>
        <v>-2.5499999999999998</v>
      </c>
      <c r="M62" s="126">
        <f t="shared" ref="M62:M72" si="14">IF(ISERROR(L62/H62), "", L62/H62)</f>
        <v>-1</v>
      </c>
    </row>
    <row r="63" spans="1:15" x14ac:dyDescent="0.25">
      <c r="A63" s="100" t="str">
        <f t="shared" ref="A63:A104" si="15">A62</f>
        <v>RESIDENTIAL SERVICE CLASSIFICATION</v>
      </c>
      <c r="C63" s="117"/>
      <c r="D63" s="118" t="s">
        <v>153</v>
      </c>
      <c r="E63" s="119"/>
      <c r="F63" s="127"/>
      <c r="G63" s="121">
        <f>IF($E54&gt;0, $E54, $E53)</f>
        <v>750</v>
      </c>
      <c r="H63" s="122">
        <v>0</v>
      </c>
      <c r="I63" s="128"/>
      <c r="J63" s="124">
        <f>IF($E54&gt;0, $E54, $E53)</f>
        <v>750</v>
      </c>
      <c r="K63" s="122">
        <v>0</v>
      </c>
      <c r="L63" s="125"/>
      <c r="M63" s="126"/>
    </row>
    <row r="64" spans="1:15" x14ac:dyDescent="0.25">
      <c r="A64" s="100" t="str">
        <f t="shared" si="15"/>
        <v>RESIDENTIAL SERVICE CLASSIFICATION</v>
      </c>
      <c r="C64" s="117"/>
      <c r="D64" s="118" t="s">
        <v>154</v>
      </c>
      <c r="E64" s="119"/>
      <c r="F64" s="127"/>
      <c r="G64" s="121">
        <f>IF($E54&gt;0, $E54, $E53)</f>
        <v>750</v>
      </c>
      <c r="H64" s="122">
        <v>0</v>
      </c>
      <c r="I64" s="128"/>
      <c r="J64" s="121">
        <f>IF($E54&gt;0, $E54, $E53)</f>
        <v>750</v>
      </c>
      <c r="K64" s="122">
        <v>0</v>
      </c>
      <c r="L64" s="125">
        <f>K64-H64</f>
        <v>0</v>
      </c>
      <c r="M64" s="126" t="str">
        <f>IF(ISERROR(L64/H64), "", L64/H64)</f>
        <v/>
      </c>
    </row>
    <row r="65" spans="1:13" x14ac:dyDescent="0.25">
      <c r="A65" s="100" t="str">
        <f t="shared" si="15"/>
        <v>RESIDENTIAL SERVICE CLASSIFICATION</v>
      </c>
      <c r="C65" s="117"/>
      <c r="D65" s="129" t="s">
        <v>155</v>
      </c>
      <c r="E65" s="119"/>
      <c r="F65" s="120">
        <v>0</v>
      </c>
      <c r="G65" s="121">
        <v>1</v>
      </c>
      <c r="H65" s="122">
        <f t="shared" si="13"/>
        <v>0</v>
      </c>
      <c r="I65" s="123">
        <v>0</v>
      </c>
      <c r="J65" s="124">
        <f>G65</f>
        <v>1</v>
      </c>
      <c r="K65" s="122">
        <f t="shared" ref="K65:K72" si="16">J65*I65</f>
        <v>0</v>
      </c>
      <c r="L65" s="125">
        <f t="shared" si="12"/>
        <v>0</v>
      </c>
      <c r="M65" s="126" t="str">
        <f t="shared" si="14"/>
        <v/>
      </c>
    </row>
    <row r="66" spans="1:13" x14ac:dyDescent="0.25">
      <c r="A66" s="100" t="str">
        <f t="shared" si="15"/>
        <v>RESIDENTIAL SERVICE CLASSIFICATION</v>
      </c>
      <c r="C66" s="117"/>
      <c r="D66" s="118" t="s">
        <v>156</v>
      </c>
      <c r="E66" s="119"/>
      <c r="F66" s="127">
        <v>0</v>
      </c>
      <c r="G66" s="121">
        <f>IF($E54&gt;0, $E54, $E53)</f>
        <v>750</v>
      </c>
      <c r="H66" s="122">
        <f t="shared" si="13"/>
        <v>0</v>
      </c>
      <c r="I66" s="128">
        <v>0</v>
      </c>
      <c r="J66" s="124">
        <f>IF($E54&gt;0, $E54, $E53)</f>
        <v>750</v>
      </c>
      <c r="K66" s="122">
        <f t="shared" si="16"/>
        <v>0</v>
      </c>
      <c r="L66" s="125">
        <f t="shared" si="12"/>
        <v>0</v>
      </c>
      <c r="M66" s="126" t="str">
        <f t="shared" si="14"/>
        <v/>
      </c>
    </row>
    <row r="67" spans="1:13" x14ac:dyDescent="0.25">
      <c r="A67" s="100" t="str">
        <f t="shared" si="15"/>
        <v>RESIDENTIAL SERVICE CLASSIFICATION</v>
      </c>
      <c r="B67" s="130" t="s">
        <v>157</v>
      </c>
      <c r="C67" s="117">
        <f>B3</f>
        <v>1</v>
      </c>
      <c r="D67" s="131" t="s">
        <v>158</v>
      </c>
      <c r="E67" s="132"/>
      <c r="F67" s="133"/>
      <c r="G67" s="134"/>
      <c r="H67" s="135">
        <f>SUM(H61:H66)</f>
        <v>26.03</v>
      </c>
      <c r="I67" s="136"/>
      <c r="J67" s="137"/>
      <c r="K67" s="135">
        <f>SUM(K61:K66)</f>
        <v>26.72</v>
      </c>
      <c r="L67" s="138">
        <f t="shared" si="12"/>
        <v>0.68999999999999773</v>
      </c>
      <c r="M67" s="139">
        <f>IF((H67)=0,"",(L67/H67))</f>
        <v>2.6507875528236562E-2</v>
      </c>
    </row>
    <row r="68" spans="1:13" x14ac:dyDescent="0.25">
      <c r="A68" s="100" t="str">
        <f t="shared" si="15"/>
        <v>RESIDENTIAL SERVICE CLASSIFICATION</v>
      </c>
      <c r="C68" s="117"/>
      <c r="D68" s="140" t="s">
        <v>159</v>
      </c>
      <c r="E68" s="119"/>
      <c r="F68" s="127">
        <f>IF((E53*12&gt;=150000), 0, IF(E52="RPP",(F84*0.65+F85*0.17+F86*0.18),IF(E52="Non-RPP (Retailer)",F87,F88)))</f>
        <v>8.1990000000000007E-2</v>
      </c>
      <c r="G68" s="141">
        <f>IF(F68=0, 0, $E53*E55-E53)</f>
        <v>42</v>
      </c>
      <c r="H68" s="122">
        <f>G68*F68</f>
        <v>3.4435800000000003</v>
      </c>
      <c r="I68" s="128">
        <f>IF((E53*12&gt;=150000), 0, IF(E52="RPP",(I84*0.65+I85*0.17+I86*0.18),IF(E52="Non-RPP (Retailer)",I87,I88)))</f>
        <v>8.1990000000000007E-2</v>
      </c>
      <c r="J68" s="141">
        <f>IF(I68=0, 0, E53*E56-E53)</f>
        <v>42</v>
      </c>
      <c r="K68" s="122">
        <f>J68*I68</f>
        <v>3.4435800000000003</v>
      </c>
      <c r="L68" s="125">
        <f>K68-H68</f>
        <v>0</v>
      </c>
      <c r="M68" s="126">
        <f>IF(ISERROR(L68/H68), "", L68/H68)</f>
        <v>0</v>
      </c>
    </row>
    <row r="69" spans="1:13" ht="25.5" x14ac:dyDescent="0.25">
      <c r="A69" s="100" t="str">
        <f t="shared" si="15"/>
        <v>RESIDENTIAL SERVICE CLASSIFICATION</v>
      </c>
      <c r="C69" s="117"/>
      <c r="D69" s="140" t="s">
        <v>160</v>
      </c>
      <c r="E69" s="119"/>
      <c r="F69" s="127">
        <v>-1.4E-3</v>
      </c>
      <c r="G69" s="142">
        <f>IF($E54&gt;0, $E54, $E53)</f>
        <v>750</v>
      </c>
      <c r="H69" s="122">
        <f t="shared" si="13"/>
        <v>-1.05</v>
      </c>
      <c r="I69" s="128">
        <v>-5.3E-3</v>
      </c>
      <c r="J69" s="142">
        <f>IF($E54&gt;0, $E54, $E53)</f>
        <v>750</v>
      </c>
      <c r="K69" s="122">
        <f t="shared" si="16"/>
        <v>-3.9750000000000001</v>
      </c>
      <c r="L69" s="125">
        <f t="shared" si="12"/>
        <v>-2.9249999999999998</v>
      </c>
      <c r="M69" s="126">
        <f t="shared" si="14"/>
        <v>2.7857142857142856</v>
      </c>
    </row>
    <row r="70" spans="1:13" x14ac:dyDescent="0.25">
      <c r="A70" s="100" t="str">
        <f t="shared" si="15"/>
        <v>RESIDENTIAL SERVICE CLASSIFICATION</v>
      </c>
      <c r="C70" s="117"/>
      <c r="D70" s="140" t="s">
        <v>161</v>
      </c>
      <c r="E70" s="119"/>
      <c r="F70" s="127">
        <v>-1E-4</v>
      </c>
      <c r="G70" s="142">
        <f>IF($E54&gt;0, $E54, $E53)</f>
        <v>750</v>
      </c>
      <c r="H70" s="122">
        <f>G70*F70</f>
        <v>-7.4999999999999997E-2</v>
      </c>
      <c r="I70" s="128">
        <v>0</v>
      </c>
      <c r="J70" s="142">
        <f>IF($E54&gt;0, $E54, $E53)</f>
        <v>750</v>
      </c>
      <c r="K70" s="122">
        <f>J70*I70</f>
        <v>0</v>
      </c>
      <c r="L70" s="125">
        <f t="shared" si="12"/>
        <v>7.4999999999999997E-2</v>
      </c>
      <c r="M70" s="126">
        <f t="shared" si="14"/>
        <v>-1</v>
      </c>
    </row>
    <row r="71" spans="1:13" x14ac:dyDescent="0.25">
      <c r="A71" s="100" t="str">
        <f t="shared" si="15"/>
        <v>RESIDENTIAL SERVICE CLASSIFICATION</v>
      </c>
      <c r="C71" s="117"/>
      <c r="D71" s="140" t="s">
        <v>162</v>
      </c>
      <c r="E71" s="119"/>
      <c r="F71" s="127">
        <v>0</v>
      </c>
      <c r="G71" s="142">
        <f>E53</f>
        <v>750</v>
      </c>
      <c r="H71" s="122">
        <f>G71*F71</f>
        <v>0</v>
      </c>
      <c r="I71" s="128">
        <v>0</v>
      </c>
      <c r="J71" s="142">
        <f>E53</f>
        <v>750</v>
      </c>
      <c r="K71" s="122">
        <f t="shared" si="16"/>
        <v>0</v>
      </c>
      <c r="L71" s="125">
        <f t="shared" si="12"/>
        <v>0</v>
      </c>
      <c r="M71" s="126" t="str">
        <f t="shared" si="14"/>
        <v/>
      </c>
    </row>
    <row r="72" spans="1:13" x14ac:dyDescent="0.25">
      <c r="A72" s="100" t="str">
        <f t="shared" si="15"/>
        <v>RESIDENTIAL SERVICE CLASSIFICATION</v>
      </c>
      <c r="C72" s="117"/>
      <c r="D72" s="143" t="s">
        <v>163</v>
      </c>
      <c r="E72" s="119"/>
      <c r="F72" s="127">
        <v>2.5999999999999999E-3</v>
      </c>
      <c r="G72" s="142">
        <f>IF($E54&gt;0, $E54, $E53)</f>
        <v>750</v>
      </c>
      <c r="H72" s="122">
        <f t="shared" si="13"/>
        <v>1.95</v>
      </c>
      <c r="I72" s="128">
        <v>2.5999999999999999E-3</v>
      </c>
      <c r="J72" s="142">
        <f>IF($E54&gt;0, $E54, $E53)</f>
        <v>750</v>
      </c>
      <c r="K72" s="122">
        <f t="shared" si="16"/>
        <v>1.95</v>
      </c>
      <c r="L72" s="125">
        <f t="shared" si="12"/>
        <v>0</v>
      </c>
      <c r="M72" s="126">
        <f t="shared" si="14"/>
        <v>0</v>
      </c>
    </row>
    <row r="73" spans="1:13" ht="25.5" x14ac:dyDescent="0.25">
      <c r="A73" s="100" t="str">
        <f t="shared" si="15"/>
        <v>RESIDENTIAL SERVICE CLASSIFICATION</v>
      </c>
      <c r="C73" s="117"/>
      <c r="D73" s="144" t="s">
        <v>164</v>
      </c>
      <c r="E73" s="119"/>
      <c r="F73" s="145">
        <f>IF(OR(ISNUMBER(SEARCH("RESIDENTIAL", E51))=TRUE, ISNUMBER(SEARCH("GENERAL SERVICE LESS THAN 50", E51))=TRUE), SME, 0)</f>
        <v>0.56999999999999995</v>
      </c>
      <c r="G73" s="121">
        <v>1</v>
      </c>
      <c r="H73" s="122">
        <f>G73*F73</f>
        <v>0.56999999999999995</v>
      </c>
      <c r="I73" s="146">
        <f>IF(OR(ISNUMBER(SEARCH("RESIDENTIAL", E51))=TRUE, ISNUMBER(SEARCH("GENERAL SERVICE LESS THAN 50", E51))=TRUE), SME, 0)</f>
        <v>0.56999999999999995</v>
      </c>
      <c r="J73" s="121">
        <v>1</v>
      </c>
      <c r="K73" s="122">
        <f>J73*I73</f>
        <v>0.56999999999999995</v>
      </c>
      <c r="L73" s="125">
        <f t="shared" si="12"/>
        <v>0</v>
      </c>
      <c r="M73" s="126">
        <f>IF(ISERROR(L73/H73), "", L73/H73)</f>
        <v>0</v>
      </c>
    </row>
    <row r="74" spans="1:13" x14ac:dyDescent="0.25">
      <c r="A74" s="100" t="str">
        <f t="shared" si="15"/>
        <v>RESIDENTIAL SERVICE CLASSIFICATION</v>
      </c>
      <c r="C74" s="117"/>
      <c r="D74" s="143" t="s">
        <v>165</v>
      </c>
      <c r="E74" s="119"/>
      <c r="F74" s="120">
        <v>0</v>
      </c>
      <c r="G74" s="121">
        <v>1</v>
      </c>
      <c r="H74" s="122">
        <f t="shared" si="13"/>
        <v>0</v>
      </c>
      <c r="I74" s="123">
        <v>0</v>
      </c>
      <c r="J74" s="121">
        <v>1</v>
      </c>
      <c r="K74" s="122">
        <f>J74*I74</f>
        <v>0</v>
      </c>
      <c r="L74" s="125">
        <f>K74-H74</f>
        <v>0</v>
      </c>
      <c r="M74" s="126" t="str">
        <f>IF(ISERROR(L74/H74), "", L74/H74)</f>
        <v/>
      </c>
    </row>
    <row r="75" spans="1:13" x14ac:dyDescent="0.25">
      <c r="A75" s="100" t="str">
        <f t="shared" si="15"/>
        <v>RESIDENTIAL SERVICE CLASSIFICATION</v>
      </c>
      <c r="C75" s="117"/>
      <c r="D75" s="143" t="s">
        <v>166</v>
      </c>
      <c r="E75" s="119"/>
      <c r="F75" s="127"/>
      <c r="G75" s="142">
        <f>IF($E54&gt;0, $E54, $E53)</f>
        <v>750</v>
      </c>
      <c r="H75" s="122">
        <f>G75*F75</f>
        <v>0</v>
      </c>
      <c r="I75" s="128">
        <v>0</v>
      </c>
      <c r="J75" s="142">
        <f>IF($E54&gt;0, $E54, $E53)</f>
        <v>750</v>
      </c>
      <c r="K75" s="122">
        <f>J75*I75</f>
        <v>0</v>
      </c>
      <c r="L75" s="125">
        <f t="shared" si="12"/>
        <v>0</v>
      </c>
      <c r="M75" s="126" t="str">
        <f>IF(ISERROR(L75/H75), "", L75/H75)</f>
        <v/>
      </c>
    </row>
    <row r="76" spans="1:13" ht="25.5" x14ac:dyDescent="0.25">
      <c r="A76" s="100" t="str">
        <f t="shared" si="15"/>
        <v>RESIDENTIAL SERVICE CLASSIFICATION</v>
      </c>
      <c r="B76" s="105" t="s">
        <v>167</v>
      </c>
      <c r="C76" s="117">
        <f>B3</f>
        <v>1</v>
      </c>
      <c r="D76" s="147" t="s">
        <v>168</v>
      </c>
      <c r="E76" s="148"/>
      <c r="F76" s="149"/>
      <c r="G76" s="150"/>
      <c r="H76" s="151">
        <f>SUM(H67:H75)</f>
        <v>30.868580000000001</v>
      </c>
      <c r="I76" s="152"/>
      <c r="J76" s="153"/>
      <c r="K76" s="151">
        <f>SUM(K67:K75)</f>
        <v>28.708579999999998</v>
      </c>
      <c r="L76" s="138">
        <f t="shared" si="12"/>
        <v>-2.1600000000000037</v>
      </c>
      <c r="M76" s="139">
        <f>IF((H76)=0,"",(L76/H76))</f>
        <v>-6.9974064242670178E-2</v>
      </c>
    </row>
    <row r="77" spans="1:13" x14ac:dyDescent="0.25">
      <c r="A77" s="100" t="str">
        <f t="shared" si="15"/>
        <v>RESIDENTIAL SERVICE CLASSIFICATION</v>
      </c>
      <c r="C77" s="117"/>
      <c r="D77" s="154" t="s">
        <v>169</v>
      </c>
      <c r="E77" s="119"/>
      <c r="F77" s="127">
        <v>6.7999999999999996E-3</v>
      </c>
      <c r="G77" s="141">
        <f>IF($E54&gt;0, $E54, $E53*$E55)</f>
        <v>792</v>
      </c>
      <c r="H77" s="122">
        <f>G77*F77</f>
        <v>5.3855999999999993</v>
      </c>
      <c r="I77" s="128">
        <v>6.4999999999999997E-3</v>
      </c>
      <c r="J77" s="141">
        <f>IF($E54&gt;0, $E54, $E53*$E56)</f>
        <v>792</v>
      </c>
      <c r="K77" s="122">
        <f>J77*I77</f>
        <v>5.1479999999999997</v>
      </c>
      <c r="L77" s="125">
        <f t="shared" si="12"/>
        <v>-0.23759999999999959</v>
      </c>
      <c r="M77" s="126">
        <f>IF(ISERROR(L77/H77), "", L77/H77)</f>
        <v>-4.4117647058823456E-2</v>
      </c>
    </row>
    <row r="78" spans="1:13" ht="25.5" x14ac:dyDescent="0.25">
      <c r="A78" s="100" t="str">
        <f t="shared" si="15"/>
        <v>RESIDENTIAL SERVICE CLASSIFICATION</v>
      </c>
      <c r="C78" s="117"/>
      <c r="D78" s="155" t="s">
        <v>170</v>
      </c>
      <c r="E78" s="119"/>
      <c r="F78" s="127">
        <v>5.5999999999999999E-3</v>
      </c>
      <c r="G78" s="141">
        <f>IF($E54&gt;0, $E54, $E53*$E55)</f>
        <v>792</v>
      </c>
      <c r="H78" s="122">
        <f>G78*F78</f>
        <v>4.4352</v>
      </c>
      <c r="I78" s="128">
        <v>5.3E-3</v>
      </c>
      <c r="J78" s="141">
        <f>IF($E54&gt;0, $E54, $E53*$E56)</f>
        <v>792</v>
      </c>
      <c r="K78" s="122">
        <f>J78*I78</f>
        <v>4.1976000000000004</v>
      </c>
      <c r="L78" s="125">
        <f t="shared" si="12"/>
        <v>-0.23759999999999959</v>
      </c>
      <c r="M78" s="126">
        <f>IF(ISERROR(L78/H78), "", L78/H78)</f>
        <v>-5.3571428571428478E-2</v>
      </c>
    </row>
    <row r="79" spans="1:13" ht="25.5" x14ac:dyDescent="0.25">
      <c r="A79" s="100" t="str">
        <f t="shared" si="15"/>
        <v>RESIDENTIAL SERVICE CLASSIFICATION</v>
      </c>
      <c r="B79" s="105" t="s">
        <v>171</v>
      </c>
      <c r="C79" s="117">
        <f>B3</f>
        <v>1</v>
      </c>
      <c r="D79" s="147" t="s">
        <v>172</v>
      </c>
      <c r="E79" s="132"/>
      <c r="F79" s="149"/>
      <c r="G79" s="150"/>
      <c r="H79" s="151">
        <f>SUM(H76:H78)</f>
        <v>40.68938</v>
      </c>
      <c r="I79" s="152"/>
      <c r="J79" s="137"/>
      <c r="K79" s="151">
        <f>SUM(K76:K78)</f>
        <v>38.054179999999995</v>
      </c>
      <c r="L79" s="138">
        <f t="shared" si="12"/>
        <v>-2.6352000000000046</v>
      </c>
      <c r="M79" s="139">
        <f>IF((H79)=0,"",(L79/H79))</f>
        <v>-6.4763827809615301E-2</v>
      </c>
    </row>
    <row r="80" spans="1:13" ht="25.5" x14ac:dyDescent="0.25">
      <c r="A80" s="100" t="str">
        <f t="shared" si="15"/>
        <v>RESIDENTIAL SERVICE CLASSIFICATION</v>
      </c>
      <c r="C80" s="117"/>
      <c r="D80" s="156" t="s">
        <v>173</v>
      </c>
      <c r="E80" s="119"/>
      <c r="F80" s="127">
        <v>3.6000000000000003E-3</v>
      </c>
      <c r="G80" s="141">
        <f>E53*E55</f>
        <v>792</v>
      </c>
      <c r="H80" s="157">
        <f t="shared" ref="H80:H86" si="17">G80*F80</f>
        <v>2.8512000000000004</v>
      </c>
      <c r="I80" s="128">
        <v>3.6000000000000003E-3</v>
      </c>
      <c r="J80" s="141">
        <f>E53*E56</f>
        <v>792</v>
      </c>
      <c r="K80" s="157">
        <f t="shared" ref="K80:K86" si="18">J80*I80</f>
        <v>2.8512000000000004</v>
      </c>
      <c r="L80" s="125">
        <f t="shared" si="12"/>
        <v>0</v>
      </c>
      <c r="M80" s="126">
        <f t="shared" ref="M80:M88" si="19">IF(ISERROR(L80/H80), "", L80/H80)</f>
        <v>0</v>
      </c>
    </row>
    <row r="81" spans="1:13" ht="25.5" x14ac:dyDescent="0.25">
      <c r="A81" s="100" t="str">
        <f t="shared" si="15"/>
        <v>RESIDENTIAL SERVICE CLASSIFICATION</v>
      </c>
      <c r="C81" s="117"/>
      <c r="D81" s="156" t="s">
        <v>174</v>
      </c>
      <c r="E81" s="119"/>
      <c r="F81" s="127">
        <f>'[1]17. Regulatory Charges'!$D$16</f>
        <v>2.9999999999999997E-4</v>
      </c>
      <c r="G81" s="141">
        <f>E53*E55</f>
        <v>792</v>
      </c>
      <c r="H81" s="157">
        <f t="shared" si="17"/>
        <v>0.23759999999999998</v>
      </c>
      <c r="I81" s="128">
        <v>2.9999999999999997E-4</v>
      </c>
      <c r="J81" s="141">
        <f>E53*E56</f>
        <v>792</v>
      </c>
      <c r="K81" s="157">
        <f t="shared" si="18"/>
        <v>0.23759999999999998</v>
      </c>
      <c r="L81" s="125">
        <f t="shared" si="12"/>
        <v>0</v>
      </c>
      <c r="M81" s="126">
        <f t="shared" si="19"/>
        <v>0</v>
      </c>
    </row>
    <row r="82" spans="1:13" x14ac:dyDescent="0.25">
      <c r="A82" s="100" t="str">
        <f t="shared" si="15"/>
        <v>RESIDENTIAL SERVICE CLASSIFICATION</v>
      </c>
      <c r="C82" s="117"/>
      <c r="D82" s="158" t="s">
        <v>175</v>
      </c>
      <c r="E82" s="119"/>
      <c r="F82" s="145">
        <v>0.25</v>
      </c>
      <c r="G82" s="121">
        <v>1</v>
      </c>
      <c r="H82" s="157">
        <f t="shared" si="17"/>
        <v>0.25</v>
      </c>
      <c r="I82" s="146">
        <f>'[1]17. Regulatory Charges'!$D$17</f>
        <v>0.25</v>
      </c>
      <c r="J82" s="124">
        <v>1</v>
      </c>
      <c r="K82" s="157">
        <f t="shared" si="18"/>
        <v>0.25</v>
      </c>
      <c r="L82" s="125">
        <f t="shared" si="12"/>
        <v>0</v>
      </c>
      <c r="M82" s="126">
        <f t="shared" si="19"/>
        <v>0</v>
      </c>
    </row>
    <row r="83" spans="1:13" ht="25.5" x14ac:dyDescent="0.25">
      <c r="A83" s="100" t="str">
        <f t="shared" si="15"/>
        <v>RESIDENTIAL SERVICE CLASSIFICATION</v>
      </c>
      <c r="C83" s="117"/>
      <c r="D83" s="156" t="s">
        <v>176</v>
      </c>
      <c r="E83" s="119"/>
      <c r="F83" s="127"/>
      <c r="G83" s="141"/>
      <c r="H83" s="157"/>
      <c r="I83" s="128"/>
      <c r="J83" s="141"/>
      <c r="K83" s="157"/>
      <c r="L83" s="125"/>
      <c r="M83" s="126"/>
    </row>
    <row r="84" spans="1:13" x14ac:dyDescent="0.25">
      <c r="A84" s="100" t="str">
        <f t="shared" si="15"/>
        <v>RESIDENTIAL SERVICE CLASSIFICATION</v>
      </c>
      <c r="B84" s="105" t="s">
        <v>117</v>
      </c>
      <c r="C84" s="117"/>
      <c r="D84" s="159" t="s">
        <v>177</v>
      </c>
      <c r="E84" s="119"/>
      <c r="F84" s="160">
        <f>OffPeak</f>
        <v>6.5000000000000002E-2</v>
      </c>
      <c r="G84" s="161">
        <f>IF(AND(E53*12&gt;=150000),0.65*E53*E55,0.65*E53)</f>
        <v>487.5</v>
      </c>
      <c r="H84" s="157">
        <f t="shared" si="17"/>
        <v>31.6875</v>
      </c>
      <c r="I84" s="162">
        <f>OffPeak</f>
        <v>6.5000000000000002E-2</v>
      </c>
      <c r="J84" s="161">
        <f>IF(AND(E53*12&gt;=150000),0.65*E53*E56,0.65*E53)</f>
        <v>487.5</v>
      </c>
      <c r="K84" s="157">
        <f t="shared" si="18"/>
        <v>31.6875</v>
      </c>
      <c r="L84" s="125">
        <f>K84-H84</f>
        <v>0</v>
      </c>
      <c r="M84" s="126">
        <f t="shared" si="19"/>
        <v>0</v>
      </c>
    </row>
    <row r="85" spans="1:13" x14ac:dyDescent="0.25">
      <c r="A85" s="100" t="str">
        <f t="shared" si="15"/>
        <v>RESIDENTIAL SERVICE CLASSIFICATION</v>
      </c>
      <c r="B85" s="105" t="s">
        <v>117</v>
      </c>
      <c r="C85" s="117"/>
      <c r="D85" s="159" t="s">
        <v>178</v>
      </c>
      <c r="E85" s="119"/>
      <c r="F85" s="160">
        <f>MidPeak</f>
        <v>9.4E-2</v>
      </c>
      <c r="G85" s="161">
        <f>IF(AND(E53*12&gt;=150000),0.17*E53*E55,0.17*E53)</f>
        <v>127.50000000000001</v>
      </c>
      <c r="H85" s="157">
        <f t="shared" si="17"/>
        <v>11.985000000000001</v>
      </c>
      <c r="I85" s="162">
        <f>MidPeak</f>
        <v>9.4E-2</v>
      </c>
      <c r="J85" s="161">
        <f>IF(AND(E53*12&gt;=150000),0.17*E53*E56,0.17*E53)</f>
        <v>127.50000000000001</v>
      </c>
      <c r="K85" s="157">
        <f t="shared" si="18"/>
        <v>11.985000000000001</v>
      </c>
      <c r="L85" s="125">
        <f>K85-H85</f>
        <v>0</v>
      </c>
      <c r="M85" s="126">
        <f t="shared" si="19"/>
        <v>0</v>
      </c>
    </row>
    <row r="86" spans="1:13" ht="15.75" thickBot="1" x14ac:dyDescent="0.3">
      <c r="A86" s="100" t="str">
        <f t="shared" si="15"/>
        <v>RESIDENTIAL SERVICE CLASSIFICATION</v>
      </c>
      <c r="B86" s="105" t="s">
        <v>117</v>
      </c>
      <c r="C86" s="117"/>
      <c r="D86" s="105" t="s">
        <v>179</v>
      </c>
      <c r="E86" s="119"/>
      <c r="F86" s="160">
        <f>OnPeak</f>
        <v>0.13200000000000001</v>
      </c>
      <c r="G86" s="161">
        <f>IF(AND(E53*12&gt;=150000),0.18*E53*E55,0.18*E53)</f>
        <v>135</v>
      </c>
      <c r="H86" s="157">
        <f t="shared" si="17"/>
        <v>17.82</v>
      </c>
      <c r="I86" s="162">
        <f>OnPeak</f>
        <v>0.13200000000000001</v>
      </c>
      <c r="J86" s="161">
        <f>IF(AND(E53*12&gt;=150000),0.18*E53*E56,0.18*E53)</f>
        <v>135</v>
      </c>
      <c r="K86" s="157">
        <f t="shared" si="18"/>
        <v>17.82</v>
      </c>
      <c r="L86" s="125">
        <f>K86-H86</f>
        <v>0</v>
      </c>
      <c r="M86" s="126">
        <f t="shared" si="19"/>
        <v>0</v>
      </c>
    </row>
    <row r="87" spans="1:13" hidden="1" x14ac:dyDescent="0.25">
      <c r="A87" s="100" t="str">
        <f t="shared" si="15"/>
        <v>RESIDENTIAL SERVICE CLASSIFICATION</v>
      </c>
      <c r="B87" s="100" t="s">
        <v>180</v>
      </c>
      <c r="C87" s="117"/>
      <c r="D87" s="159" t="s">
        <v>181</v>
      </c>
      <c r="E87" s="119"/>
      <c r="F87" s="163">
        <v>0.1101</v>
      </c>
      <c r="G87" s="161">
        <f>IF(AND(E53*12&gt;=150000),E53*E55,E53)</f>
        <v>750</v>
      </c>
      <c r="H87" s="157">
        <f>G87*F87</f>
        <v>82.575000000000003</v>
      </c>
      <c r="I87" s="164">
        <f>F87</f>
        <v>0.1101</v>
      </c>
      <c r="J87" s="161">
        <f>IF(AND(E53*12&gt;=150000),E53*E56,E53)</f>
        <v>750</v>
      </c>
      <c r="K87" s="157">
        <f>J87*I87</f>
        <v>82.575000000000003</v>
      </c>
      <c r="L87" s="125">
        <f>K87-H87</f>
        <v>0</v>
      </c>
      <c r="M87" s="126">
        <f t="shared" si="19"/>
        <v>0</v>
      </c>
    </row>
    <row r="88" spans="1:13" ht="15.75" hidden="1" thickBot="1" x14ac:dyDescent="0.3">
      <c r="A88" s="100" t="str">
        <f t="shared" si="15"/>
        <v>RESIDENTIAL SERVICE CLASSIFICATION</v>
      </c>
      <c r="B88" s="100" t="s">
        <v>121</v>
      </c>
      <c r="C88" s="117"/>
      <c r="D88" s="159" t="s">
        <v>182</v>
      </c>
      <c r="E88" s="119"/>
      <c r="F88" s="163">
        <v>0.1101</v>
      </c>
      <c r="G88" s="161">
        <f>IF(AND(E53*12&gt;=150000),E53*E55,E53)</f>
        <v>750</v>
      </c>
      <c r="H88" s="157">
        <f>G88*F88</f>
        <v>82.575000000000003</v>
      </c>
      <c r="I88" s="164">
        <f>F88</f>
        <v>0.1101</v>
      </c>
      <c r="J88" s="161">
        <f>IF(AND(E53*12&gt;=150000),E53*E56,E53)</f>
        <v>750</v>
      </c>
      <c r="K88" s="157">
        <f>J88*I88</f>
        <v>82.575000000000003</v>
      </c>
      <c r="L88" s="125">
        <f>K88-H88</f>
        <v>0</v>
      </c>
      <c r="M88" s="126">
        <f t="shared" si="19"/>
        <v>0</v>
      </c>
    </row>
    <row r="89" spans="1:13" ht="15.75" thickBot="1" x14ac:dyDescent="0.3">
      <c r="A89" s="100" t="str">
        <f t="shared" si="15"/>
        <v>RESIDENTIAL SERVICE CLASSIFICATION</v>
      </c>
      <c r="B89" s="105"/>
      <c r="C89" s="117"/>
      <c r="D89" s="165"/>
      <c r="E89" s="166"/>
      <c r="F89" s="167"/>
      <c r="G89" s="168"/>
      <c r="H89" s="169"/>
      <c r="I89" s="167"/>
      <c r="J89" s="170"/>
      <c r="K89" s="169"/>
      <c r="L89" s="171"/>
      <c r="M89" s="172"/>
    </row>
    <row r="90" spans="1:13" x14ac:dyDescent="0.25">
      <c r="A90" s="100" t="str">
        <f t="shared" si="15"/>
        <v>RESIDENTIAL SERVICE CLASSIFICATION</v>
      </c>
      <c r="B90" s="105" t="s">
        <v>117</v>
      </c>
      <c r="C90" s="117"/>
      <c r="D90" s="173" t="s">
        <v>183</v>
      </c>
      <c r="E90" s="158"/>
      <c r="F90" s="174"/>
      <c r="G90" s="175"/>
      <c r="H90" s="176">
        <f>SUM(H80:H86,H79)</f>
        <v>105.52068</v>
      </c>
      <c r="I90" s="177"/>
      <c r="J90" s="177"/>
      <c r="K90" s="176">
        <f>SUM(K80:K86,K79)</f>
        <v>102.88548</v>
      </c>
      <c r="L90" s="178">
        <f>K90-H90</f>
        <v>-2.6351999999999975</v>
      </c>
      <c r="M90" s="179">
        <f>IF((H90)=0,"",(L90/H90))</f>
        <v>-2.4973303811158132E-2</v>
      </c>
    </row>
    <row r="91" spans="1:13" x14ac:dyDescent="0.25">
      <c r="A91" s="100" t="str">
        <f t="shared" si="15"/>
        <v>RESIDENTIAL SERVICE CLASSIFICATION</v>
      </c>
      <c r="B91" s="105" t="s">
        <v>117</v>
      </c>
      <c r="C91" s="117"/>
      <c r="D91" s="180" t="s">
        <v>184</v>
      </c>
      <c r="E91" s="158"/>
      <c r="F91" s="174">
        <v>0.13</v>
      </c>
      <c r="G91" s="181"/>
      <c r="H91" s="182">
        <f>H90*F91</f>
        <v>13.7176884</v>
      </c>
      <c r="I91" s="183">
        <v>0.13</v>
      </c>
      <c r="J91" s="121"/>
      <c r="K91" s="182">
        <f>K90*I91</f>
        <v>13.375112400000001</v>
      </c>
      <c r="L91" s="184">
        <f>K91-H91</f>
        <v>-0.34257599999999933</v>
      </c>
      <c r="M91" s="185">
        <f>IF((H91)=0,"",(L91/H91))</f>
        <v>-2.4973303811158105E-2</v>
      </c>
    </row>
    <row r="92" spans="1:13" x14ac:dyDescent="0.25">
      <c r="A92" s="100" t="str">
        <f t="shared" si="15"/>
        <v>RESIDENTIAL SERVICE CLASSIFICATION</v>
      </c>
      <c r="B92" s="105" t="s">
        <v>117</v>
      </c>
      <c r="C92" s="117"/>
      <c r="D92" s="180" t="s">
        <v>185</v>
      </c>
      <c r="E92" s="158"/>
      <c r="F92" s="174">
        <v>0.08</v>
      </c>
      <c r="G92" s="181"/>
      <c r="H92" s="182">
        <f>H90*-F92</f>
        <v>-8.4416544000000009</v>
      </c>
      <c r="I92" s="174">
        <v>0.08</v>
      </c>
      <c r="J92" s="121"/>
      <c r="K92" s="182">
        <f>K90*-I92</f>
        <v>-8.2308383999999997</v>
      </c>
      <c r="L92" s="184">
        <f>K92-H92</f>
        <v>0.21081600000000122</v>
      </c>
      <c r="M92" s="185"/>
    </row>
    <row r="93" spans="1:13" ht="15.75" thickBot="1" x14ac:dyDescent="0.3">
      <c r="A93" s="100" t="str">
        <f t="shared" si="15"/>
        <v>RESIDENTIAL SERVICE CLASSIFICATION</v>
      </c>
      <c r="B93" s="105" t="s">
        <v>186</v>
      </c>
      <c r="C93" s="117">
        <f>B3</f>
        <v>1</v>
      </c>
      <c r="D93" s="301" t="s">
        <v>187</v>
      </c>
      <c r="E93" s="301"/>
      <c r="F93" s="186"/>
      <c r="G93" s="187"/>
      <c r="H93" s="188">
        <f>H90+H91+H92</f>
        <v>110.79671399999999</v>
      </c>
      <c r="I93" s="189"/>
      <c r="J93" s="189"/>
      <c r="K93" s="190">
        <f>K90+K91+K92</f>
        <v>108.02975400000001</v>
      </c>
      <c r="L93" s="191">
        <f>K93-H93</f>
        <v>-2.7669599999999832</v>
      </c>
      <c r="M93" s="192">
        <f>IF((H93)=0,"",(L93/H93))</f>
        <v>-2.4973303811158004E-2</v>
      </c>
    </row>
    <row r="94" spans="1:13" ht="15.75" thickBot="1" x14ac:dyDescent="0.3">
      <c r="A94" s="100" t="str">
        <f t="shared" si="15"/>
        <v>RESIDENTIAL SERVICE CLASSIFICATION</v>
      </c>
      <c r="B94" s="100" t="s">
        <v>117</v>
      </c>
      <c r="C94" s="117"/>
      <c r="D94" s="165"/>
      <c r="E94" s="166"/>
      <c r="F94" s="167"/>
      <c r="G94" s="168"/>
      <c r="H94" s="169"/>
      <c r="I94" s="167"/>
      <c r="J94" s="170"/>
      <c r="K94" s="169"/>
      <c r="L94" s="171"/>
      <c r="M94" s="172"/>
    </row>
    <row r="95" spans="1:13" hidden="1" x14ac:dyDescent="0.25">
      <c r="A95" s="100" t="str">
        <f t="shared" si="15"/>
        <v>RESIDENTIAL SERVICE CLASSIFICATION</v>
      </c>
      <c r="B95" s="100" t="s">
        <v>180</v>
      </c>
      <c r="C95" s="117"/>
      <c r="D95" s="173" t="s">
        <v>188</v>
      </c>
      <c r="E95" s="158"/>
      <c r="F95" s="174"/>
      <c r="G95" s="175"/>
      <c r="H95" s="176">
        <f>SUM(H87,H80:H83,H79)</f>
        <v>126.60318000000001</v>
      </c>
      <c r="I95" s="177"/>
      <c r="J95" s="177"/>
      <c r="K95" s="176">
        <f>SUM(K87,K80:K83,K79)</f>
        <v>123.96798000000001</v>
      </c>
      <c r="L95" s="178">
        <f>K95-H95</f>
        <v>-2.6351999999999975</v>
      </c>
      <c r="M95" s="179">
        <f>IF((H95)=0,"",(L95/H95))</f>
        <v>-2.0814643044511184E-2</v>
      </c>
    </row>
    <row r="96" spans="1:13" hidden="1" x14ac:dyDescent="0.25">
      <c r="A96" s="100" t="str">
        <f t="shared" si="15"/>
        <v>RESIDENTIAL SERVICE CLASSIFICATION</v>
      </c>
      <c r="B96" s="100" t="s">
        <v>180</v>
      </c>
      <c r="C96" s="117"/>
      <c r="D96" s="180" t="s">
        <v>184</v>
      </c>
      <c r="E96" s="158"/>
      <c r="F96" s="174">
        <v>0.13</v>
      </c>
      <c r="G96" s="175"/>
      <c r="H96" s="182">
        <f>H95*F96</f>
        <v>16.458413400000001</v>
      </c>
      <c r="I96" s="174">
        <v>0.13</v>
      </c>
      <c r="J96" s="183"/>
      <c r="K96" s="182">
        <f>K95*I96</f>
        <v>16.115837400000004</v>
      </c>
      <c r="L96" s="184">
        <f>K96-H96</f>
        <v>-0.34257599999999755</v>
      </c>
      <c r="M96" s="185">
        <f>IF((H96)=0,"",(L96/H96))</f>
        <v>-2.0814643044511055E-2</v>
      </c>
    </row>
    <row r="97" spans="1:13" hidden="1" x14ac:dyDescent="0.25">
      <c r="A97" s="100" t="str">
        <f t="shared" si="15"/>
        <v>RESIDENTIAL SERVICE CLASSIFICATION</v>
      </c>
      <c r="B97" s="100" t="s">
        <v>180</v>
      </c>
      <c r="C97" s="117"/>
      <c r="D97" s="180" t="s">
        <v>185</v>
      </c>
      <c r="E97" s="158"/>
      <c r="F97" s="174">
        <v>0.08</v>
      </c>
      <c r="G97" s="175"/>
      <c r="H97" s="182"/>
      <c r="I97" s="174">
        <v>0.08</v>
      </c>
      <c r="J97" s="183"/>
      <c r="K97" s="182"/>
      <c r="L97" s="184"/>
      <c r="M97" s="185"/>
    </row>
    <row r="98" spans="1:13" ht="15.75" hidden="1" thickBot="1" x14ac:dyDescent="0.3">
      <c r="A98" s="100" t="str">
        <f t="shared" si="15"/>
        <v>RESIDENTIAL SERVICE CLASSIFICATION</v>
      </c>
      <c r="B98" s="100" t="s">
        <v>189</v>
      </c>
      <c r="C98" s="117"/>
      <c r="D98" s="301" t="s">
        <v>188</v>
      </c>
      <c r="E98" s="301"/>
      <c r="F98" s="193"/>
      <c r="G98" s="194"/>
      <c r="H98" s="188">
        <f>SUM(H95,H96)</f>
        <v>143.06159340000002</v>
      </c>
      <c r="I98" s="195"/>
      <c r="J98" s="195"/>
      <c r="K98" s="188">
        <f>SUM(K95,K96)</f>
        <v>140.08381740000002</v>
      </c>
      <c r="L98" s="196">
        <f>K98-H98</f>
        <v>-2.9777760000000058</v>
      </c>
      <c r="M98" s="197">
        <f>IF((H98)=0,"",(L98/H98))</f>
        <v>-2.0814643044511243E-2</v>
      </c>
    </row>
    <row r="99" spans="1:13" ht="15.75" hidden="1" thickBot="1" x14ac:dyDescent="0.3">
      <c r="A99" s="100" t="str">
        <f t="shared" si="15"/>
        <v>RESIDENTIAL SERVICE CLASSIFICATION</v>
      </c>
      <c r="B99" s="100" t="s">
        <v>180</v>
      </c>
      <c r="C99" s="117"/>
      <c r="D99" s="165"/>
      <c r="E99" s="166"/>
      <c r="F99" s="198"/>
      <c r="G99" s="199"/>
      <c r="H99" s="200"/>
      <c r="I99" s="198"/>
      <c r="J99" s="168"/>
      <c r="K99" s="200"/>
      <c r="L99" s="201"/>
      <c r="M99" s="172"/>
    </row>
    <row r="100" spans="1:13" hidden="1" x14ac:dyDescent="0.25">
      <c r="A100" s="100" t="str">
        <f t="shared" si="15"/>
        <v>RESIDENTIAL SERVICE CLASSIFICATION</v>
      </c>
      <c r="B100" s="100" t="s">
        <v>121</v>
      </c>
      <c r="C100" s="117"/>
      <c r="D100" s="173" t="s">
        <v>190</v>
      </c>
      <c r="E100" s="158"/>
      <c r="F100" s="174"/>
      <c r="G100" s="175"/>
      <c r="H100" s="176">
        <f>SUM(H88,H80:H83,H79)</f>
        <v>126.60318000000001</v>
      </c>
      <c r="I100" s="177"/>
      <c r="J100" s="177"/>
      <c r="K100" s="176">
        <f>SUM(K88,K80:K83,K79)</f>
        <v>123.96798000000001</v>
      </c>
      <c r="L100" s="178">
        <f>K100-H100</f>
        <v>-2.6351999999999975</v>
      </c>
      <c r="M100" s="179">
        <f>IF((H100)=0,"",(L100/H100))</f>
        <v>-2.0814643044511184E-2</v>
      </c>
    </row>
    <row r="101" spans="1:13" hidden="1" x14ac:dyDescent="0.25">
      <c r="A101" s="100" t="str">
        <f t="shared" si="15"/>
        <v>RESIDENTIAL SERVICE CLASSIFICATION</v>
      </c>
      <c r="B101" s="100" t="s">
        <v>121</v>
      </c>
      <c r="C101" s="117"/>
      <c r="D101" s="180" t="s">
        <v>184</v>
      </c>
      <c r="E101" s="158"/>
      <c r="F101" s="174">
        <v>0.13</v>
      </c>
      <c r="G101" s="175"/>
      <c r="H101" s="182">
        <f>H100*F101</f>
        <v>16.458413400000001</v>
      </c>
      <c r="I101" s="174">
        <v>0.13</v>
      </c>
      <c r="J101" s="183"/>
      <c r="K101" s="182">
        <f>K100*I101</f>
        <v>16.115837400000004</v>
      </c>
      <c r="L101" s="184">
        <f>K101-H101</f>
        <v>-0.34257599999999755</v>
      </c>
      <c r="M101" s="185">
        <f>IF((H101)=0,"",(L101/H101))</f>
        <v>-2.0814643044511055E-2</v>
      </c>
    </row>
    <row r="102" spans="1:13" hidden="1" x14ac:dyDescent="0.25">
      <c r="A102" s="100" t="str">
        <f t="shared" si="15"/>
        <v>RESIDENTIAL SERVICE CLASSIFICATION</v>
      </c>
      <c r="B102" s="100" t="s">
        <v>121</v>
      </c>
      <c r="C102" s="117"/>
      <c r="D102" s="180" t="s">
        <v>185</v>
      </c>
      <c r="E102" s="158"/>
      <c r="F102" s="174">
        <v>0.08</v>
      </c>
      <c r="G102" s="175"/>
      <c r="H102" s="182"/>
      <c r="I102" s="174">
        <v>0.08</v>
      </c>
      <c r="J102" s="183"/>
      <c r="K102" s="182"/>
      <c r="L102" s="184"/>
      <c r="M102" s="185"/>
    </row>
    <row r="103" spans="1:13" ht="15.75" hidden="1" thickBot="1" x14ac:dyDescent="0.3">
      <c r="A103" s="100" t="str">
        <f t="shared" si="15"/>
        <v>RESIDENTIAL SERVICE CLASSIFICATION</v>
      </c>
      <c r="B103" s="100" t="s">
        <v>191</v>
      </c>
      <c r="C103" s="117"/>
      <c r="D103" s="301" t="s">
        <v>190</v>
      </c>
      <c r="E103" s="301"/>
      <c r="F103" s="193"/>
      <c r="G103" s="194"/>
      <c r="H103" s="188">
        <f>SUM(H100,H101)</f>
        <v>143.06159340000002</v>
      </c>
      <c r="I103" s="195"/>
      <c r="J103" s="195"/>
      <c r="K103" s="188">
        <f>SUM(K100,K101)</f>
        <v>140.08381740000002</v>
      </c>
      <c r="L103" s="196">
        <f>K103-H103</f>
        <v>-2.9777760000000058</v>
      </c>
      <c r="M103" s="197">
        <f>IF((H103)=0,"",(L103/H103))</f>
        <v>-2.0814643044511243E-2</v>
      </c>
    </row>
    <row r="104" spans="1:13" ht="15.75" hidden="1" thickBot="1" x14ac:dyDescent="0.3">
      <c r="A104" s="100" t="str">
        <f t="shared" si="15"/>
        <v>RESIDENTIAL SERVICE CLASSIFICATION</v>
      </c>
      <c r="B104" s="100" t="s">
        <v>121</v>
      </c>
      <c r="C104" s="117"/>
      <c r="D104" s="165"/>
      <c r="E104" s="166"/>
      <c r="F104" s="202"/>
      <c r="G104" s="203"/>
      <c r="H104" s="204"/>
      <c r="I104" s="202"/>
      <c r="J104" s="205"/>
      <c r="K104" s="204"/>
      <c r="L104" s="206"/>
      <c r="M104" s="207"/>
    </row>
    <row r="107" spans="1:13" x14ac:dyDescent="0.25">
      <c r="C107" s="100"/>
      <c r="D107" s="101" t="s">
        <v>134</v>
      </c>
      <c r="E107" s="302" t="str">
        <f>D4</f>
        <v>GENERAL SERVICE LESS THAN 50 KW SERVICE CLASSIFICATION</v>
      </c>
      <c r="F107" s="302"/>
      <c r="G107" s="302"/>
      <c r="H107" s="302"/>
      <c r="I107" s="302"/>
      <c r="J107" s="302"/>
      <c r="K107" s="100" t="str">
        <f>IF(N4="DEMAND - INTERVAL","RTSR - INTERVAL METERED","")</f>
        <v/>
      </c>
    </row>
    <row r="108" spans="1:13" x14ac:dyDescent="0.25">
      <c r="C108" s="100"/>
      <c r="D108" s="101" t="s">
        <v>135</v>
      </c>
      <c r="E108" s="303" t="str">
        <f>H4</f>
        <v>RPP</v>
      </c>
      <c r="F108" s="303"/>
      <c r="G108" s="303"/>
      <c r="H108" s="102"/>
      <c r="I108" s="102"/>
    </row>
    <row r="109" spans="1:13" ht="15.75" x14ac:dyDescent="0.25">
      <c r="C109" s="100"/>
      <c r="D109" s="101" t="s">
        <v>136</v>
      </c>
      <c r="E109" s="103">
        <f>K4</f>
        <v>2000</v>
      </c>
      <c r="F109" s="104" t="s">
        <v>137</v>
      </c>
      <c r="G109" s="105"/>
      <c r="J109" s="106"/>
      <c r="K109" s="106"/>
      <c r="L109" s="106"/>
      <c r="M109" s="106"/>
    </row>
    <row r="110" spans="1:13" ht="15.75" x14ac:dyDescent="0.25">
      <c r="C110" s="100"/>
      <c r="D110" s="101" t="s">
        <v>138</v>
      </c>
      <c r="E110" s="103">
        <f>L4</f>
        <v>0</v>
      </c>
      <c r="F110" s="107" t="s">
        <v>139</v>
      </c>
      <c r="G110" s="108"/>
      <c r="H110" s="109"/>
      <c r="I110" s="109"/>
      <c r="J110" s="109"/>
    </row>
    <row r="111" spans="1:13" x14ac:dyDescent="0.25">
      <c r="C111" s="100"/>
      <c r="D111" s="101" t="s">
        <v>140</v>
      </c>
      <c r="E111" s="110">
        <f>I4</f>
        <v>1.056</v>
      </c>
    </row>
    <row r="112" spans="1:13" x14ac:dyDescent="0.25">
      <c r="C112" s="100"/>
      <c r="D112" s="101" t="s">
        <v>141</v>
      </c>
      <c r="E112" s="110">
        <f>J4</f>
        <v>1.056</v>
      </c>
    </row>
    <row r="113" spans="1:13" x14ac:dyDescent="0.25">
      <c r="C113" s="100"/>
      <c r="D113" s="105"/>
    </row>
    <row r="114" spans="1:13" x14ac:dyDescent="0.25">
      <c r="C114" s="100"/>
      <c r="D114" s="105"/>
      <c r="E114" s="111"/>
      <c r="F114" s="304" t="s">
        <v>142</v>
      </c>
      <c r="G114" s="305"/>
      <c r="H114" s="306"/>
      <c r="I114" s="304" t="s">
        <v>143</v>
      </c>
      <c r="J114" s="305"/>
      <c r="K114" s="306"/>
      <c r="L114" s="304" t="s">
        <v>144</v>
      </c>
      <c r="M114" s="306"/>
    </row>
    <row r="115" spans="1:13" x14ac:dyDescent="0.25">
      <c r="C115" s="100"/>
      <c r="D115" s="105"/>
      <c r="E115" s="295"/>
      <c r="F115" s="112" t="s">
        <v>145</v>
      </c>
      <c r="G115" s="112" t="s">
        <v>146</v>
      </c>
      <c r="H115" s="113" t="s">
        <v>147</v>
      </c>
      <c r="I115" s="112" t="s">
        <v>145</v>
      </c>
      <c r="J115" s="114" t="s">
        <v>146</v>
      </c>
      <c r="K115" s="113" t="s">
        <v>147</v>
      </c>
      <c r="L115" s="297" t="s">
        <v>148</v>
      </c>
      <c r="M115" s="299" t="s">
        <v>149</v>
      </c>
    </row>
    <row r="116" spans="1:13" x14ac:dyDescent="0.25">
      <c r="C116" s="100"/>
      <c r="D116" s="105"/>
      <c r="E116" s="296"/>
      <c r="F116" s="115" t="s">
        <v>150</v>
      </c>
      <c r="G116" s="115"/>
      <c r="H116" s="116" t="s">
        <v>150</v>
      </c>
      <c r="I116" s="115" t="s">
        <v>150</v>
      </c>
      <c r="J116" s="116"/>
      <c r="K116" s="116" t="s">
        <v>150</v>
      </c>
      <c r="L116" s="298"/>
      <c r="M116" s="300"/>
    </row>
    <row r="117" spans="1:13" x14ac:dyDescent="0.25">
      <c r="A117" s="100" t="str">
        <f>$E107</f>
        <v>GENERAL SERVICE LESS THAN 50 KW SERVICE CLASSIFICATION</v>
      </c>
      <c r="C117" s="117"/>
      <c r="D117" s="118" t="s">
        <v>151</v>
      </c>
      <c r="E117" s="119"/>
      <c r="F117" s="120">
        <v>28.37</v>
      </c>
      <c r="G117" s="121">
        <v>1</v>
      </c>
      <c r="H117" s="122">
        <f>G117*F117</f>
        <v>28.37</v>
      </c>
      <c r="I117" s="123">
        <v>28.71</v>
      </c>
      <c r="J117" s="124">
        <f>G117</f>
        <v>1</v>
      </c>
      <c r="K117" s="122">
        <f>J117*I117</f>
        <v>28.71</v>
      </c>
      <c r="L117" s="125">
        <f t="shared" ref="L117:L138" si="20">K117-H117</f>
        <v>0.33999999999999986</v>
      </c>
      <c r="M117" s="126">
        <f>IF(ISERROR(L117/H117), "", L117/H117)</f>
        <v>1.198449065914698E-2</v>
      </c>
    </row>
    <row r="118" spans="1:13" x14ac:dyDescent="0.25">
      <c r="A118" s="100" t="str">
        <f>A117</f>
        <v>GENERAL SERVICE LESS THAN 50 KW SERVICE CLASSIFICATION</v>
      </c>
      <c r="C118" s="117"/>
      <c r="D118" s="118" t="s">
        <v>152</v>
      </c>
      <c r="E118" s="119"/>
      <c r="F118" s="127">
        <v>1.0200000000000001E-2</v>
      </c>
      <c r="G118" s="121">
        <f>IF($E110&gt;0, $E110, $E109)</f>
        <v>2000</v>
      </c>
      <c r="H118" s="122">
        <f t="shared" ref="H118:H130" si="21">G118*F118</f>
        <v>20.400000000000002</v>
      </c>
      <c r="I118" s="128">
        <v>1.03E-2</v>
      </c>
      <c r="J118" s="124">
        <f>IF($E110&gt;0, $E110, $E109)</f>
        <v>2000</v>
      </c>
      <c r="K118" s="122">
        <f>J118*I118</f>
        <v>20.6</v>
      </c>
      <c r="L118" s="125">
        <f t="shared" si="20"/>
        <v>0.19999999999999929</v>
      </c>
      <c r="M118" s="126">
        <f t="shared" ref="M118:M128" si="22">IF(ISERROR(L118/H118), "", L118/H118)</f>
        <v>9.8039215686274144E-3</v>
      </c>
    </row>
    <row r="119" spans="1:13" x14ac:dyDescent="0.25">
      <c r="A119" s="100" t="str">
        <f t="shared" ref="A119:A160" si="23">A118</f>
        <v>GENERAL SERVICE LESS THAN 50 KW SERVICE CLASSIFICATION</v>
      </c>
      <c r="C119" s="117"/>
      <c r="D119" s="118" t="s">
        <v>153</v>
      </c>
      <c r="E119" s="119"/>
      <c r="F119" s="127"/>
      <c r="G119" s="121">
        <f>IF($E110&gt;0, $E110, $E109)</f>
        <v>2000</v>
      </c>
      <c r="H119" s="122">
        <v>0</v>
      </c>
      <c r="I119" s="128"/>
      <c r="J119" s="124">
        <f>IF($E110&gt;0, $E110, $E109)</f>
        <v>2000</v>
      </c>
      <c r="K119" s="122">
        <v>0</v>
      </c>
      <c r="L119" s="125"/>
      <c r="M119" s="126"/>
    </row>
    <row r="120" spans="1:13" x14ac:dyDescent="0.25">
      <c r="A120" s="100" t="str">
        <f t="shared" si="23"/>
        <v>GENERAL SERVICE LESS THAN 50 KW SERVICE CLASSIFICATION</v>
      </c>
      <c r="C120" s="117"/>
      <c r="D120" s="118" t="s">
        <v>154</v>
      </c>
      <c r="E120" s="119"/>
      <c r="F120" s="127"/>
      <c r="G120" s="121">
        <f>IF($E110&gt;0, $E110, $E109)</f>
        <v>2000</v>
      </c>
      <c r="H120" s="122">
        <v>0</v>
      </c>
      <c r="I120" s="128"/>
      <c r="J120" s="121">
        <f>IF($E110&gt;0, $E110, $E109)</f>
        <v>2000</v>
      </c>
      <c r="K120" s="122">
        <v>0</v>
      </c>
      <c r="L120" s="125">
        <f>K120-H120</f>
        <v>0</v>
      </c>
      <c r="M120" s="126" t="str">
        <f>IF(ISERROR(L120/H120), "", L120/H120)</f>
        <v/>
      </c>
    </row>
    <row r="121" spans="1:13" x14ac:dyDescent="0.25">
      <c r="A121" s="100" t="str">
        <f t="shared" si="23"/>
        <v>GENERAL SERVICE LESS THAN 50 KW SERVICE CLASSIFICATION</v>
      </c>
      <c r="C121" s="117"/>
      <c r="D121" s="129" t="s">
        <v>155</v>
      </c>
      <c r="E121" s="119"/>
      <c r="F121" s="120">
        <v>0</v>
      </c>
      <c r="G121" s="121">
        <v>1</v>
      </c>
      <c r="H121" s="122">
        <f t="shared" si="21"/>
        <v>0</v>
      </c>
      <c r="I121" s="123">
        <v>0</v>
      </c>
      <c r="J121" s="124">
        <f>G121</f>
        <v>1</v>
      </c>
      <c r="K121" s="122">
        <f t="shared" ref="K121:K128" si="24">J121*I121</f>
        <v>0</v>
      </c>
      <c r="L121" s="125">
        <f t="shared" si="20"/>
        <v>0</v>
      </c>
      <c r="M121" s="126" t="str">
        <f t="shared" si="22"/>
        <v/>
      </c>
    </row>
    <row r="122" spans="1:13" x14ac:dyDescent="0.25">
      <c r="A122" s="100" t="str">
        <f t="shared" si="23"/>
        <v>GENERAL SERVICE LESS THAN 50 KW SERVICE CLASSIFICATION</v>
      </c>
      <c r="C122" s="117"/>
      <c r="D122" s="118" t="s">
        <v>156</v>
      </c>
      <c r="E122" s="119"/>
      <c r="F122" s="127">
        <v>0</v>
      </c>
      <c r="G122" s="121">
        <f>IF($E110&gt;0, $E110, $E109)</f>
        <v>2000</v>
      </c>
      <c r="H122" s="122">
        <f t="shared" si="21"/>
        <v>0</v>
      </c>
      <c r="I122" s="128">
        <v>0</v>
      </c>
      <c r="J122" s="124">
        <f>IF($E110&gt;0, $E110, $E109)</f>
        <v>2000</v>
      </c>
      <c r="K122" s="122">
        <f t="shared" si="24"/>
        <v>0</v>
      </c>
      <c r="L122" s="125">
        <f t="shared" si="20"/>
        <v>0</v>
      </c>
      <c r="M122" s="126" t="str">
        <f t="shared" si="22"/>
        <v/>
      </c>
    </row>
    <row r="123" spans="1:13" x14ac:dyDescent="0.25">
      <c r="A123" s="100" t="str">
        <f t="shared" si="23"/>
        <v>GENERAL SERVICE LESS THAN 50 KW SERVICE CLASSIFICATION</v>
      </c>
      <c r="B123" s="130" t="s">
        <v>157</v>
      </c>
      <c r="C123" s="117">
        <f>B4</f>
        <v>2</v>
      </c>
      <c r="D123" s="131" t="s">
        <v>158</v>
      </c>
      <c r="E123" s="132"/>
      <c r="F123" s="133"/>
      <c r="G123" s="134"/>
      <c r="H123" s="135">
        <f>SUM(H117:H122)</f>
        <v>48.77</v>
      </c>
      <c r="I123" s="136"/>
      <c r="J123" s="137"/>
      <c r="K123" s="135">
        <f>SUM(K117:K122)</f>
        <v>49.31</v>
      </c>
      <c r="L123" s="138">
        <f t="shared" si="20"/>
        <v>0.53999999999999915</v>
      </c>
      <c r="M123" s="139">
        <f>IF((H123)=0,"",(L123/H123))</f>
        <v>1.1072380561820774E-2</v>
      </c>
    </row>
    <row r="124" spans="1:13" x14ac:dyDescent="0.25">
      <c r="A124" s="100" t="str">
        <f t="shared" si="23"/>
        <v>GENERAL SERVICE LESS THAN 50 KW SERVICE CLASSIFICATION</v>
      </c>
      <c r="C124" s="117"/>
      <c r="D124" s="140" t="s">
        <v>159</v>
      </c>
      <c r="E124" s="119"/>
      <c r="F124" s="127">
        <f>IF((E109*12&gt;=150000), 0, IF(E108="RPP",(F140*0.65+F141*0.17+F142*0.18),IF(E108="Non-RPP (Retailer)",F143,F144)))</f>
        <v>8.1990000000000007E-2</v>
      </c>
      <c r="G124" s="141">
        <f>IF(F124=0, 0, $E109*E111-E109)</f>
        <v>112</v>
      </c>
      <c r="H124" s="122">
        <f>G124*F124</f>
        <v>9.1828800000000008</v>
      </c>
      <c r="I124" s="128">
        <f>IF((E109*12&gt;=150000), 0, IF(E108="RPP",(I140*0.65+I141*0.17+I142*0.18),IF(E108="Non-RPP (Retailer)",I143,I144)))</f>
        <v>8.1990000000000007E-2</v>
      </c>
      <c r="J124" s="141">
        <f>IF(I124=0, 0, E109*E112-E109)</f>
        <v>112</v>
      </c>
      <c r="K124" s="122">
        <f>J124*I124</f>
        <v>9.1828800000000008</v>
      </c>
      <c r="L124" s="125">
        <f>K124-H124</f>
        <v>0</v>
      </c>
      <c r="M124" s="126">
        <f>IF(ISERROR(L124/H124), "", L124/H124)</f>
        <v>0</v>
      </c>
    </row>
    <row r="125" spans="1:13" ht="25.5" x14ac:dyDescent="0.25">
      <c r="A125" s="100" t="str">
        <f t="shared" si="23"/>
        <v>GENERAL SERVICE LESS THAN 50 KW SERVICE CLASSIFICATION</v>
      </c>
      <c r="C125" s="117"/>
      <c r="D125" s="140" t="s">
        <v>160</v>
      </c>
      <c r="E125" s="119"/>
      <c r="F125" s="127">
        <v>-1.4E-3</v>
      </c>
      <c r="G125" s="142">
        <f>IF($E110&gt;0, $E110, $E109)</f>
        <v>2000</v>
      </c>
      <c r="H125" s="122">
        <f t="shared" si="21"/>
        <v>-2.8</v>
      </c>
      <c r="I125" s="128">
        <v>-5.3E-3</v>
      </c>
      <c r="J125" s="142">
        <f>IF($E110&gt;0, $E110, $E109)</f>
        <v>2000</v>
      </c>
      <c r="K125" s="122">
        <f t="shared" si="24"/>
        <v>-10.6</v>
      </c>
      <c r="L125" s="125">
        <f t="shared" si="20"/>
        <v>-7.8</v>
      </c>
      <c r="M125" s="126">
        <f t="shared" si="22"/>
        <v>2.785714285714286</v>
      </c>
    </row>
    <row r="126" spans="1:13" x14ac:dyDescent="0.25">
      <c r="A126" s="100" t="str">
        <f t="shared" si="23"/>
        <v>GENERAL SERVICE LESS THAN 50 KW SERVICE CLASSIFICATION</v>
      </c>
      <c r="C126" s="117"/>
      <c r="D126" s="140" t="s">
        <v>161</v>
      </c>
      <c r="E126" s="119"/>
      <c r="F126" s="127">
        <v>-1E-4</v>
      </c>
      <c r="G126" s="142">
        <f>IF($E110&gt;0, $E110, $E109)</f>
        <v>2000</v>
      </c>
      <c r="H126" s="122">
        <f>G126*F126</f>
        <v>-0.2</v>
      </c>
      <c r="I126" s="128">
        <v>0</v>
      </c>
      <c r="J126" s="142">
        <f>IF($E110&gt;0, $E110, $E109)</f>
        <v>2000</v>
      </c>
      <c r="K126" s="122">
        <f>J126*I126</f>
        <v>0</v>
      </c>
      <c r="L126" s="125">
        <f t="shared" si="20"/>
        <v>0.2</v>
      </c>
      <c r="M126" s="126">
        <f t="shared" si="22"/>
        <v>-1</v>
      </c>
    </row>
    <row r="127" spans="1:13" x14ac:dyDescent="0.25">
      <c r="A127" s="100" t="str">
        <f t="shared" si="23"/>
        <v>GENERAL SERVICE LESS THAN 50 KW SERVICE CLASSIFICATION</v>
      </c>
      <c r="C127" s="117"/>
      <c r="D127" s="140" t="s">
        <v>162</v>
      </c>
      <c r="E127" s="119"/>
      <c r="F127" s="127">
        <v>0</v>
      </c>
      <c r="G127" s="142">
        <f>E109</f>
        <v>2000</v>
      </c>
      <c r="H127" s="122">
        <f>G127*F127</f>
        <v>0</v>
      </c>
      <c r="I127" s="128">
        <v>0</v>
      </c>
      <c r="J127" s="142">
        <f>E109</f>
        <v>2000</v>
      </c>
      <c r="K127" s="122">
        <f t="shared" si="24"/>
        <v>0</v>
      </c>
      <c r="L127" s="125">
        <f t="shared" si="20"/>
        <v>0</v>
      </c>
      <c r="M127" s="126" t="str">
        <f t="shared" si="22"/>
        <v/>
      </c>
    </row>
    <row r="128" spans="1:13" x14ac:dyDescent="0.25">
      <c r="A128" s="100" t="str">
        <f t="shared" si="23"/>
        <v>GENERAL SERVICE LESS THAN 50 KW SERVICE CLASSIFICATION</v>
      </c>
      <c r="C128" s="117"/>
      <c r="D128" s="143" t="s">
        <v>163</v>
      </c>
      <c r="E128" s="119"/>
      <c r="F128" s="127">
        <v>2.3999999999999998E-3</v>
      </c>
      <c r="G128" s="142">
        <f>IF($E110&gt;0, $E110, $E109)</f>
        <v>2000</v>
      </c>
      <c r="H128" s="122">
        <f t="shared" si="21"/>
        <v>4.8</v>
      </c>
      <c r="I128" s="128">
        <v>2.3999999999999998E-3</v>
      </c>
      <c r="J128" s="142">
        <f>IF($E110&gt;0, $E110, $E109)</f>
        <v>2000</v>
      </c>
      <c r="K128" s="122">
        <f t="shared" si="24"/>
        <v>4.8</v>
      </c>
      <c r="L128" s="125">
        <f t="shared" si="20"/>
        <v>0</v>
      </c>
      <c r="M128" s="126">
        <f t="shared" si="22"/>
        <v>0</v>
      </c>
    </row>
    <row r="129" spans="1:13" ht="25.5" x14ac:dyDescent="0.25">
      <c r="A129" s="100" t="str">
        <f t="shared" si="23"/>
        <v>GENERAL SERVICE LESS THAN 50 KW SERVICE CLASSIFICATION</v>
      </c>
      <c r="C129" s="117"/>
      <c r="D129" s="144" t="s">
        <v>164</v>
      </c>
      <c r="E129" s="119"/>
      <c r="F129" s="145">
        <f>IF(OR(ISNUMBER(SEARCH("RESIDENTIAL", E107))=TRUE, ISNUMBER(SEARCH("GENERAL SERVICE LESS THAN 50", E107))=TRUE), SME, 0)</f>
        <v>0.56999999999999995</v>
      </c>
      <c r="G129" s="121">
        <v>1</v>
      </c>
      <c r="H129" s="122">
        <f>G129*F129</f>
        <v>0.56999999999999995</v>
      </c>
      <c r="I129" s="146">
        <f>IF(OR(ISNUMBER(SEARCH("RESIDENTIAL", E107))=TRUE, ISNUMBER(SEARCH("GENERAL SERVICE LESS THAN 50", E107))=TRUE), SME, 0)</f>
        <v>0.56999999999999995</v>
      </c>
      <c r="J129" s="121">
        <v>1</v>
      </c>
      <c r="K129" s="122">
        <f>J129*I129</f>
        <v>0.56999999999999995</v>
      </c>
      <c r="L129" s="125">
        <f t="shared" si="20"/>
        <v>0</v>
      </c>
      <c r="M129" s="126">
        <f>IF(ISERROR(L129/H129), "", L129/H129)</f>
        <v>0</v>
      </c>
    </row>
    <row r="130" spans="1:13" x14ac:dyDescent="0.25">
      <c r="A130" s="100" t="str">
        <f t="shared" si="23"/>
        <v>GENERAL SERVICE LESS THAN 50 KW SERVICE CLASSIFICATION</v>
      </c>
      <c r="C130" s="117"/>
      <c r="D130" s="143" t="s">
        <v>165</v>
      </c>
      <c r="E130" s="119"/>
      <c r="F130" s="120">
        <v>0</v>
      </c>
      <c r="G130" s="121">
        <v>1</v>
      </c>
      <c r="H130" s="122">
        <f t="shared" si="21"/>
        <v>0</v>
      </c>
      <c r="I130" s="123">
        <v>0</v>
      </c>
      <c r="J130" s="121">
        <v>1</v>
      </c>
      <c r="K130" s="122">
        <f>J130*I130</f>
        <v>0</v>
      </c>
      <c r="L130" s="125">
        <f>K130-H130</f>
        <v>0</v>
      </c>
      <c r="M130" s="126" t="str">
        <f>IF(ISERROR(L130/H130), "", L130/H130)</f>
        <v/>
      </c>
    </row>
    <row r="131" spans="1:13" x14ac:dyDescent="0.25">
      <c r="A131" s="100" t="str">
        <f t="shared" si="23"/>
        <v>GENERAL SERVICE LESS THAN 50 KW SERVICE CLASSIFICATION</v>
      </c>
      <c r="C131" s="117"/>
      <c r="D131" s="143" t="s">
        <v>166</v>
      </c>
      <c r="E131" s="119"/>
      <c r="F131" s="127"/>
      <c r="G131" s="142">
        <f>IF($E110&gt;0, $E110, $E109)</f>
        <v>2000</v>
      </c>
      <c r="H131" s="122">
        <f>G131*F131</f>
        <v>0</v>
      </c>
      <c r="I131" s="128">
        <v>0</v>
      </c>
      <c r="J131" s="142">
        <f>IF($E110&gt;0, $E110, $E109)</f>
        <v>2000</v>
      </c>
      <c r="K131" s="122">
        <f>J131*I131</f>
        <v>0</v>
      </c>
      <c r="L131" s="125">
        <f t="shared" si="20"/>
        <v>0</v>
      </c>
      <c r="M131" s="126" t="str">
        <f>IF(ISERROR(L131/H131), "", L131/H131)</f>
        <v/>
      </c>
    </row>
    <row r="132" spans="1:13" ht="25.5" x14ac:dyDescent="0.25">
      <c r="A132" s="100" t="str">
        <f t="shared" si="23"/>
        <v>GENERAL SERVICE LESS THAN 50 KW SERVICE CLASSIFICATION</v>
      </c>
      <c r="B132" s="105" t="s">
        <v>167</v>
      </c>
      <c r="C132" s="117">
        <f>B4</f>
        <v>2</v>
      </c>
      <c r="D132" s="147" t="s">
        <v>168</v>
      </c>
      <c r="E132" s="148"/>
      <c r="F132" s="149"/>
      <c r="G132" s="150"/>
      <c r="H132" s="151">
        <f>SUM(H123:H131)</f>
        <v>60.322880000000005</v>
      </c>
      <c r="I132" s="152"/>
      <c r="J132" s="153"/>
      <c r="K132" s="151">
        <f>SUM(K123:K131)</f>
        <v>53.262879999999996</v>
      </c>
      <c r="L132" s="138">
        <f t="shared" si="20"/>
        <v>-7.0600000000000094</v>
      </c>
      <c r="M132" s="139">
        <f>IF((H132)=0,"",(L132/H132))</f>
        <v>-0.11703685235187725</v>
      </c>
    </row>
    <row r="133" spans="1:13" x14ac:dyDescent="0.25">
      <c r="A133" s="100" t="str">
        <f t="shared" si="23"/>
        <v>GENERAL SERVICE LESS THAN 50 KW SERVICE CLASSIFICATION</v>
      </c>
      <c r="C133" s="117"/>
      <c r="D133" s="154" t="s">
        <v>169</v>
      </c>
      <c r="E133" s="119"/>
      <c r="F133" s="127">
        <v>6.0000000000000001E-3</v>
      </c>
      <c r="G133" s="141">
        <f>IF($E110&gt;0, $E110, $E109*$E111)</f>
        <v>2112</v>
      </c>
      <c r="H133" s="122">
        <f>G133*F133</f>
        <v>12.672000000000001</v>
      </c>
      <c r="I133" s="128">
        <v>5.7000000000000002E-3</v>
      </c>
      <c r="J133" s="141">
        <f>IF($E110&gt;0, $E110, $E109*$E112)</f>
        <v>2112</v>
      </c>
      <c r="K133" s="122">
        <f>J133*I133</f>
        <v>12.038400000000001</v>
      </c>
      <c r="L133" s="125">
        <f t="shared" si="20"/>
        <v>-0.6335999999999995</v>
      </c>
      <c r="M133" s="126">
        <f>IF(ISERROR(L133/H133), "", L133/H133)</f>
        <v>-4.9999999999999961E-2</v>
      </c>
    </row>
    <row r="134" spans="1:13" ht="25.5" x14ac:dyDescent="0.25">
      <c r="A134" s="100" t="str">
        <f t="shared" si="23"/>
        <v>GENERAL SERVICE LESS THAN 50 KW SERVICE CLASSIFICATION</v>
      </c>
      <c r="C134" s="117"/>
      <c r="D134" s="155" t="s">
        <v>170</v>
      </c>
      <c r="E134" s="119"/>
      <c r="F134" s="127">
        <v>5.3E-3</v>
      </c>
      <c r="G134" s="141">
        <f>IF($E110&gt;0, $E110, $E109*$E111)</f>
        <v>2112</v>
      </c>
      <c r="H134" s="122">
        <f>G134*F134</f>
        <v>11.1936</v>
      </c>
      <c r="I134" s="128">
        <v>5.0000000000000001E-3</v>
      </c>
      <c r="J134" s="141">
        <f>IF($E110&gt;0, $E110, $E109*$E112)</f>
        <v>2112</v>
      </c>
      <c r="K134" s="122">
        <f>J134*I134</f>
        <v>10.56</v>
      </c>
      <c r="L134" s="125">
        <f t="shared" si="20"/>
        <v>-0.6335999999999995</v>
      </c>
      <c r="M134" s="126">
        <f>IF(ISERROR(L134/H134), "", L134/H134)</f>
        <v>-5.6603773584905613E-2</v>
      </c>
    </row>
    <row r="135" spans="1:13" ht="25.5" x14ac:dyDescent="0.25">
      <c r="A135" s="100" t="str">
        <f t="shared" si="23"/>
        <v>GENERAL SERVICE LESS THAN 50 KW SERVICE CLASSIFICATION</v>
      </c>
      <c r="B135" s="105" t="s">
        <v>171</v>
      </c>
      <c r="C135" s="117">
        <f>B4</f>
        <v>2</v>
      </c>
      <c r="D135" s="147" t="s">
        <v>172</v>
      </c>
      <c r="E135" s="132"/>
      <c r="F135" s="149"/>
      <c r="G135" s="150"/>
      <c r="H135" s="151">
        <f>SUM(H132:H134)</f>
        <v>84.188480000000013</v>
      </c>
      <c r="I135" s="152"/>
      <c r="J135" s="137"/>
      <c r="K135" s="151">
        <f>SUM(K132:K134)</f>
        <v>75.861279999999994</v>
      </c>
      <c r="L135" s="138">
        <f t="shared" si="20"/>
        <v>-8.327200000000019</v>
      </c>
      <c r="M135" s="139">
        <f>IF((H135)=0,"",(L135/H135))</f>
        <v>-9.8911395003212055E-2</v>
      </c>
    </row>
    <row r="136" spans="1:13" ht="25.5" x14ac:dyDescent="0.25">
      <c r="A136" s="100" t="str">
        <f t="shared" si="23"/>
        <v>GENERAL SERVICE LESS THAN 50 KW SERVICE CLASSIFICATION</v>
      </c>
      <c r="C136" s="117"/>
      <c r="D136" s="156" t="s">
        <v>173</v>
      </c>
      <c r="E136" s="119"/>
      <c r="F136" s="127">
        <v>3.6000000000000003E-3</v>
      </c>
      <c r="G136" s="141">
        <f>E109*E111</f>
        <v>2112</v>
      </c>
      <c r="H136" s="157">
        <f t="shared" ref="H136:H142" si="25">G136*F136</f>
        <v>7.6032000000000011</v>
      </c>
      <c r="I136" s="128">
        <v>3.6000000000000003E-3</v>
      </c>
      <c r="J136" s="141">
        <f>E109*E112</f>
        <v>2112</v>
      </c>
      <c r="K136" s="157">
        <f t="shared" ref="K136:K142" si="26">J136*I136</f>
        <v>7.6032000000000011</v>
      </c>
      <c r="L136" s="125">
        <f t="shared" si="20"/>
        <v>0</v>
      </c>
      <c r="M136" s="126">
        <f t="shared" ref="M136:M144" si="27">IF(ISERROR(L136/H136), "", L136/H136)</f>
        <v>0</v>
      </c>
    </row>
    <row r="137" spans="1:13" ht="25.5" x14ac:dyDescent="0.25">
      <c r="A137" s="100" t="str">
        <f t="shared" si="23"/>
        <v>GENERAL SERVICE LESS THAN 50 KW SERVICE CLASSIFICATION</v>
      </c>
      <c r="C137" s="117"/>
      <c r="D137" s="156" t="s">
        <v>174</v>
      </c>
      <c r="E137" s="119"/>
      <c r="F137" s="127">
        <f>'[1]17. Regulatory Charges'!$D$16</f>
        <v>2.9999999999999997E-4</v>
      </c>
      <c r="G137" s="141">
        <f>E109*E111</f>
        <v>2112</v>
      </c>
      <c r="H137" s="157">
        <f t="shared" si="25"/>
        <v>0.63359999999999994</v>
      </c>
      <c r="I137" s="128">
        <v>2.9999999999999997E-4</v>
      </c>
      <c r="J137" s="141">
        <f>E109*E112</f>
        <v>2112</v>
      </c>
      <c r="K137" s="157">
        <f t="shared" si="26"/>
        <v>0.63359999999999994</v>
      </c>
      <c r="L137" s="125">
        <f t="shared" si="20"/>
        <v>0</v>
      </c>
      <c r="M137" s="126">
        <f t="shared" si="27"/>
        <v>0</v>
      </c>
    </row>
    <row r="138" spans="1:13" x14ac:dyDescent="0.25">
      <c r="A138" s="100" t="str">
        <f t="shared" si="23"/>
        <v>GENERAL SERVICE LESS THAN 50 KW SERVICE CLASSIFICATION</v>
      </c>
      <c r="C138" s="117"/>
      <c r="D138" s="158" t="s">
        <v>175</v>
      </c>
      <c r="E138" s="119"/>
      <c r="F138" s="145">
        <v>0.25</v>
      </c>
      <c r="G138" s="121">
        <v>1</v>
      </c>
      <c r="H138" s="157">
        <f t="shared" si="25"/>
        <v>0.25</v>
      </c>
      <c r="I138" s="146">
        <f>'[1]17. Regulatory Charges'!$D$17</f>
        <v>0.25</v>
      </c>
      <c r="J138" s="124">
        <v>1</v>
      </c>
      <c r="K138" s="157">
        <f t="shared" si="26"/>
        <v>0.25</v>
      </c>
      <c r="L138" s="125">
        <f t="shared" si="20"/>
        <v>0</v>
      </c>
      <c r="M138" s="126">
        <f t="shared" si="27"/>
        <v>0</v>
      </c>
    </row>
    <row r="139" spans="1:13" ht="25.5" x14ac:dyDescent="0.25">
      <c r="A139" s="100" t="str">
        <f t="shared" si="23"/>
        <v>GENERAL SERVICE LESS THAN 50 KW SERVICE CLASSIFICATION</v>
      </c>
      <c r="C139" s="117"/>
      <c r="D139" s="156" t="s">
        <v>176</v>
      </c>
      <c r="E139" s="119"/>
      <c r="F139" s="127"/>
      <c r="G139" s="141"/>
      <c r="H139" s="157"/>
      <c r="I139" s="128"/>
      <c r="J139" s="141"/>
      <c r="K139" s="157"/>
      <c r="L139" s="125"/>
      <c r="M139" s="126"/>
    </row>
    <row r="140" spans="1:13" x14ac:dyDescent="0.25">
      <c r="A140" s="100" t="str">
        <f t="shared" si="23"/>
        <v>GENERAL SERVICE LESS THAN 50 KW SERVICE CLASSIFICATION</v>
      </c>
      <c r="B140" s="105" t="s">
        <v>117</v>
      </c>
      <c r="C140" s="117"/>
      <c r="D140" s="159" t="s">
        <v>177</v>
      </c>
      <c r="E140" s="119"/>
      <c r="F140" s="160">
        <f>OffPeak</f>
        <v>6.5000000000000002E-2</v>
      </c>
      <c r="G140" s="161">
        <f>IF(AND(E109*12&gt;=150000),0.65*E109*E111,0.65*E109)</f>
        <v>1300</v>
      </c>
      <c r="H140" s="157">
        <f t="shared" si="25"/>
        <v>84.5</v>
      </c>
      <c r="I140" s="162">
        <f>OffPeak</f>
        <v>6.5000000000000002E-2</v>
      </c>
      <c r="J140" s="161">
        <f>IF(AND(E109*12&gt;=150000),0.65*E109*E112,0.65*E109)</f>
        <v>1300</v>
      </c>
      <c r="K140" s="157">
        <f t="shared" si="26"/>
        <v>84.5</v>
      </c>
      <c r="L140" s="125">
        <f>K140-H140</f>
        <v>0</v>
      </c>
      <c r="M140" s="126">
        <f t="shared" si="27"/>
        <v>0</v>
      </c>
    </row>
    <row r="141" spans="1:13" x14ac:dyDescent="0.25">
      <c r="A141" s="100" t="str">
        <f t="shared" si="23"/>
        <v>GENERAL SERVICE LESS THAN 50 KW SERVICE CLASSIFICATION</v>
      </c>
      <c r="B141" s="105" t="s">
        <v>117</v>
      </c>
      <c r="C141" s="117"/>
      <c r="D141" s="159" t="s">
        <v>178</v>
      </c>
      <c r="E141" s="119"/>
      <c r="F141" s="160">
        <f>MidPeak</f>
        <v>9.4E-2</v>
      </c>
      <c r="G141" s="161">
        <f>IF(AND(E109*12&gt;=150000),0.17*E109*E111,0.17*E109)</f>
        <v>340</v>
      </c>
      <c r="H141" s="157">
        <f t="shared" si="25"/>
        <v>31.96</v>
      </c>
      <c r="I141" s="162">
        <f>MidPeak</f>
        <v>9.4E-2</v>
      </c>
      <c r="J141" s="161">
        <f>IF(AND(E109*12&gt;=150000),0.17*E109*E112,0.17*E109)</f>
        <v>340</v>
      </c>
      <c r="K141" s="157">
        <f t="shared" si="26"/>
        <v>31.96</v>
      </c>
      <c r="L141" s="125">
        <f>K141-H141</f>
        <v>0</v>
      </c>
      <c r="M141" s="126">
        <f t="shared" si="27"/>
        <v>0</v>
      </c>
    </row>
    <row r="142" spans="1:13" ht="15.75" thickBot="1" x14ac:dyDescent="0.3">
      <c r="A142" s="100" t="str">
        <f t="shared" si="23"/>
        <v>GENERAL SERVICE LESS THAN 50 KW SERVICE CLASSIFICATION</v>
      </c>
      <c r="B142" s="105" t="s">
        <v>117</v>
      </c>
      <c r="C142" s="117"/>
      <c r="D142" s="105" t="s">
        <v>179</v>
      </c>
      <c r="E142" s="119"/>
      <c r="F142" s="160">
        <f>OnPeak</f>
        <v>0.13200000000000001</v>
      </c>
      <c r="G142" s="161">
        <f>IF(AND(E109*12&gt;=150000),0.18*E109*E111,0.18*E109)</f>
        <v>360</v>
      </c>
      <c r="H142" s="157">
        <f t="shared" si="25"/>
        <v>47.52</v>
      </c>
      <c r="I142" s="162">
        <f>OnPeak</f>
        <v>0.13200000000000001</v>
      </c>
      <c r="J142" s="161">
        <f>IF(AND(E109*12&gt;=150000),0.18*E109*E112,0.18*E109)</f>
        <v>360</v>
      </c>
      <c r="K142" s="157">
        <f t="shared" si="26"/>
        <v>47.52</v>
      </c>
      <c r="L142" s="125">
        <f>K142-H142</f>
        <v>0</v>
      </c>
      <c r="M142" s="126">
        <f t="shared" si="27"/>
        <v>0</v>
      </c>
    </row>
    <row r="143" spans="1:13" hidden="1" x14ac:dyDescent="0.25">
      <c r="A143" s="100" t="str">
        <f t="shared" si="23"/>
        <v>GENERAL SERVICE LESS THAN 50 KW SERVICE CLASSIFICATION</v>
      </c>
      <c r="B143" s="100" t="s">
        <v>180</v>
      </c>
      <c r="C143" s="117"/>
      <c r="D143" s="159" t="s">
        <v>181</v>
      </c>
      <c r="E143" s="119"/>
      <c r="F143" s="163">
        <v>0.1101</v>
      </c>
      <c r="G143" s="161">
        <f>IF(AND(E109*12&gt;=150000),E109*E111,E109)</f>
        <v>2000</v>
      </c>
      <c r="H143" s="157">
        <f>G143*F143</f>
        <v>220.20000000000002</v>
      </c>
      <c r="I143" s="164">
        <f>F143</f>
        <v>0.1101</v>
      </c>
      <c r="J143" s="161">
        <f>IF(AND(E109*12&gt;=150000),E109*E112,E109)</f>
        <v>2000</v>
      </c>
      <c r="K143" s="157">
        <f>J143*I143</f>
        <v>220.20000000000002</v>
      </c>
      <c r="L143" s="125">
        <f>K143-H143</f>
        <v>0</v>
      </c>
      <c r="M143" s="126">
        <f t="shared" si="27"/>
        <v>0</v>
      </c>
    </row>
    <row r="144" spans="1:13" ht="15.75" hidden="1" thickBot="1" x14ac:dyDescent="0.3">
      <c r="A144" s="100" t="str">
        <f t="shared" si="23"/>
        <v>GENERAL SERVICE LESS THAN 50 KW SERVICE CLASSIFICATION</v>
      </c>
      <c r="B144" s="100" t="s">
        <v>121</v>
      </c>
      <c r="C144" s="117"/>
      <c r="D144" s="159" t="s">
        <v>182</v>
      </c>
      <c r="E144" s="119"/>
      <c r="F144" s="163">
        <v>0.1101</v>
      </c>
      <c r="G144" s="161">
        <f>IF(AND(E109*12&gt;=150000),E109*E111,E109)</f>
        <v>2000</v>
      </c>
      <c r="H144" s="157">
        <f>G144*F144</f>
        <v>220.20000000000002</v>
      </c>
      <c r="I144" s="164">
        <f>F144</f>
        <v>0.1101</v>
      </c>
      <c r="J144" s="161">
        <f>IF(AND(E109*12&gt;=150000),E109*E112,E109)</f>
        <v>2000</v>
      </c>
      <c r="K144" s="157">
        <f>J144*I144</f>
        <v>220.20000000000002</v>
      </c>
      <c r="L144" s="125">
        <f>K144-H144</f>
        <v>0</v>
      </c>
      <c r="M144" s="126">
        <f t="shared" si="27"/>
        <v>0</v>
      </c>
    </row>
    <row r="145" spans="1:13" ht="15.75" thickBot="1" x14ac:dyDescent="0.3">
      <c r="A145" s="100" t="str">
        <f t="shared" si="23"/>
        <v>GENERAL SERVICE LESS THAN 50 KW SERVICE CLASSIFICATION</v>
      </c>
      <c r="B145" s="105"/>
      <c r="C145" s="117"/>
      <c r="D145" s="165"/>
      <c r="E145" s="166"/>
      <c r="F145" s="167"/>
      <c r="G145" s="168"/>
      <c r="H145" s="169"/>
      <c r="I145" s="167"/>
      <c r="J145" s="170"/>
      <c r="K145" s="169"/>
      <c r="L145" s="171"/>
      <c r="M145" s="172"/>
    </row>
    <row r="146" spans="1:13" x14ac:dyDescent="0.25">
      <c r="A146" s="100" t="str">
        <f t="shared" si="23"/>
        <v>GENERAL SERVICE LESS THAN 50 KW SERVICE CLASSIFICATION</v>
      </c>
      <c r="B146" s="105" t="s">
        <v>117</v>
      </c>
      <c r="C146" s="117"/>
      <c r="D146" s="173" t="s">
        <v>183</v>
      </c>
      <c r="E146" s="158"/>
      <c r="F146" s="174"/>
      <c r="G146" s="175"/>
      <c r="H146" s="176">
        <f>SUM(H136:H142,H135)</f>
        <v>256.65528</v>
      </c>
      <c r="I146" s="177"/>
      <c r="J146" s="177"/>
      <c r="K146" s="176">
        <f>SUM(K136:K142,K135)</f>
        <v>248.32808</v>
      </c>
      <c r="L146" s="178">
        <f>K146-H146</f>
        <v>-8.3272000000000048</v>
      </c>
      <c r="M146" s="179">
        <f>IF((H146)=0,"",(L146/H146))</f>
        <v>-3.2445075745178534E-2</v>
      </c>
    </row>
    <row r="147" spans="1:13" x14ac:dyDescent="0.25">
      <c r="A147" s="100" t="str">
        <f t="shared" si="23"/>
        <v>GENERAL SERVICE LESS THAN 50 KW SERVICE CLASSIFICATION</v>
      </c>
      <c r="B147" s="105" t="s">
        <v>117</v>
      </c>
      <c r="C147" s="117"/>
      <c r="D147" s="180" t="s">
        <v>184</v>
      </c>
      <c r="E147" s="158"/>
      <c r="F147" s="174">
        <v>0.13</v>
      </c>
      <c r="G147" s="181"/>
      <c r="H147" s="182">
        <f>H146*F147</f>
        <v>33.365186399999999</v>
      </c>
      <c r="I147" s="183">
        <v>0.13</v>
      </c>
      <c r="J147" s="121"/>
      <c r="K147" s="182">
        <f>K146*I147</f>
        <v>32.282650400000001</v>
      </c>
      <c r="L147" s="184">
        <f>K147-H147</f>
        <v>-1.0825359999999975</v>
      </c>
      <c r="M147" s="185">
        <f>IF((H147)=0,"",(L147/H147))</f>
        <v>-3.2445075745178437E-2</v>
      </c>
    </row>
    <row r="148" spans="1:13" x14ac:dyDescent="0.25">
      <c r="A148" s="100" t="str">
        <f t="shared" si="23"/>
        <v>GENERAL SERVICE LESS THAN 50 KW SERVICE CLASSIFICATION</v>
      </c>
      <c r="B148" s="105" t="s">
        <v>117</v>
      </c>
      <c r="C148" s="117"/>
      <c r="D148" s="180" t="s">
        <v>185</v>
      </c>
      <c r="E148" s="158"/>
      <c r="F148" s="174">
        <v>0.08</v>
      </c>
      <c r="G148" s="181"/>
      <c r="H148" s="182">
        <f>H146*-F148</f>
        <v>-20.532422400000002</v>
      </c>
      <c r="I148" s="174">
        <v>0.08</v>
      </c>
      <c r="J148" s="121"/>
      <c r="K148" s="182">
        <f>K146*-I148</f>
        <v>-19.866246400000001</v>
      </c>
      <c r="L148" s="184">
        <f>K148-H148</f>
        <v>0.6661760000000001</v>
      </c>
      <c r="M148" s="185"/>
    </row>
    <row r="149" spans="1:13" ht="15.75" thickBot="1" x14ac:dyDescent="0.3">
      <c r="A149" s="100" t="str">
        <f t="shared" si="23"/>
        <v>GENERAL SERVICE LESS THAN 50 KW SERVICE CLASSIFICATION</v>
      </c>
      <c r="B149" s="105" t="s">
        <v>186</v>
      </c>
      <c r="C149" s="117">
        <f>B4</f>
        <v>2</v>
      </c>
      <c r="D149" s="301" t="s">
        <v>187</v>
      </c>
      <c r="E149" s="301"/>
      <c r="F149" s="186"/>
      <c r="G149" s="187"/>
      <c r="H149" s="188">
        <f>H146+H147+H148</f>
        <v>269.48804400000006</v>
      </c>
      <c r="I149" s="189"/>
      <c r="J149" s="189"/>
      <c r="K149" s="190">
        <f>K146+K147+K148</f>
        <v>260.744484</v>
      </c>
      <c r="L149" s="191">
        <f>K149-H149</f>
        <v>-8.7435600000000591</v>
      </c>
      <c r="M149" s="192">
        <f>IF((H149)=0,"",(L149/H149))</f>
        <v>-3.2445075745178728E-2</v>
      </c>
    </row>
    <row r="150" spans="1:13" ht="15.75" thickBot="1" x14ac:dyDescent="0.3">
      <c r="A150" s="100" t="str">
        <f t="shared" si="23"/>
        <v>GENERAL SERVICE LESS THAN 50 KW SERVICE CLASSIFICATION</v>
      </c>
      <c r="B150" s="100" t="s">
        <v>117</v>
      </c>
      <c r="C150" s="117"/>
      <c r="D150" s="165"/>
      <c r="E150" s="166"/>
      <c r="F150" s="167"/>
      <c r="G150" s="168"/>
      <c r="H150" s="169"/>
      <c r="I150" s="167"/>
      <c r="J150" s="170"/>
      <c r="K150" s="169"/>
      <c r="L150" s="171"/>
      <c r="M150" s="172"/>
    </row>
    <row r="151" spans="1:13" hidden="1" x14ac:dyDescent="0.25">
      <c r="A151" s="100" t="str">
        <f t="shared" si="23"/>
        <v>GENERAL SERVICE LESS THAN 50 KW SERVICE CLASSIFICATION</v>
      </c>
      <c r="B151" s="100" t="s">
        <v>180</v>
      </c>
      <c r="C151" s="117"/>
      <c r="D151" s="173" t="s">
        <v>188</v>
      </c>
      <c r="E151" s="158"/>
      <c r="F151" s="174"/>
      <c r="G151" s="175"/>
      <c r="H151" s="176">
        <f>SUM(H143,H136:H139,H135)</f>
        <v>312.87528000000003</v>
      </c>
      <c r="I151" s="177"/>
      <c r="J151" s="177"/>
      <c r="K151" s="176">
        <f>SUM(K143,K136:K139,K135)</f>
        <v>304.54808000000003</v>
      </c>
      <c r="L151" s="178">
        <f>K151-H151</f>
        <v>-8.3272000000000048</v>
      </c>
      <c r="M151" s="179">
        <f>IF((H151)=0,"",(L151/H151))</f>
        <v>-2.6615078059219009E-2</v>
      </c>
    </row>
    <row r="152" spans="1:13" hidden="1" x14ac:dyDescent="0.25">
      <c r="A152" s="100" t="str">
        <f t="shared" si="23"/>
        <v>GENERAL SERVICE LESS THAN 50 KW SERVICE CLASSIFICATION</v>
      </c>
      <c r="B152" s="100" t="s">
        <v>180</v>
      </c>
      <c r="C152" s="117"/>
      <c r="D152" s="180" t="s">
        <v>184</v>
      </c>
      <c r="E152" s="158"/>
      <c r="F152" s="174">
        <v>0.13</v>
      </c>
      <c r="G152" s="175"/>
      <c r="H152" s="182">
        <f>H151*F152</f>
        <v>40.673786400000004</v>
      </c>
      <c r="I152" s="174">
        <v>0.13</v>
      </c>
      <c r="J152" s="183"/>
      <c r="K152" s="182">
        <f>K151*I152</f>
        <v>39.591250400000007</v>
      </c>
      <c r="L152" s="184">
        <f>K152-H152</f>
        <v>-1.0825359999999975</v>
      </c>
      <c r="M152" s="185">
        <f>IF((H152)=0,"",(L152/H152))</f>
        <v>-2.6615078059218932E-2</v>
      </c>
    </row>
    <row r="153" spans="1:13" hidden="1" x14ac:dyDescent="0.25">
      <c r="A153" s="100" t="str">
        <f t="shared" si="23"/>
        <v>GENERAL SERVICE LESS THAN 50 KW SERVICE CLASSIFICATION</v>
      </c>
      <c r="B153" s="100" t="s">
        <v>180</v>
      </c>
      <c r="C153" s="117"/>
      <c r="D153" s="180" t="s">
        <v>185</v>
      </c>
      <c r="E153" s="158"/>
      <c r="F153" s="174">
        <v>0.08</v>
      </c>
      <c r="G153" s="175"/>
      <c r="H153" s="182"/>
      <c r="I153" s="174">
        <v>0.08</v>
      </c>
      <c r="J153" s="183"/>
      <c r="K153" s="182"/>
      <c r="L153" s="184"/>
      <c r="M153" s="185"/>
    </row>
    <row r="154" spans="1:13" ht="15.75" hidden="1" thickBot="1" x14ac:dyDescent="0.3">
      <c r="A154" s="100" t="str">
        <f t="shared" si="23"/>
        <v>GENERAL SERVICE LESS THAN 50 KW SERVICE CLASSIFICATION</v>
      </c>
      <c r="B154" s="100" t="s">
        <v>189</v>
      </c>
      <c r="C154" s="117"/>
      <c r="D154" s="301" t="s">
        <v>188</v>
      </c>
      <c r="E154" s="301"/>
      <c r="F154" s="193"/>
      <c r="G154" s="194"/>
      <c r="H154" s="188">
        <f>SUM(H151,H152)</f>
        <v>353.54906640000002</v>
      </c>
      <c r="I154" s="195"/>
      <c r="J154" s="195"/>
      <c r="K154" s="188">
        <f>SUM(K151,K152)</f>
        <v>344.13933040000006</v>
      </c>
      <c r="L154" s="196">
        <f>K154-H154</f>
        <v>-9.4097359999999526</v>
      </c>
      <c r="M154" s="197">
        <f>IF((H154)=0,"",(L154/H154))</f>
        <v>-2.6615078059218859E-2</v>
      </c>
    </row>
    <row r="155" spans="1:13" ht="15.75" hidden="1" thickBot="1" x14ac:dyDescent="0.3">
      <c r="A155" s="100" t="str">
        <f t="shared" si="23"/>
        <v>GENERAL SERVICE LESS THAN 50 KW SERVICE CLASSIFICATION</v>
      </c>
      <c r="B155" s="100" t="s">
        <v>180</v>
      </c>
      <c r="C155" s="117"/>
      <c r="D155" s="165"/>
      <c r="E155" s="166"/>
      <c r="F155" s="198"/>
      <c r="G155" s="199"/>
      <c r="H155" s="200"/>
      <c r="I155" s="198"/>
      <c r="J155" s="168"/>
      <c r="K155" s="200"/>
      <c r="L155" s="201"/>
      <c r="M155" s="172"/>
    </row>
    <row r="156" spans="1:13" hidden="1" x14ac:dyDescent="0.25">
      <c r="A156" s="100" t="str">
        <f t="shared" si="23"/>
        <v>GENERAL SERVICE LESS THAN 50 KW SERVICE CLASSIFICATION</v>
      </c>
      <c r="B156" s="100" t="s">
        <v>121</v>
      </c>
      <c r="C156" s="117"/>
      <c r="D156" s="173" t="s">
        <v>190</v>
      </c>
      <c r="E156" s="158"/>
      <c r="F156" s="174"/>
      <c r="G156" s="175"/>
      <c r="H156" s="176">
        <f>SUM(H144,H136:H139,H135)</f>
        <v>312.87528000000003</v>
      </c>
      <c r="I156" s="177"/>
      <c r="J156" s="177"/>
      <c r="K156" s="176">
        <f>SUM(K144,K136:K139,K135)</f>
        <v>304.54808000000003</v>
      </c>
      <c r="L156" s="178">
        <f>K156-H156</f>
        <v>-8.3272000000000048</v>
      </c>
      <c r="M156" s="179">
        <f>IF((H156)=0,"",(L156/H156))</f>
        <v>-2.6615078059219009E-2</v>
      </c>
    </row>
    <row r="157" spans="1:13" hidden="1" x14ac:dyDescent="0.25">
      <c r="A157" s="100" t="str">
        <f t="shared" si="23"/>
        <v>GENERAL SERVICE LESS THAN 50 KW SERVICE CLASSIFICATION</v>
      </c>
      <c r="B157" s="100" t="s">
        <v>121</v>
      </c>
      <c r="C157" s="117"/>
      <c r="D157" s="180" t="s">
        <v>184</v>
      </c>
      <c r="E157" s="158"/>
      <c r="F157" s="174">
        <v>0.13</v>
      </c>
      <c r="G157" s="175"/>
      <c r="H157" s="182">
        <f>H156*F157</f>
        <v>40.673786400000004</v>
      </c>
      <c r="I157" s="174">
        <v>0.13</v>
      </c>
      <c r="J157" s="183"/>
      <c r="K157" s="182">
        <f>K156*I157</f>
        <v>39.591250400000007</v>
      </c>
      <c r="L157" s="184">
        <f>K157-H157</f>
        <v>-1.0825359999999975</v>
      </c>
      <c r="M157" s="185">
        <f>IF((H157)=0,"",(L157/H157))</f>
        <v>-2.6615078059218932E-2</v>
      </c>
    </row>
    <row r="158" spans="1:13" hidden="1" x14ac:dyDescent="0.25">
      <c r="A158" s="100" t="str">
        <f t="shared" si="23"/>
        <v>GENERAL SERVICE LESS THAN 50 KW SERVICE CLASSIFICATION</v>
      </c>
      <c r="B158" s="100" t="s">
        <v>121</v>
      </c>
      <c r="C158" s="117"/>
      <c r="D158" s="180" t="s">
        <v>185</v>
      </c>
      <c r="E158" s="158"/>
      <c r="F158" s="174">
        <v>0.08</v>
      </c>
      <c r="G158" s="175"/>
      <c r="H158" s="182"/>
      <c r="I158" s="174">
        <v>0.08</v>
      </c>
      <c r="J158" s="183"/>
      <c r="K158" s="182"/>
      <c r="L158" s="184"/>
      <c r="M158" s="185"/>
    </row>
    <row r="159" spans="1:13" ht="15.75" hidden="1" thickBot="1" x14ac:dyDescent="0.3">
      <c r="A159" s="100" t="str">
        <f t="shared" si="23"/>
        <v>GENERAL SERVICE LESS THAN 50 KW SERVICE CLASSIFICATION</v>
      </c>
      <c r="B159" s="100" t="s">
        <v>191</v>
      </c>
      <c r="C159" s="117"/>
      <c r="D159" s="301" t="s">
        <v>190</v>
      </c>
      <c r="E159" s="301"/>
      <c r="F159" s="193"/>
      <c r="G159" s="194"/>
      <c r="H159" s="188">
        <f>SUM(H156,H157)</f>
        <v>353.54906640000002</v>
      </c>
      <c r="I159" s="195"/>
      <c r="J159" s="195"/>
      <c r="K159" s="188">
        <f>SUM(K156,K157)</f>
        <v>344.13933040000006</v>
      </c>
      <c r="L159" s="196">
        <f>K159-H159</f>
        <v>-9.4097359999999526</v>
      </c>
      <c r="M159" s="197">
        <f>IF((H159)=0,"",(L159/H159))</f>
        <v>-2.6615078059218859E-2</v>
      </c>
    </row>
    <row r="160" spans="1:13" ht="15.75" hidden="1" thickBot="1" x14ac:dyDescent="0.3">
      <c r="A160" s="100" t="str">
        <f t="shared" si="23"/>
        <v>GENERAL SERVICE LESS THAN 50 KW SERVICE CLASSIFICATION</v>
      </c>
      <c r="B160" s="100" t="s">
        <v>121</v>
      </c>
      <c r="C160" s="117"/>
      <c r="D160" s="165"/>
      <c r="E160" s="166"/>
      <c r="F160" s="202"/>
      <c r="G160" s="203"/>
      <c r="H160" s="204"/>
      <c r="I160" s="202"/>
      <c r="J160" s="205"/>
      <c r="K160" s="204"/>
      <c r="L160" s="206"/>
      <c r="M160" s="207"/>
    </row>
    <row r="163" spans="1:13" x14ac:dyDescent="0.25">
      <c r="C163" s="100"/>
      <c r="D163" s="101" t="s">
        <v>134</v>
      </c>
      <c r="E163" s="302" t="str">
        <f>D5</f>
        <v>GENERAL SERVICE 50 TO 999 KW SERVICE CLASSIFICATION</v>
      </c>
      <c r="F163" s="302"/>
      <c r="G163" s="302"/>
      <c r="H163" s="302"/>
      <c r="I163" s="302"/>
      <c r="J163" s="302"/>
      <c r="K163" s="100" t="str">
        <f>IF(N5="DEMAND - INTERVAL","RTSR - INTERVAL METERED","")</f>
        <v/>
      </c>
    </row>
    <row r="164" spans="1:13" x14ac:dyDescent="0.25">
      <c r="C164" s="100"/>
      <c r="D164" s="101" t="s">
        <v>135</v>
      </c>
      <c r="E164" s="303" t="str">
        <f>H5</f>
        <v>Non-RPP (Other)</v>
      </c>
      <c r="F164" s="303"/>
      <c r="G164" s="303"/>
      <c r="H164" s="102"/>
      <c r="I164" s="102"/>
    </row>
    <row r="165" spans="1:13" ht="15.75" x14ac:dyDescent="0.25">
      <c r="C165" s="100"/>
      <c r="D165" s="101" t="s">
        <v>136</v>
      </c>
      <c r="E165" s="103">
        <f>K5</f>
        <v>328500</v>
      </c>
      <c r="F165" s="104" t="s">
        <v>137</v>
      </c>
      <c r="G165" s="105"/>
      <c r="J165" s="106"/>
      <c r="K165" s="106"/>
      <c r="L165" s="106"/>
      <c r="M165" s="106"/>
    </row>
    <row r="166" spans="1:13" ht="15.75" x14ac:dyDescent="0.25">
      <c r="C166" s="100"/>
      <c r="D166" s="101" t="s">
        <v>138</v>
      </c>
      <c r="E166" s="103">
        <f>L5</f>
        <v>500</v>
      </c>
      <c r="F166" s="107" t="s">
        <v>139</v>
      </c>
      <c r="G166" s="108"/>
      <c r="H166" s="109"/>
      <c r="I166" s="109"/>
      <c r="J166" s="109"/>
    </row>
    <row r="167" spans="1:13" x14ac:dyDescent="0.25">
      <c r="C167" s="100"/>
      <c r="D167" s="101" t="s">
        <v>140</v>
      </c>
      <c r="E167" s="110">
        <f>I5</f>
        <v>1.056</v>
      </c>
    </row>
    <row r="168" spans="1:13" x14ac:dyDescent="0.25">
      <c r="C168" s="100"/>
      <c r="D168" s="101" t="s">
        <v>141</v>
      </c>
      <c r="E168" s="110">
        <f>J5</f>
        <v>1.056</v>
      </c>
    </row>
    <row r="169" spans="1:13" x14ac:dyDescent="0.25">
      <c r="C169" s="100"/>
      <c r="D169" s="105"/>
    </row>
    <row r="170" spans="1:13" x14ac:dyDescent="0.25">
      <c r="C170" s="100"/>
      <c r="D170" s="105"/>
      <c r="E170" s="111"/>
      <c r="F170" s="304" t="s">
        <v>142</v>
      </c>
      <c r="G170" s="305"/>
      <c r="H170" s="306"/>
      <c r="I170" s="304" t="s">
        <v>143</v>
      </c>
      <c r="J170" s="305"/>
      <c r="K170" s="306"/>
      <c r="L170" s="304" t="s">
        <v>144</v>
      </c>
      <c r="M170" s="306"/>
    </row>
    <row r="171" spans="1:13" x14ac:dyDescent="0.25">
      <c r="C171" s="100"/>
      <c r="D171" s="105"/>
      <c r="E171" s="295"/>
      <c r="F171" s="112" t="s">
        <v>145</v>
      </c>
      <c r="G171" s="112" t="s">
        <v>146</v>
      </c>
      <c r="H171" s="113" t="s">
        <v>147</v>
      </c>
      <c r="I171" s="112" t="s">
        <v>145</v>
      </c>
      <c r="J171" s="114" t="s">
        <v>146</v>
      </c>
      <c r="K171" s="113" t="s">
        <v>147</v>
      </c>
      <c r="L171" s="297" t="s">
        <v>148</v>
      </c>
      <c r="M171" s="299" t="s">
        <v>149</v>
      </c>
    </row>
    <row r="172" spans="1:13" x14ac:dyDescent="0.25">
      <c r="C172" s="100"/>
      <c r="D172" s="105"/>
      <c r="E172" s="296"/>
      <c r="F172" s="115" t="s">
        <v>150</v>
      </c>
      <c r="G172" s="115"/>
      <c r="H172" s="116" t="s">
        <v>150</v>
      </c>
      <c r="I172" s="115" t="s">
        <v>150</v>
      </c>
      <c r="J172" s="116"/>
      <c r="K172" s="116" t="s">
        <v>150</v>
      </c>
      <c r="L172" s="298"/>
      <c r="M172" s="300"/>
    </row>
    <row r="173" spans="1:13" x14ac:dyDescent="0.25">
      <c r="A173" s="100" t="str">
        <f>$E163</f>
        <v>GENERAL SERVICE 50 TO 999 KW SERVICE CLASSIFICATION</v>
      </c>
      <c r="C173" s="117"/>
      <c r="D173" s="118" t="s">
        <v>151</v>
      </c>
      <c r="E173" s="119"/>
      <c r="F173" s="120">
        <v>86.83</v>
      </c>
      <c r="G173" s="121">
        <v>1</v>
      </c>
      <c r="H173" s="122">
        <f>G173*F173</f>
        <v>86.83</v>
      </c>
      <c r="I173" s="123">
        <v>87.87</v>
      </c>
      <c r="J173" s="124">
        <f>G173</f>
        <v>1</v>
      </c>
      <c r="K173" s="122">
        <f>J173*I173</f>
        <v>87.87</v>
      </c>
      <c r="L173" s="125">
        <f t="shared" ref="L173:L194" si="28">K173-H173</f>
        <v>1.0400000000000063</v>
      </c>
      <c r="M173" s="126">
        <f>IF(ISERROR(L173/H173), "", L173/H173)</f>
        <v>1.1977427156512798E-2</v>
      </c>
    </row>
    <row r="174" spans="1:13" x14ac:dyDescent="0.25">
      <c r="A174" s="100" t="str">
        <f>A173</f>
        <v>GENERAL SERVICE 50 TO 999 KW SERVICE CLASSIFICATION</v>
      </c>
      <c r="C174" s="117"/>
      <c r="D174" s="118" t="s">
        <v>152</v>
      </c>
      <c r="E174" s="119"/>
      <c r="F174" s="127">
        <v>3.8580000000000001</v>
      </c>
      <c r="G174" s="121">
        <f>IF($E166&gt;0, $E166, $E165)</f>
        <v>500</v>
      </c>
      <c r="H174" s="122">
        <f t="shared" ref="H174:H186" si="29">G174*F174</f>
        <v>1929</v>
      </c>
      <c r="I174" s="128">
        <v>3.9043000000000001</v>
      </c>
      <c r="J174" s="124">
        <f>IF($E166&gt;0, $E166, $E165)</f>
        <v>500</v>
      </c>
      <c r="K174" s="122">
        <f>J174*I174</f>
        <v>1952.15</v>
      </c>
      <c r="L174" s="125">
        <f t="shared" si="28"/>
        <v>23.150000000000091</v>
      </c>
      <c r="M174" s="126">
        <f t="shared" ref="M174:M184" si="30">IF(ISERROR(L174/H174), "", L174/H174)</f>
        <v>1.200103680663561E-2</v>
      </c>
    </row>
    <row r="175" spans="1:13" x14ac:dyDescent="0.25">
      <c r="A175" s="100" t="str">
        <f t="shared" ref="A175:A216" si="31">A174</f>
        <v>GENERAL SERVICE 50 TO 999 KW SERVICE CLASSIFICATION</v>
      </c>
      <c r="C175" s="117"/>
      <c r="D175" s="118" t="s">
        <v>153</v>
      </c>
      <c r="E175" s="119"/>
      <c r="F175" s="127"/>
      <c r="G175" s="121">
        <f>IF($E166&gt;0, $E166, $E165)</f>
        <v>500</v>
      </c>
      <c r="H175" s="122">
        <v>0</v>
      </c>
      <c r="I175" s="128"/>
      <c r="J175" s="124">
        <f>IF($E166&gt;0, $E166, $E165)</f>
        <v>500</v>
      </c>
      <c r="K175" s="122">
        <v>0</v>
      </c>
      <c r="L175" s="125"/>
      <c r="M175" s="126"/>
    </row>
    <row r="176" spans="1:13" x14ac:dyDescent="0.25">
      <c r="A176" s="100" t="str">
        <f t="shared" si="31"/>
        <v>GENERAL SERVICE 50 TO 999 KW SERVICE CLASSIFICATION</v>
      </c>
      <c r="C176" s="117"/>
      <c r="D176" s="118" t="s">
        <v>154</v>
      </c>
      <c r="E176" s="119"/>
      <c r="F176" s="127"/>
      <c r="G176" s="121">
        <f>IF($E166&gt;0, $E166, $E165)</f>
        <v>500</v>
      </c>
      <c r="H176" s="122">
        <v>0</v>
      </c>
      <c r="I176" s="128"/>
      <c r="J176" s="121">
        <f>IF($E166&gt;0, $E166, $E165)</f>
        <v>500</v>
      </c>
      <c r="K176" s="122">
        <v>0</v>
      </c>
      <c r="L176" s="125">
        <f>K176-H176</f>
        <v>0</v>
      </c>
      <c r="M176" s="126" t="str">
        <f>IF(ISERROR(L176/H176), "", L176/H176)</f>
        <v/>
      </c>
    </row>
    <row r="177" spans="1:13" x14ac:dyDescent="0.25">
      <c r="A177" s="100" t="str">
        <f t="shared" si="31"/>
        <v>GENERAL SERVICE 50 TO 999 KW SERVICE CLASSIFICATION</v>
      </c>
      <c r="C177" s="117"/>
      <c r="D177" s="129" t="s">
        <v>155</v>
      </c>
      <c r="E177" s="119"/>
      <c r="F177" s="120">
        <v>0</v>
      </c>
      <c r="G177" s="121">
        <v>1</v>
      </c>
      <c r="H177" s="122">
        <f t="shared" si="29"/>
        <v>0</v>
      </c>
      <c r="I177" s="123">
        <v>0</v>
      </c>
      <c r="J177" s="124">
        <f>G177</f>
        <v>1</v>
      </c>
      <c r="K177" s="122">
        <f t="shared" ref="K177:K184" si="32">J177*I177</f>
        <v>0</v>
      </c>
      <c r="L177" s="125">
        <f t="shared" si="28"/>
        <v>0</v>
      </c>
      <c r="M177" s="126" t="str">
        <f t="shared" si="30"/>
        <v/>
      </c>
    </row>
    <row r="178" spans="1:13" x14ac:dyDescent="0.25">
      <c r="A178" s="100" t="str">
        <f t="shared" si="31"/>
        <v>GENERAL SERVICE 50 TO 999 KW SERVICE CLASSIFICATION</v>
      </c>
      <c r="C178" s="117"/>
      <c r="D178" s="118" t="s">
        <v>156</v>
      </c>
      <c r="E178" s="119"/>
      <c r="F178" s="127">
        <v>0</v>
      </c>
      <c r="G178" s="121">
        <f>IF($E166&gt;0, $E166, $E165)</f>
        <v>500</v>
      </c>
      <c r="H178" s="122">
        <f t="shared" si="29"/>
        <v>0</v>
      </c>
      <c r="I178" s="128">
        <v>0</v>
      </c>
      <c r="J178" s="124">
        <f>IF($E166&gt;0, $E166, $E165)</f>
        <v>500</v>
      </c>
      <c r="K178" s="122">
        <f t="shared" si="32"/>
        <v>0</v>
      </c>
      <c r="L178" s="125">
        <f t="shared" si="28"/>
        <v>0</v>
      </c>
      <c r="M178" s="126" t="str">
        <f t="shared" si="30"/>
        <v/>
      </c>
    </row>
    <row r="179" spans="1:13" x14ac:dyDescent="0.25">
      <c r="A179" s="100" t="str">
        <f t="shared" si="31"/>
        <v>GENERAL SERVICE 50 TO 999 KW SERVICE CLASSIFICATION</v>
      </c>
      <c r="B179" s="130" t="s">
        <v>157</v>
      </c>
      <c r="C179" s="117">
        <f>B5</f>
        <v>3</v>
      </c>
      <c r="D179" s="131" t="s">
        <v>158</v>
      </c>
      <c r="E179" s="132"/>
      <c r="F179" s="133"/>
      <c r="G179" s="134"/>
      <c r="H179" s="135">
        <f>SUM(H173:H178)</f>
        <v>2015.83</v>
      </c>
      <c r="I179" s="136"/>
      <c r="J179" s="137"/>
      <c r="K179" s="135">
        <f>SUM(K173:K178)</f>
        <v>2040.02</v>
      </c>
      <c r="L179" s="138">
        <f t="shared" si="28"/>
        <v>24.190000000000055</v>
      </c>
      <c r="M179" s="139">
        <f>IF((H179)=0,"",(L179/H179))</f>
        <v>1.2000019842943133E-2</v>
      </c>
    </row>
    <row r="180" spans="1:13" x14ac:dyDescent="0.25">
      <c r="A180" s="100" t="str">
        <f t="shared" si="31"/>
        <v>GENERAL SERVICE 50 TO 999 KW SERVICE CLASSIFICATION</v>
      </c>
      <c r="C180" s="117"/>
      <c r="D180" s="140" t="s">
        <v>159</v>
      </c>
      <c r="E180" s="119"/>
      <c r="F180" s="127">
        <f>IF((E165*12&gt;=150000), 0, IF(E164="RPP",(F196*0.65+F197*0.17+F198*0.18),IF(E164="Non-RPP (Retailer)",F199,F200)))</f>
        <v>0</v>
      </c>
      <c r="G180" s="141">
        <f>IF(F180=0, 0, $E165*E167-E165)</f>
        <v>0</v>
      </c>
      <c r="H180" s="122">
        <f>G180*F180</f>
        <v>0</v>
      </c>
      <c r="I180" s="128">
        <f>IF((E165*12&gt;=150000), 0, IF(E164="RPP",(I196*0.65+I197*0.17+I198*0.18),IF(E164="Non-RPP (Retailer)",I199,I200)))</f>
        <v>0</v>
      </c>
      <c r="J180" s="141">
        <f>IF(I180=0, 0, E165*E168-E165)</f>
        <v>0</v>
      </c>
      <c r="K180" s="122">
        <f>J180*I180</f>
        <v>0</v>
      </c>
      <c r="L180" s="125">
        <f>K180-H180</f>
        <v>0</v>
      </c>
      <c r="M180" s="126" t="str">
        <f>IF(ISERROR(L180/H180), "", L180/H180)</f>
        <v/>
      </c>
    </row>
    <row r="181" spans="1:13" ht="25.5" x14ac:dyDescent="0.25">
      <c r="A181" s="100" t="str">
        <f t="shared" si="31"/>
        <v>GENERAL SERVICE 50 TO 999 KW SERVICE CLASSIFICATION</v>
      </c>
      <c r="C181" s="117"/>
      <c r="D181" s="140" t="s">
        <v>160</v>
      </c>
      <c r="E181" s="119"/>
      <c r="F181" s="127">
        <v>-0.70650000000000002</v>
      </c>
      <c r="G181" s="142">
        <f>IF($E166&gt;0, $E166, $E165)</f>
        <v>500</v>
      </c>
      <c r="H181" s="122">
        <f t="shared" si="29"/>
        <v>-353.25</v>
      </c>
      <c r="I181" s="128">
        <v>-1.7801</v>
      </c>
      <c r="J181" s="142">
        <f>IF($E166&gt;0, $E166, $E165)</f>
        <v>500</v>
      </c>
      <c r="K181" s="122">
        <f t="shared" si="32"/>
        <v>-890.05</v>
      </c>
      <c r="L181" s="125">
        <f t="shared" si="28"/>
        <v>-536.79999999999995</v>
      </c>
      <c r="M181" s="126">
        <f t="shared" si="30"/>
        <v>1.5196036801132342</v>
      </c>
    </row>
    <row r="182" spans="1:13" x14ac:dyDescent="0.25">
      <c r="A182" s="100" t="str">
        <f t="shared" si="31"/>
        <v>GENERAL SERVICE 50 TO 999 KW SERVICE CLASSIFICATION</v>
      </c>
      <c r="C182" s="117"/>
      <c r="D182" s="140" t="s">
        <v>161</v>
      </c>
      <c r="E182" s="119"/>
      <c r="F182" s="127">
        <v>-2.76E-2</v>
      </c>
      <c r="G182" s="142">
        <f>IF($E166&gt;0, $E166, $E165)</f>
        <v>500</v>
      </c>
      <c r="H182" s="122">
        <f>G182*F182</f>
        <v>-13.799999999999999</v>
      </c>
      <c r="I182" s="128">
        <v>0</v>
      </c>
      <c r="J182" s="142">
        <f>IF($E166&gt;0, $E166, $E165)</f>
        <v>500</v>
      </c>
      <c r="K182" s="122">
        <f>J182*I182</f>
        <v>0</v>
      </c>
      <c r="L182" s="125">
        <f t="shared" si="28"/>
        <v>13.799999999999999</v>
      </c>
      <c r="M182" s="126">
        <f t="shared" si="30"/>
        <v>-1</v>
      </c>
    </row>
    <row r="183" spans="1:13" x14ac:dyDescent="0.25">
      <c r="A183" s="100" t="str">
        <f t="shared" si="31"/>
        <v>GENERAL SERVICE 50 TO 999 KW SERVICE CLASSIFICATION</v>
      </c>
      <c r="C183" s="117"/>
      <c r="D183" s="140" t="s">
        <v>162</v>
      </c>
      <c r="E183" s="119"/>
      <c r="F183" s="127">
        <v>-1E-3</v>
      </c>
      <c r="G183" s="142">
        <f>E165</f>
        <v>328500</v>
      </c>
      <c r="H183" s="122">
        <f>G183*F183</f>
        <v>-328.5</v>
      </c>
      <c r="I183" s="128">
        <v>1.37E-2</v>
      </c>
      <c r="J183" s="142">
        <f>E165</f>
        <v>328500</v>
      </c>
      <c r="K183" s="122">
        <f t="shared" si="32"/>
        <v>4500.45</v>
      </c>
      <c r="L183" s="125">
        <f t="shared" si="28"/>
        <v>4828.95</v>
      </c>
      <c r="M183" s="126">
        <f t="shared" si="30"/>
        <v>-14.7</v>
      </c>
    </row>
    <row r="184" spans="1:13" x14ac:dyDescent="0.25">
      <c r="A184" s="100" t="str">
        <f t="shared" si="31"/>
        <v>GENERAL SERVICE 50 TO 999 KW SERVICE CLASSIFICATION</v>
      </c>
      <c r="C184" s="117"/>
      <c r="D184" s="143" t="s">
        <v>163</v>
      </c>
      <c r="E184" s="119"/>
      <c r="F184" s="127">
        <v>1.0483</v>
      </c>
      <c r="G184" s="142">
        <f>IF($E166&gt;0, $E166, $E165)</f>
        <v>500</v>
      </c>
      <c r="H184" s="122">
        <f t="shared" si="29"/>
        <v>524.15</v>
      </c>
      <c r="I184" s="128">
        <v>1.0483</v>
      </c>
      <c r="J184" s="142">
        <f>IF($E166&gt;0, $E166, $E165)</f>
        <v>500</v>
      </c>
      <c r="K184" s="122">
        <f t="shared" si="32"/>
        <v>524.15</v>
      </c>
      <c r="L184" s="125">
        <f t="shared" si="28"/>
        <v>0</v>
      </c>
      <c r="M184" s="126">
        <f t="shared" si="30"/>
        <v>0</v>
      </c>
    </row>
    <row r="185" spans="1:13" ht="25.5" x14ac:dyDescent="0.25">
      <c r="A185" s="100" t="str">
        <f t="shared" si="31"/>
        <v>GENERAL SERVICE 50 TO 999 KW SERVICE CLASSIFICATION</v>
      </c>
      <c r="C185" s="117"/>
      <c r="D185" s="144" t="s">
        <v>164</v>
      </c>
      <c r="E185" s="119"/>
      <c r="F185" s="145">
        <f>IF(OR(ISNUMBER(SEARCH("RESIDENTIAL", E163))=TRUE, ISNUMBER(SEARCH("GENERAL SERVICE LESS THAN 50", E163))=TRUE), SME, 0)</f>
        <v>0</v>
      </c>
      <c r="G185" s="121">
        <v>1</v>
      </c>
      <c r="H185" s="122">
        <f>G185*F185</f>
        <v>0</v>
      </c>
      <c r="I185" s="146">
        <f>IF(OR(ISNUMBER(SEARCH("RESIDENTIAL", E163))=TRUE, ISNUMBER(SEARCH("GENERAL SERVICE LESS THAN 50", E163))=TRUE), SME, 0)</f>
        <v>0</v>
      </c>
      <c r="J185" s="121">
        <v>1</v>
      </c>
      <c r="K185" s="122">
        <f>J185*I185</f>
        <v>0</v>
      </c>
      <c r="L185" s="125">
        <f t="shared" si="28"/>
        <v>0</v>
      </c>
      <c r="M185" s="126" t="str">
        <f>IF(ISERROR(L185/H185), "", L185/H185)</f>
        <v/>
      </c>
    </row>
    <row r="186" spans="1:13" x14ac:dyDescent="0.25">
      <c r="A186" s="100" t="str">
        <f t="shared" si="31"/>
        <v>GENERAL SERVICE 50 TO 999 KW SERVICE CLASSIFICATION</v>
      </c>
      <c r="C186" s="117"/>
      <c r="D186" s="143" t="s">
        <v>165</v>
      </c>
      <c r="E186" s="119"/>
      <c r="F186" s="120">
        <v>0</v>
      </c>
      <c r="G186" s="121">
        <v>1</v>
      </c>
      <c r="H186" s="122">
        <f t="shared" si="29"/>
        <v>0</v>
      </c>
      <c r="I186" s="123">
        <v>0</v>
      </c>
      <c r="J186" s="121">
        <v>1</v>
      </c>
      <c r="K186" s="122">
        <f>J186*I186</f>
        <v>0</v>
      </c>
      <c r="L186" s="125">
        <f>K186-H186</f>
        <v>0</v>
      </c>
      <c r="M186" s="126" t="str">
        <f>IF(ISERROR(L186/H186), "", L186/H186)</f>
        <v/>
      </c>
    </row>
    <row r="187" spans="1:13" x14ac:dyDescent="0.25">
      <c r="A187" s="100" t="str">
        <f t="shared" si="31"/>
        <v>GENERAL SERVICE 50 TO 999 KW SERVICE CLASSIFICATION</v>
      </c>
      <c r="C187" s="117"/>
      <c r="D187" s="143" t="s">
        <v>166</v>
      </c>
      <c r="E187" s="119"/>
      <c r="F187" s="127"/>
      <c r="G187" s="142">
        <f>IF($E166&gt;0, $E166, $E165)</f>
        <v>500</v>
      </c>
      <c r="H187" s="122">
        <f>G187*F187</f>
        <v>0</v>
      </c>
      <c r="I187" s="128">
        <v>0</v>
      </c>
      <c r="J187" s="142">
        <f>IF($E166&gt;0, $E166, $E165)</f>
        <v>500</v>
      </c>
      <c r="K187" s="122">
        <f>J187*I187</f>
        <v>0</v>
      </c>
      <c r="L187" s="125">
        <f t="shared" si="28"/>
        <v>0</v>
      </c>
      <c r="M187" s="126" t="str">
        <f>IF(ISERROR(L187/H187), "", L187/H187)</f>
        <v/>
      </c>
    </row>
    <row r="188" spans="1:13" ht="25.5" x14ac:dyDescent="0.25">
      <c r="A188" s="100" t="str">
        <f t="shared" si="31"/>
        <v>GENERAL SERVICE 50 TO 999 KW SERVICE CLASSIFICATION</v>
      </c>
      <c r="B188" s="105" t="s">
        <v>167</v>
      </c>
      <c r="C188" s="117">
        <f>B5</f>
        <v>3</v>
      </c>
      <c r="D188" s="147" t="s">
        <v>168</v>
      </c>
      <c r="E188" s="148"/>
      <c r="F188" s="149"/>
      <c r="G188" s="150"/>
      <c r="H188" s="151">
        <f>SUM(H179:H187)</f>
        <v>1844.4299999999998</v>
      </c>
      <c r="I188" s="152"/>
      <c r="J188" s="153"/>
      <c r="K188" s="151">
        <f>SUM(K179:K187)</f>
        <v>6174.57</v>
      </c>
      <c r="L188" s="138">
        <f t="shared" si="28"/>
        <v>4330.1399999999994</v>
      </c>
      <c r="M188" s="139">
        <f>IF((H188)=0,"",(L188/H188))</f>
        <v>2.347684650542444</v>
      </c>
    </row>
    <row r="189" spans="1:13" x14ac:dyDescent="0.25">
      <c r="A189" s="100" t="str">
        <f t="shared" si="31"/>
        <v>GENERAL SERVICE 50 TO 999 KW SERVICE CLASSIFICATION</v>
      </c>
      <c r="C189" s="117"/>
      <c r="D189" s="154" t="s">
        <v>169</v>
      </c>
      <c r="E189" s="119"/>
      <c r="F189" s="127">
        <v>2.6217000000000001</v>
      </c>
      <c r="G189" s="141">
        <f>IF($E166&gt;0, $E166, $E165*$E167)</f>
        <v>500</v>
      </c>
      <c r="H189" s="122">
        <f>G189*F189</f>
        <v>1310.8500000000001</v>
      </c>
      <c r="I189" s="128">
        <v>2.4868999999999999</v>
      </c>
      <c r="J189" s="141">
        <f>IF($E166&gt;0, $E166, $E165*$E168)</f>
        <v>500</v>
      </c>
      <c r="K189" s="122">
        <f>J189*I189</f>
        <v>1243.45</v>
      </c>
      <c r="L189" s="125">
        <f t="shared" si="28"/>
        <v>-67.400000000000091</v>
      </c>
      <c r="M189" s="126">
        <f>IF(ISERROR(L189/H189), "", L189/H189)</f>
        <v>-5.1417019491169919E-2</v>
      </c>
    </row>
    <row r="190" spans="1:13" ht="25.5" x14ac:dyDescent="0.25">
      <c r="A190" s="100" t="str">
        <f t="shared" si="31"/>
        <v>GENERAL SERVICE 50 TO 999 KW SERVICE CLASSIFICATION</v>
      </c>
      <c r="C190" s="117"/>
      <c r="D190" s="155" t="s">
        <v>170</v>
      </c>
      <c r="E190" s="119"/>
      <c r="F190" s="127">
        <v>2.2145999999999999</v>
      </c>
      <c r="G190" s="141">
        <f>IF($E166&gt;0, $E166, $E165*$E167)</f>
        <v>500</v>
      </c>
      <c r="H190" s="122">
        <f>G190*F190</f>
        <v>1107.3</v>
      </c>
      <c r="I190" s="128">
        <v>2.0933000000000002</v>
      </c>
      <c r="J190" s="141">
        <f>IF($E166&gt;0, $E166, $E165*$E168)</f>
        <v>500</v>
      </c>
      <c r="K190" s="122">
        <f>J190*I190</f>
        <v>1046.6500000000001</v>
      </c>
      <c r="L190" s="125">
        <f t="shared" si="28"/>
        <v>-60.649999999999864</v>
      </c>
      <c r="M190" s="126">
        <f>IF(ISERROR(L190/H190), "", L190/H190)</f>
        <v>-5.4772870947349291E-2</v>
      </c>
    </row>
    <row r="191" spans="1:13" ht="25.5" x14ac:dyDescent="0.25">
      <c r="A191" s="100" t="str">
        <f t="shared" si="31"/>
        <v>GENERAL SERVICE 50 TO 999 KW SERVICE CLASSIFICATION</v>
      </c>
      <c r="B191" s="105" t="s">
        <v>171</v>
      </c>
      <c r="C191" s="117">
        <f>B5</f>
        <v>3</v>
      </c>
      <c r="D191" s="147" t="s">
        <v>172</v>
      </c>
      <c r="E191" s="132"/>
      <c r="F191" s="149"/>
      <c r="G191" s="150"/>
      <c r="H191" s="151">
        <f>SUM(H188:H190)</f>
        <v>4262.58</v>
      </c>
      <c r="I191" s="152"/>
      <c r="J191" s="137"/>
      <c r="K191" s="151">
        <f>SUM(K188:K190)</f>
        <v>8464.67</v>
      </c>
      <c r="L191" s="138">
        <f t="shared" si="28"/>
        <v>4202.09</v>
      </c>
      <c r="M191" s="139">
        <f>IF((H191)=0,"",(L191/H191))</f>
        <v>0.98580906399410695</v>
      </c>
    </row>
    <row r="192" spans="1:13" ht="25.5" x14ac:dyDescent="0.25">
      <c r="A192" s="100" t="str">
        <f t="shared" si="31"/>
        <v>GENERAL SERVICE 50 TO 999 KW SERVICE CLASSIFICATION</v>
      </c>
      <c r="C192" s="117"/>
      <c r="D192" s="156" t="s">
        <v>173</v>
      </c>
      <c r="E192" s="119"/>
      <c r="F192" s="127">
        <v>3.6000000000000003E-3</v>
      </c>
      <c r="G192" s="141">
        <f>E165*E167</f>
        <v>346896</v>
      </c>
      <c r="H192" s="157">
        <f t="shared" ref="H192:H198" si="33">G192*F192</f>
        <v>1248.8256000000001</v>
      </c>
      <c r="I192" s="128">
        <v>3.6000000000000003E-3</v>
      </c>
      <c r="J192" s="141">
        <f>E165*E168</f>
        <v>346896</v>
      </c>
      <c r="K192" s="157">
        <f t="shared" ref="K192:K198" si="34">J192*I192</f>
        <v>1248.8256000000001</v>
      </c>
      <c r="L192" s="125">
        <f t="shared" si="28"/>
        <v>0</v>
      </c>
      <c r="M192" s="126">
        <f t="shared" ref="M192:M200" si="35">IF(ISERROR(L192/H192), "", L192/H192)</f>
        <v>0</v>
      </c>
    </row>
    <row r="193" spans="1:13" ht="25.5" x14ac:dyDescent="0.25">
      <c r="A193" s="100" t="str">
        <f t="shared" si="31"/>
        <v>GENERAL SERVICE 50 TO 999 KW SERVICE CLASSIFICATION</v>
      </c>
      <c r="C193" s="117"/>
      <c r="D193" s="156" t="s">
        <v>174</v>
      </c>
      <c r="E193" s="119"/>
      <c r="F193" s="127">
        <f>'[1]17. Regulatory Charges'!$D$16</f>
        <v>2.9999999999999997E-4</v>
      </c>
      <c r="G193" s="141">
        <f>E165*E167</f>
        <v>346896</v>
      </c>
      <c r="H193" s="157">
        <f t="shared" si="33"/>
        <v>104.0688</v>
      </c>
      <c r="I193" s="128">
        <v>2.9999999999999997E-4</v>
      </c>
      <c r="J193" s="141">
        <f>E165*E168</f>
        <v>346896</v>
      </c>
      <c r="K193" s="157">
        <f t="shared" si="34"/>
        <v>104.0688</v>
      </c>
      <c r="L193" s="125">
        <f t="shared" si="28"/>
        <v>0</v>
      </c>
      <c r="M193" s="126">
        <f t="shared" si="35"/>
        <v>0</v>
      </c>
    </row>
    <row r="194" spans="1:13" x14ac:dyDescent="0.25">
      <c r="A194" s="100" t="str">
        <f t="shared" si="31"/>
        <v>GENERAL SERVICE 50 TO 999 KW SERVICE CLASSIFICATION</v>
      </c>
      <c r="C194" s="117"/>
      <c r="D194" s="158" t="s">
        <v>175</v>
      </c>
      <c r="E194" s="119"/>
      <c r="F194" s="145">
        <v>0.25</v>
      </c>
      <c r="G194" s="121">
        <v>1</v>
      </c>
      <c r="H194" s="157">
        <f t="shared" si="33"/>
        <v>0.25</v>
      </c>
      <c r="I194" s="146">
        <f>'[1]17. Regulatory Charges'!$D$17</f>
        <v>0.25</v>
      </c>
      <c r="J194" s="124">
        <v>1</v>
      </c>
      <c r="K194" s="157">
        <f t="shared" si="34"/>
        <v>0.25</v>
      </c>
      <c r="L194" s="125">
        <f t="shared" si="28"/>
        <v>0</v>
      </c>
      <c r="M194" s="126">
        <f t="shared" si="35"/>
        <v>0</v>
      </c>
    </row>
    <row r="195" spans="1:13" ht="25.5" x14ac:dyDescent="0.25">
      <c r="A195" s="100" t="str">
        <f t="shared" si="31"/>
        <v>GENERAL SERVICE 50 TO 999 KW SERVICE CLASSIFICATION</v>
      </c>
      <c r="C195" s="117"/>
      <c r="D195" s="156" t="s">
        <v>176</v>
      </c>
      <c r="E195" s="119"/>
      <c r="F195" s="127"/>
      <c r="G195" s="141"/>
      <c r="H195" s="157"/>
      <c r="I195" s="128"/>
      <c r="J195" s="141"/>
      <c r="K195" s="157"/>
      <c r="L195" s="125"/>
      <c r="M195" s="126"/>
    </row>
    <row r="196" spans="1:13" hidden="1" x14ac:dyDescent="0.25">
      <c r="A196" s="100" t="str">
        <f t="shared" si="31"/>
        <v>GENERAL SERVICE 50 TO 999 KW SERVICE CLASSIFICATION</v>
      </c>
      <c r="B196" s="105" t="s">
        <v>117</v>
      </c>
      <c r="C196" s="117"/>
      <c r="D196" s="159" t="s">
        <v>177</v>
      </c>
      <c r="E196" s="119"/>
      <c r="F196" s="160">
        <f>OffPeak</f>
        <v>6.5000000000000002E-2</v>
      </c>
      <c r="G196" s="161">
        <f>IF(AND(E165*12&gt;=150000),0.65*E165*E167,0.65*E165)</f>
        <v>225482.40000000002</v>
      </c>
      <c r="H196" s="157">
        <f t="shared" si="33"/>
        <v>14656.356000000002</v>
      </c>
      <c r="I196" s="162">
        <f>OffPeak</f>
        <v>6.5000000000000002E-2</v>
      </c>
      <c r="J196" s="161">
        <f>IF(AND(E165*12&gt;=150000),0.65*E165*E168,0.65*E165)</f>
        <v>225482.40000000002</v>
      </c>
      <c r="K196" s="157">
        <f t="shared" si="34"/>
        <v>14656.356000000002</v>
      </c>
      <c r="L196" s="125">
        <f>K196-H196</f>
        <v>0</v>
      </c>
      <c r="M196" s="126">
        <f t="shared" si="35"/>
        <v>0</v>
      </c>
    </row>
    <row r="197" spans="1:13" hidden="1" x14ac:dyDescent="0.25">
      <c r="A197" s="100" t="str">
        <f t="shared" si="31"/>
        <v>GENERAL SERVICE 50 TO 999 KW SERVICE CLASSIFICATION</v>
      </c>
      <c r="B197" s="105" t="s">
        <v>117</v>
      </c>
      <c r="C197" s="117"/>
      <c r="D197" s="159" t="s">
        <v>178</v>
      </c>
      <c r="E197" s="119"/>
      <c r="F197" s="160">
        <f>MidPeak</f>
        <v>9.4E-2</v>
      </c>
      <c r="G197" s="161">
        <f>IF(AND(E165*12&gt;=150000),0.17*E165*E167,0.17*E165)</f>
        <v>58972.320000000007</v>
      </c>
      <c r="H197" s="157">
        <f t="shared" si="33"/>
        <v>5543.3980800000008</v>
      </c>
      <c r="I197" s="162">
        <f>MidPeak</f>
        <v>9.4E-2</v>
      </c>
      <c r="J197" s="161">
        <f>IF(AND(E165*12&gt;=150000),0.17*E165*E168,0.17*E165)</f>
        <v>58972.320000000007</v>
      </c>
      <c r="K197" s="157">
        <f t="shared" si="34"/>
        <v>5543.3980800000008</v>
      </c>
      <c r="L197" s="125">
        <f>K197-H197</f>
        <v>0</v>
      </c>
      <c r="M197" s="126">
        <f t="shared" si="35"/>
        <v>0</v>
      </c>
    </row>
    <row r="198" spans="1:13" hidden="1" x14ac:dyDescent="0.25">
      <c r="A198" s="100" t="str">
        <f t="shared" si="31"/>
        <v>GENERAL SERVICE 50 TO 999 KW SERVICE CLASSIFICATION</v>
      </c>
      <c r="B198" s="105" t="s">
        <v>117</v>
      </c>
      <c r="C198" s="117"/>
      <c r="D198" s="105" t="s">
        <v>179</v>
      </c>
      <c r="E198" s="119"/>
      <c r="F198" s="160">
        <f>OnPeak</f>
        <v>0.13200000000000001</v>
      </c>
      <c r="G198" s="161">
        <f>IF(AND(E165*12&gt;=150000),0.18*E165*E167,0.18*E165)</f>
        <v>62441.280000000006</v>
      </c>
      <c r="H198" s="157">
        <f t="shared" si="33"/>
        <v>8242.2489600000008</v>
      </c>
      <c r="I198" s="162">
        <f>OnPeak</f>
        <v>0.13200000000000001</v>
      </c>
      <c r="J198" s="161">
        <f>IF(AND(E165*12&gt;=150000),0.18*E165*E168,0.18*E165)</f>
        <v>62441.280000000006</v>
      </c>
      <c r="K198" s="157">
        <f t="shared" si="34"/>
        <v>8242.2489600000008</v>
      </c>
      <c r="L198" s="125">
        <f>K198-H198</f>
        <v>0</v>
      </c>
      <c r="M198" s="126">
        <f t="shared" si="35"/>
        <v>0</v>
      </c>
    </row>
    <row r="199" spans="1:13" hidden="1" x14ac:dyDescent="0.25">
      <c r="A199" s="100" t="str">
        <f t="shared" si="31"/>
        <v>GENERAL SERVICE 50 TO 999 KW SERVICE CLASSIFICATION</v>
      </c>
      <c r="B199" s="100" t="s">
        <v>180</v>
      </c>
      <c r="C199" s="117"/>
      <c r="D199" s="159" t="s">
        <v>181</v>
      </c>
      <c r="E199" s="119"/>
      <c r="F199" s="163">
        <v>0.1101</v>
      </c>
      <c r="G199" s="161">
        <f>IF(AND(E165*12&gt;=150000),E165*E167,E165)</f>
        <v>346896</v>
      </c>
      <c r="H199" s="157">
        <f>G199*F199</f>
        <v>38193.249600000003</v>
      </c>
      <c r="I199" s="164">
        <f>F199</f>
        <v>0.1101</v>
      </c>
      <c r="J199" s="161">
        <f>IF(AND(E165*12&gt;=150000),E165*E168,E165)</f>
        <v>346896</v>
      </c>
      <c r="K199" s="157">
        <f>J199*I199</f>
        <v>38193.249600000003</v>
      </c>
      <c r="L199" s="125">
        <f>K199-H199</f>
        <v>0</v>
      </c>
      <c r="M199" s="126">
        <f t="shared" si="35"/>
        <v>0</v>
      </c>
    </row>
    <row r="200" spans="1:13" ht="15.75" thickBot="1" x14ac:dyDescent="0.3">
      <c r="A200" s="100" t="str">
        <f t="shared" si="31"/>
        <v>GENERAL SERVICE 50 TO 999 KW SERVICE CLASSIFICATION</v>
      </c>
      <c r="B200" s="100" t="s">
        <v>121</v>
      </c>
      <c r="C200" s="117"/>
      <c r="D200" s="159" t="s">
        <v>182</v>
      </c>
      <c r="E200" s="119"/>
      <c r="F200" s="163">
        <v>0.1101</v>
      </c>
      <c r="G200" s="161">
        <f>IF(AND(E165*12&gt;=150000),E165*E167,E165)</f>
        <v>346896</v>
      </c>
      <c r="H200" s="157">
        <f>G200*F200</f>
        <v>38193.249600000003</v>
      </c>
      <c r="I200" s="164">
        <f>F200</f>
        <v>0.1101</v>
      </c>
      <c r="J200" s="161">
        <f>IF(AND(E165*12&gt;=150000),E165*E168,E165)</f>
        <v>346896</v>
      </c>
      <c r="K200" s="157">
        <f>J200*I200</f>
        <v>38193.249600000003</v>
      </c>
      <c r="L200" s="125">
        <f>K200-H200</f>
        <v>0</v>
      </c>
      <c r="M200" s="126">
        <f t="shared" si="35"/>
        <v>0</v>
      </c>
    </row>
    <row r="201" spans="1:13" ht="15.75" thickBot="1" x14ac:dyDescent="0.3">
      <c r="A201" s="100" t="str">
        <f t="shared" si="31"/>
        <v>GENERAL SERVICE 50 TO 999 KW SERVICE CLASSIFICATION</v>
      </c>
      <c r="B201" s="105"/>
      <c r="C201" s="117"/>
      <c r="D201" s="165"/>
      <c r="E201" s="166"/>
      <c r="F201" s="167"/>
      <c r="G201" s="168"/>
      <c r="H201" s="169"/>
      <c r="I201" s="167"/>
      <c r="J201" s="170"/>
      <c r="K201" s="169"/>
      <c r="L201" s="171"/>
      <c r="M201" s="172"/>
    </row>
    <row r="202" spans="1:13" hidden="1" x14ac:dyDescent="0.25">
      <c r="A202" s="100" t="str">
        <f t="shared" si="31"/>
        <v>GENERAL SERVICE 50 TO 999 KW SERVICE CLASSIFICATION</v>
      </c>
      <c r="B202" s="105" t="s">
        <v>117</v>
      </c>
      <c r="C202" s="117"/>
      <c r="D202" s="173" t="s">
        <v>183</v>
      </c>
      <c r="E202" s="158"/>
      <c r="F202" s="174"/>
      <c r="G202" s="175"/>
      <c r="H202" s="176">
        <f>SUM(H192:H198,H191)</f>
        <v>34057.727440000002</v>
      </c>
      <c r="I202" s="177"/>
      <c r="J202" s="177"/>
      <c r="K202" s="176">
        <f>SUM(K192:K198,K191)</f>
        <v>38259.817440000006</v>
      </c>
      <c r="L202" s="178">
        <f>K202-H202</f>
        <v>4202.0900000000038</v>
      </c>
      <c r="M202" s="179">
        <f>IF((H202)=0,"",(L202/H202))</f>
        <v>0.123381397287969</v>
      </c>
    </row>
    <row r="203" spans="1:13" hidden="1" x14ac:dyDescent="0.25">
      <c r="A203" s="100" t="str">
        <f t="shared" si="31"/>
        <v>GENERAL SERVICE 50 TO 999 KW SERVICE CLASSIFICATION</v>
      </c>
      <c r="B203" s="105" t="s">
        <v>117</v>
      </c>
      <c r="C203" s="117"/>
      <c r="D203" s="180" t="s">
        <v>184</v>
      </c>
      <c r="E203" s="158"/>
      <c r="F203" s="174">
        <v>0.13</v>
      </c>
      <c r="G203" s="181"/>
      <c r="H203" s="182">
        <f>H202*F203</f>
        <v>4427.5045672000006</v>
      </c>
      <c r="I203" s="183">
        <v>0.13</v>
      </c>
      <c r="J203" s="121"/>
      <c r="K203" s="182">
        <f>K202*I203</f>
        <v>4973.7762672000008</v>
      </c>
      <c r="L203" s="184">
        <f>K203-H203</f>
        <v>546.27170000000024</v>
      </c>
      <c r="M203" s="185">
        <f>IF((H203)=0,"",(L203/H203))</f>
        <v>0.12338139728796894</v>
      </c>
    </row>
    <row r="204" spans="1:13" hidden="1" x14ac:dyDescent="0.25">
      <c r="A204" s="100" t="str">
        <f t="shared" si="31"/>
        <v>GENERAL SERVICE 50 TO 999 KW SERVICE CLASSIFICATION</v>
      </c>
      <c r="B204" s="105" t="s">
        <v>117</v>
      </c>
      <c r="C204" s="117"/>
      <c r="D204" s="180" t="s">
        <v>185</v>
      </c>
      <c r="E204" s="158"/>
      <c r="F204" s="174">
        <v>0.08</v>
      </c>
      <c r="G204" s="181"/>
      <c r="H204" s="182">
        <v>0</v>
      </c>
      <c r="I204" s="174">
        <v>0.08</v>
      </c>
      <c r="J204" s="121"/>
      <c r="K204" s="182">
        <v>0</v>
      </c>
      <c r="L204" s="184">
        <f>K204-H204</f>
        <v>0</v>
      </c>
      <c r="M204" s="185"/>
    </row>
    <row r="205" spans="1:13" ht="15.75" hidden="1" thickBot="1" x14ac:dyDescent="0.3">
      <c r="A205" s="100" t="str">
        <f t="shared" si="31"/>
        <v>GENERAL SERVICE 50 TO 999 KW SERVICE CLASSIFICATION</v>
      </c>
      <c r="B205" s="105" t="s">
        <v>186</v>
      </c>
      <c r="C205" s="117"/>
      <c r="D205" s="301" t="s">
        <v>187</v>
      </c>
      <c r="E205" s="301"/>
      <c r="F205" s="186"/>
      <c r="G205" s="187"/>
      <c r="H205" s="188">
        <f>H202+H203+H204</f>
        <v>38485.2320072</v>
      </c>
      <c r="I205" s="189"/>
      <c r="J205" s="189"/>
      <c r="K205" s="190">
        <f>K202+K203+K204</f>
        <v>43233.593707200009</v>
      </c>
      <c r="L205" s="191">
        <f>K205-H205</f>
        <v>4748.3617000000086</v>
      </c>
      <c r="M205" s="192">
        <f>IF((H205)=0,"",(L205/H205))</f>
        <v>0.12338139728796912</v>
      </c>
    </row>
    <row r="206" spans="1:13" ht="15.75" hidden="1" thickBot="1" x14ac:dyDescent="0.3">
      <c r="A206" s="100" t="str">
        <f t="shared" si="31"/>
        <v>GENERAL SERVICE 50 TO 999 KW SERVICE CLASSIFICATION</v>
      </c>
      <c r="B206" s="100" t="s">
        <v>117</v>
      </c>
      <c r="C206" s="117"/>
      <c r="D206" s="165"/>
      <c r="E206" s="166"/>
      <c r="F206" s="167"/>
      <c r="G206" s="168"/>
      <c r="H206" s="169"/>
      <c r="I206" s="167"/>
      <c r="J206" s="170"/>
      <c r="K206" s="169"/>
      <c r="L206" s="171"/>
      <c r="M206" s="172"/>
    </row>
    <row r="207" spans="1:13" hidden="1" x14ac:dyDescent="0.25">
      <c r="A207" s="100" t="str">
        <f t="shared" si="31"/>
        <v>GENERAL SERVICE 50 TO 999 KW SERVICE CLASSIFICATION</v>
      </c>
      <c r="B207" s="100" t="s">
        <v>180</v>
      </c>
      <c r="C207" s="117"/>
      <c r="D207" s="173" t="s">
        <v>188</v>
      </c>
      <c r="E207" s="158"/>
      <c r="F207" s="174"/>
      <c r="G207" s="175"/>
      <c r="H207" s="176">
        <f>SUM(H199,H192:H195,H191)</f>
        <v>43808.974000000009</v>
      </c>
      <c r="I207" s="177"/>
      <c r="J207" s="177"/>
      <c r="K207" s="176">
        <f>SUM(K199,K192:K195,K191)</f>
        <v>48011.064000000006</v>
      </c>
      <c r="L207" s="178">
        <f>K207-H207</f>
        <v>4202.0899999999965</v>
      </c>
      <c r="M207" s="179">
        <f>IF((H207)=0,"",(L207/H207))</f>
        <v>9.5918475515998067E-2</v>
      </c>
    </row>
    <row r="208" spans="1:13" hidden="1" x14ac:dyDescent="0.25">
      <c r="A208" s="100" t="str">
        <f t="shared" si="31"/>
        <v>GENERAL SERVICE 50 TO 999 KW SERVICE CLASSIFICATION</v>
      </c>
      <c r="B208" s="100" t="s">
        <v>180</v>
      </c>
      <c r="C208" s="117"/>
      <c r="D208" s="180" t="s">
        <v>184</v>
      </c>
      <c r="E208" s="158"/>
      <c r="F208" s="174">
        <v>0.13</v>
      </c>
      <c r="G208" s="175"/>
      <c r="H208" s="182">
        <f>H207*F208</f>
        <v>5695.1666200000018</v>
      </c>
      <c r="I208" s="174">
        <v>0.13</v>
      </c>
      <c r="J208" s="183"/>
      <c r="K208" s="182">
        <f>K207*I208</f>
        <v>6241.4383200000011</v>
      </c>
      <c r="L208" s="184">
        <f>K208-H208</f>
        <v>546.27169999999933</v>
      </c>
      <c r="M208" s="185">
        <f>IF((H208)=0,"",(L208/H208))</f>
        <v>9.5918475515998011E-2</v>
      </c>
    </row>
    <row r="209" spans="1:13" hidden="1" x14ac:dyDescent="0.25">
      <c r="A209" s="100" t="str">
        <f t="shared" si="31"/>
        <v>GENERAL SERVICE 50 TO 999 KW SERVICE CLASSIFICATION</v>
      </c>
      <c r="B209" s="100" t="s">
        <v>180</v>
      </c>
      <c r="C209" s="117"/>
      <c r="D209" s="180" t="s">
        <v>185</v>
      </c>
      <c r="E209" s="158"/>
      <c r="F209" s="174">
        <v>0.08</v>
      </c>
      <c r="G209" s="175"/>
      <c r="H209" s="182">
        <v>0</v>
      </c>
      <c r="I209" s="174">
        <v>0.08</v>
      </c>
      <c r="J209" s="183"/>
      <c r="K209" s="182">
        <v>0</v>
      </c>
      <c r="L209" s="184"/>
      <c r="M209" s="185"/>
    </row>
    <row r="210" spans="1:13" ht="15.75" hidden="1" thickBot="1" x14ac:dyDescent="0.3">
      <c r="A210" s="100" t="str">
        <f t="shared" si="31"/>
        <v>GENERAL SERVICE 50 TO 999 KW SERVICE CLASSIFICATION</v>
      </c>
      <c r="B210" s="100" t="s">
        <v>189</v>
      </c>
      <c r="C210" s="117"/>
      <c r="D210" s="301" t="s">
        <v>188</v>
      </c>
      <c r="E210" s="301"/>
      <c r="F210" s="193"/>
      <c r="G210" s="194"/>
      <c r="H210" s="188">
        <f>SUM(H207,H208)</f>
        <v>49504.140620000013</v>
      </c>
      <c r="I210" s="195"/>
      <c r="J210" s="195"/>
      <c r="K210" s="188">
        <f>SUM(K207,K208)</f>
        <v>54252.502320000007</v>
      </c>
      <c r="L210" s="196">
        <f>K210-H210</f>
        <v>4748.361699999994</v>
      </c>
      <c r="M210" s="197">
        <f>IF((H210)=0,"",(L210/H210))</f>
        <v>9.5918475515998011E-2</v>
      </c>
    </row>
    <row r="211" spans="1:13" ht="15.75" hidden="1" thickBot="1" x14ac:dyDescent="0.3">
      <c r="A211" s="100" t="str">
        <f t="shared" si="31"/>
        <v>GENERAL SERVICE 50 TO 999 KW SERVICE CLASSIFICATION</v>
      </c>
      <c r="B211" s="100" t="s">
        <v>180</v>
      </c>
      <c r="C211" s="117"/>
      <c r="D211" s="165"/>
      <c r="E211" s="166"/>
      <c r="F211" s="198"/>
      <c r="G211" s="199"/>
      <c r="H211" s="200"/>
      <c r="I211" s="198"/>
      <c r="J211" s="168"/>
      <c r="K211" s="200"/>
      <c r="L211" s="201"/>
      <c r="M211" s="172"/>
    </row>
    <row r="212" spans="1:13" x14ac:dyDescent="0.25">
      <c r="A212" s="100" t="str">
        <f t="shared" si="31"/>
        <v>GENERAL SERVICE 50 TO 999 KW SERVICE CLASSIFICATION</v>
      </c>
      <c r="B212" s="100" t="s">
        <v>121</v>
      </c>
      <c r="C212" s="117"/>
      <c r="D212" s="173" t="s">
        <v>190</v>
      </c>
      <c r="E212" s="158"/>
      <c r="F212" s="174"/>
      <c r="G212" s="175"/>
      <c r="H212" s="176">
        <f>SUM(H200,H192:H195,H191)</f>
        <v>43808.974000000009</v>
      </c>
      <c r="I212" s="177"/>
      <c r="J212" s="177"/>
      <c r="K212" s="176">
        <f>SUM(K200,K192:K195,K191)</f>
        <v>48011.064000000006</v>
      </c>
      <c r="L212" s="178">
        <f>K212-H212</f>
        <v>4202.0899999999965</v>
      </c>
      <c r="M212" s="179">
        <f>IF((H212)=0,"",(L212/H212))</f>
        <v>9.5918475515998067E-2</v>
      </c>
    </row>
    <row r="213" spans="1:13" x14ac:dyDescent="0.25">
      <c r="A213" s="100" t="str">
        <f t="shared" si="31"/>
        <v>GENERAL SERVICE 50 TO 999 KW SERVICE CLASSIFICATION</v>
      </c>
      <c r="B213" s="100" t="s">
        <v>121</v>
      </c>
      <c r="C213" s="117"/>
      <c r="D213" s="180" t="s">
        <v>184</v>
      </c>
      <c r="E213" s="158"/>
      <c r="F213" s="174">
        <v>0.13</v>
      </c>
      <c r="G213" s="175"/>
      <c r="H213" s="182">
        <f>H212*F213</f>
        <v>5695.1666200000018</v>
      </c>
      <c r="I213" s="174">
        <v>0.13</v>
      </c>
      <c r="J213" s="183"/>
      <c r="K213" s="182">
        <f>K212*I213</f>
        <v>6241.4383200000011</v>
      </c>
      <c r="L213" s="184">
        <f>K213-H213</f>
        <v>546.27169999999933</v>
      </c>
      <c r="M213" s="185">
        <f>IF((H213)=0,"",(L213/H213))</f>
        <v>9.5918475515998011E-2</v>
      </c>
    </row>
    <row r="214" spans="1:13" x14ac:dyDescent="0.25">
      <c r="A214" s="100" t="str">
        <f t="shared" si="31"/>
        <v>GENERAL SERVICE 50 TO 999 KW SERVICE CLASSIFICATION</v>
      </c>
      <c r="B214" s="100" t="s">
        <v>121</v>
      </c>
      <c r="C214" s="117"/>
      <c r="D214" s="180" t="s">
        <v>185</v>
      </c>
      <c r="E214" s="158"/>
      <c r="F214" s="174">
        <v>0.08</v>
      </c>
      <c r="G214" s="175"/>
      <c r="H214" s="182">
        <v>0</v>
      </c>
      <c r="I214" s="174">
        <v>0.08</v>
      </c>
      <c r="J214" s="183"/>
      <c r="K214" s="182">
        <v>0</v>
      </c>
      <c r="L214" s="184"/>
      <c r="M214" s="185"/>
    </row>
    <row r="215" spans="1:13" ht="15.75" thickBot="1" x14ac:dyDescent="0.3">
      <c r="A215" s="100" t="str">
        <f t="shared" si="31"/>
        <v>GENERAL SERVICE 50 TO 999 KW SERVICE CLASSIFICATION</v>
      </c>
      <c r="B215" s="100" t="s">
        <v>191</v>
      </c>
      <c r="C215" s="117">
        <f>B5</f>
        <v>3</v>
      </c>
      <c r="D215" s="301" t="s">
        <v>190</v>
      </c>
      <c r="E215" s="301"/>
      <c r="F215" s="193"/>
      <c r="G215" s="194"/>
      <c r="H215" s="188">
        <f>SUM(H212,H213)</f>
        <v>49504.140620000013</v>
      </c>
      <c r="I215" s="195"/>
      <c r="J215" s="195"/>
      <c r="K215" s="188">
        <f>SUM(K212,K213)</f>
        <v>54252.502320000007</v>
      </c>
      <c r="L215" s="196">
        <f>K215-H215</f>
        <v>4748.361699999994</v>
      </c>
      <c r="M215" s="197">
        <f>IF((H215)=0,"",(L215/H215))</f>
        <v>9.5918475515998011E-2</v>
      </c>
    </row>
    <row r="216" spans="1:13" ht="15.75" thickBot="1" x14ac:dyDescent="0.3">
      <c r="A216" s="100" t="str">
        <f t="shared" si="31"/>
        <v>GENERAL SERVICE 50 TO 999 KW SERVICE CLASSIFICATION</v>
      </c>
      <c r="B216" s="100" t="s">
        <v>121</v>
      </c>
      <c r="C216" s="117"/>
      <c r="D216" s="165"/>
      <c r="E216" s="166"/>
      <c r="F216" s="202"/>
      <c r="G216" s="203"/>
      <c r="H216" s="204"/>
      <c r="I216" s="202"/>
      <c r="J216" s="205"/>
      <c r="K216" s="204"/>
      <c r="L216" s="206"/>
      <c r="M216" s="207"/>
    </row>
    <row r="219" spans="1:13" x14ac:dyDescent="0.25">
      <c r="C219" s="100"/>
      <c r="D219" s="101" t="s">
        <v>134</v>
      </c>
      <c r="E219" s="302" t="str">
        <f>D6</f>
        <v>GENERAL SERVICE 1,000 TO 4,999 KW SERVICE CLASSIFICATION</v>
      </c>
      <c r="F219" s="302"/>
      <c r="G219" s="302"/>
      <c r="H219" s="302"/>
      <c r="I219" s="302"/>
      <c r="J219" s="302"/>
      <c r="K219" s="100" t="str">
        <f>IF(N6="DEMAND - INTERVAL","RTSR - INTERVAL METERED","")</f>
        <v/>
      </c>
    </row>
    <row r="220" spans="1:13" x14ac:dyDescent="0.25">
      <c r="C220" s="100"/>
      <c r="D220" s="101" t="s">
        <v>135</v>
      </c>
      <c r="E220" s="303" t="str">
        <f>H6</f>
        <v>Non-RPP (Other)</v>
      </c>
      <c r="F220" s="303"/>
      <c r="G220" s="303"/>
      <c r="H220" s="102"/>
      <c r="I220" s="102"/>
    </row>
    <row r="221" spans="1:13" ht="15.75" x14ac:dyDescent="0.25">
      <c r="C221" s="100"/>
      <c r="D221" s="101" t="s">
        <v>136</v>
      </c>
      <c r="E221" s="103">
        <f>K6</f>
        <v>1600000</v>
      </c>
      <c r="F221" s="104" t="s">
        <v>137</v>
      </c>
      <c r="G221" s="105"/>
      <c r="J221" s="106"/>
      <c r="K221" s="106"/>
      <c r="L221" s="106"/>
      <c r="M221" s="106"/>
    </row>
    <row r="222" spans="1:13" ht="15.75" x14ac:dyDescent="0.25">
      <c r="C222" s="100"/>
      <c r="D222" s="101" t="s">
        <v>138</v>
      </c>
      <c r="E222" s="103">
        <f>L6</f>
        <v>2500</v>
      </c>
      <c r="F222" s="107" t="s">
        <v>139</v>
      </c>
      <c r="G222" s="108"/>
      <c r="H222" s="109"/>
      <c r="I222" s="109"/>
      <c r="J222" s="109"/>
    </row>
    <row r="223" spans="1:13" x14ac:dyDescent="0.25">
      <c r="C223" s="100"/>
      <c r="D223" s="101" t="s">
        <v>140</v>
      </c>
      <c r="E223" s="110">
        <f>I6</f>
        <v>1.056</v>
      </c>
    </row>
    <row r="224" spans="1:13" x14ac:dyDescent="0.25">
      <c r="C224" s="100"/>
      <c r="D224" s="101" t="s">
        <v>141</v>
      </c>
      <c r="E224" s="110">
        <f>J6</f>
        <v>1.056</v>
      </c>
    </row>
    <row r="225" spans="1:13" x14ac:dyDescent="0.25">
      <c r="C225" s="100"/>
      <c r="D225" s="105"/>
    </row>
    <row r="226" spans="1:13" x14ac:dyDescent="0.25">
      <c r="C226" s="100"/>
      <c r="D226" s="105"/>
      <c r="E226" s="111"/>
      <c r="F226" s="304" t="s">
        <v>142</v>
      </c>
      <c r="G226" s="305"/>
      <c r="H226" s="306"/>
      <c r="I226" s="304" t="s">
        <v>143</v>
      </c>
      <c r="J226" s="305"/>
      <c r="K226" s="306"/>
      <c r="L226" s="304" t="s">
        <v>144</v>
      </c>
      <c r="M226" s="306"/>
    </row>
    <row r="227" spans="1:13" x14ac:dyDescent="0.25">
      <c r="C227" s="100"/>
      <c r="D227" s="105"/>
      <c r="E227" s="295"/>
      <c r="F227" s="112" t="s">
        <v>145</v>
      </c>
      <c r="G227" s="112" t="s">
        <v>146</v>
      </c>
      <c r="H227" s="113" t="s">
        <v>147</v>
      </c>
      <c r="I227" s="112" t="s">
        <v>145</v>
      </c>
      <c r="J227" s="114" t="s">
        <v>146</v>
      </c>
      <c r="K227" s="113" t="s">
        <v>147</v>
      </c>
      <c r="L227" s="297" t="s">
        <v>148</v>
      </c>
      <c r="M227" s="299" t="s">
        <v>149</v>
      </c>
    </row>
    <row r="228" spans="1:13" x14ac:dyDescent="0.25">
      <c r="C228" s="100"/>
      <c r="D228" s="105"/>
      <c r="E228" s="296"/>
      <c r="F228" s="115" t="s">
        <v>150</v>
      </c>
      <c r="G228" s="115"/>
      <c r="H228" s="116" t="s">
        <v>150</v>
      </c>
      <c r="I228" s="115" t="s">
        <v>150</v>
      </c>
      <c r="J228" s="116"/>
      <c r="K228" s="116" t="s">
        <v>150</v>
      </c>
      <c r="L228" s="298"/>
      <c r="M228" s="300"/>
    </row>
    <row r="229" spans="1:13" x14ac:dyDescent="0.25">
      <c r="A229" s="100" t="str">
        <f>$E219</f>
        <v>GENERAL SERVICE 1,000 TO 4,999 KW SERVICE CLASSIFICATION</v>
      </c>
      <c r="C229" s="117"/>
      <c r="D229" s="118" t="s">
        <v>151</v>
      </c>
      <c r="E229" s="119"/>
      <c r="F229" s="120">
        <v>185.55</v>
      </c>
      <c r="G229" s="121">
        <v>1</v>
      </c>
      <c r="H229" s="122">
        <f>G229*F229</f>
        <v>185.55</v>
      </c>
      <c r="I229" s="123">
        <v>187.78</v>
      </c>
      <c r="J229" s="124">
        <f>G229</f>
        <v>1</v>
      </c>
      <c r="K229" s="122">
        <f>J229*I229</f>
        <v>187.78</v>
      </c>
      <c r="L229" s="125">
        <f t="shared" ref="L229:L250" si="36">K229-H229</f>
        <v>2.2299999999999898</v>
      </c>
      <c r="M229" s="126">
        <f>IF(ISERROR(L229/H229), "", L229/H229)</f>
        <v>1.2018323901913175E-2</v>
      </c>
    </row>
    <row r="230" spans="1:13" x14ac:dyDescent="0.25">
      <c r="A230" s="100" t="str">
        <f>A229</f>
        <v>GENERAL SERVICE 1,000 TO 4,999 KW SERVICE CLASSIFICATION</v>
      </c>
      <c r="C230" s="117"/>
      <c r="D230" s="118" t="s">
        <v>152</v>
      </c>
      <c r="E230" s="119"/>
      <c r="F230" s="127">
        <v>3.4704999999999999</v>
      </c>
      <c r="G230" s="121">
        <f>IF($E222&gt;0, $E222, $E221)</f>
        <v>2500</v>
      </c>
      <c r="H230" s="122">
        <f t="shared" ref="H230:H242" si="37">G230*F230</f>
        <v>8676.25</v>
      </c>
      <c r="I230" s="128">
        <v>3.5121000000000002</v>
      </c>
      <c r="J230" s="124">
        <f>IF($E222&gt;0, $E222, $E221)</f>
        <v>2500</v>
      </c>
      <c r="K230" s="122">
        <f>J230*I230</f>
        <v>8780.25</v>
      </c>
      <c r="L230" s="125">
        <f t="shared" si="36"/>
        <v>104</v>
      </c>
      <c r="M230" s="126">
        <f t="shared" ref="M230:M240" si="38">IF(ISERROR(L230/H230), "", L230/H230)</f>
        <v>1.1986745425731162E-2</v>
      </c>
    </row>
    <row r="231" spans="1:13" x14ac:dyDescent="0.25">
      <c r="A231" s="100" t="str">
        <f t="shared" ref="A231:A272" si="39">A230</f>
        <v>GENERAL SERVICE 1,000 TO 4,999 KW SERVICE CLASSIFICATION</v>
      </c>
      <c r="C231" s="117"/>
      <c r="D231" s="118" t="s">
        <v>153</v>
      </c>
      <c r="E231" s="119"/>
      <c r="F231" s="127"/>
      <c r="G231" s="121">
        <f>IF($E222&gt;0, $E222, $E221)</f>
        <v>2500</v>
      </c>
      <c r="H231" s="122">
        <v>0</v>
      </c>
      <c r="I231" s="128"/>
      <c r="J231" s="124">
        <f>IF($E222&gt;0, $E222, $E221)</f>
        <v>2500</v>
      </c>
      <c r="K231" s="122">
        <v>0</v>
      </c>
      <c r="L231" s="125"/>
      <c r="M231" s="126"/>
    </row>
    <row r="232" spans="1:13" x14ac:dyDescent="0.25">
      <c r="A232" s="100" t="str">
        <f t="shared" si="39"/>
        <v>GENERAL SERVICE 1,000 TO 4,999 KW SERVICE CLASSIFICATION</v>
      </c>
      <c r="C232" s="117"/>
      <c r="D232" s="118" t="s">
        <v>154</v>
      </c>
      <c r="E232" s="119"/>
      <c r="F232" s="127"/>
      <c r="G232" s="121">
        <f>IF($E222&gt;0, $E222, $E221)</f>
        <v>2500</v>
      </c>
      <c r="H232" s="122">
        <v>0</v>
      </c>
      <c r="I232" s="128"/>
      <c r="J232" s="121">
        <f>IF($E222&gt;0, $E222, $E221)</f>
        <v>2500</v>
      </c>
      <c r="K232" s="122">
        <v>0</v>
      </c>
      <c r="L232" s="125">
        <f>K232-H232</f>
        <v>0</v>
      </c>
      <c r="M232" s="126" t="str">
        <f>IF(ISERROR(L232/H232), "", L232/H232)</f>
        <v/>
      </c>
    </row>
    <row r="233" spans="1:13" x14ac:dyDescent="0.25">
      <c r="A233" s="100" t="str">
        <f t="shared" si="39"/>
        <v>GENERAL SERVICE 1,000 TO 4,999 KW SERVICE CLASSIFICATION</v>
      </c>
      <c r="C233" s="117"/>
      <c r="D233" s="129" t="s">
        <v>155</v>
      </c>
      <c r="E233" s="119"/>
      <c r="F233" s="120">
        <v>0</v>
      </c>
      <c r="G233" s="121">
        <v>1</v>
      </c>
      <c r="H233" s="122">
        <f t="shared" si="37"/>
        <v>0</v>
      </c>
      <c r="I233" s="123">
        <v>0</v>
      </c>
      <c r="J233" s="124">
        <f>G233</f>
        <v>1</v>
      </c>
      <c r="K233" s="122">
        <f t="shared" ref="K233:K240" si="40">J233*I233</f>
        <v>0</v>
      </c>
      <c r="L233" s="125">
        <f t="shared" si="36"/>
        <v>0</v>
      </c>
      <c r="M233" s="126" t="str">
        <f t="shared" si="38"/>
        <v/>
      </c>
    </row>
    <row r="234" spans="1:13" x14ac:dyDescent="0.25">
      <c r="A234" s="100" t="str">
        <f t="shared" si="39"/>
        <v>GENERAL SERVICE 1,000 TO 4,999 KW SERVICE CLASSIFICATION</v>
      </c>
      <c r="C234" s="117"/>
      <c r="D234" s="118" t="s">
        <v>156</v>
      </c>
      <c r="E234" s="119"/>
      <c r="F234" s="127">
        <v>0</v>
      </c>
      <c r="G234" s="121">
        <f>IF($E222&gt;0, $E222, $E221)</f>
        <v>2500</v>
      </c>
      <c r="H234" s="122">
        <f t="shared" si="37"/>
        <v>0</v>
      </c>
      <c r="I234" s="128">
        <v>0</v>
      </c>
      <c r="J234" s="124">
        <f>IF($E222&gt;0, $E222, $E221)</f>
        <v>2500</v>
      </c>
      <c r="K234" s="122">
        <f t="shared" si="40"/>
        <v>0</v>
      </c>
      <c r="L234" s="125">
        <f t="shared" si="36"/>
        <v>0</v>
      </c>
      <c r="M234" s="126" t="str">
        <f t="shared" si="38"/>
        <v/>
      </c>
    </row>
    <row r="235" spans="1:13" x14ac:dyDescent="0.25">
      <c r="A235" s="100" t="str">
        <f t="shared" si="39"/>
        <v>GENERAL SERVICE 1,000 TO 4,999 KW SERVICE CLASSIFICATION</v>
      </c>
      <c r="B235" s="130" t="s">
        <v>157</v>
      </c>
      <c r="C235" s="117">
        <f>B6</f>
        <v>4</v>
      </c>
      <c r="D235" s="131" t="s">
        <v>158</v>
      </c>
      <c r="E235" s="132"/>
      <c r="F235" s="133"/>
      <c r="G235" s="134"/>
      <c r="H235" s="135">
        <f>SUM(H229:H234)</f>
        <v>8861.7999999999993</v>
      </c>
      <c r="I235" s="136"/>
      <c r="J235" s="137"/>
      <c r="K235" s="135">
        <f>SUM(K229:K234)</f>
        <v>8968.0300000000007</v>
      </c>
      <c r="L235" s="138">
        <f t="shared" si="36"/>
        <v>106.23000000000138</v>
      </c>
      <c r="M235" s="139">
        <f>IF((H235)=0,"",(L235/H235))</f>
        <v>1.1987406621679726E-2</v>
      </c>
    </row>
    <row r="236" spans="1:13" x14ac:dyDescent="0.25">
      <c r="A236" s="100" t="str">
        <f t="shared" si="39"/>
        <v>GENERAL SERVICE 1,000 TO 4,999 KW SERVICE CLASSIFICATION</v>
      </c>
      <c r="C236" s="117"/>
      <c r="D236" s="140" t="s">
        <v>159</v>
      </c>
      <c r="E236" s="119"/>
      <c r="F236" s="127">
        <f>IF((E221*12&gt;=150000), 0, IF(E220="RPP",(F252*0.65+F253*0.17+F254*0.18),IF(E220="Non-RPP (Retailer)",F255,F256)))</f>
        <v>0</v>
      </c>
      <c r="G236" s="141">
        <f>IF(F236=0, 0, $E221*E223-E221)</f>
        <v>0</v>
      </c>
      <c r="H236" s="122">
        <f>G236*F236</f>
        <v>0</v>
      </c>
      <c r="I236" s="128">
        <f>IF((E221*12&gt;=150000), 0, IF(E220="RPP",(I252*0.65+I253*0.17+I254*0.18),IF(E220="Non-RPP (Retailer)",I255,I256)))</f>
        <v>0</v>
      </c>
      <c r="J236" s="141">
        <f>IF(I236=0, 0, E221*E224-E221)</f>
        <v>0</v>
      </c>
      <c r="K236" s="122">
        <f>J236*I236</f>
        <v>0</v>
      </c>
      <c r="L236" s="125">
        <f>K236-H236</f>
        <v>0</v>
      </c>
      <c r="M236" s="126" t="str">
        <f>IF(ISERROR(L236/H236), "", L236/H236)</f>
        <v/>
      </c>
    </row>
    <row r="237" spans="1:13" ht="25.5" x14ac:dyDescent="0.25">
      <c r="A237" s="100" t="str">
        <f t="shared" si="39"/>
        <v>GENERAL SERVICE 1,000 TO 4,999 KW SERVICE CLASSIFICATION</v>
      </c>
      <c r="C237" s="117"/>
      <c r="D237" s="140" t="s">
        <v>160</v>
      </c>
      <c r="E237" s="119"/>
      <c r="F237" s="127">
        <v>-0.93979999999999997</v>
      </c>
      <c r="G237" s="142">
        <f>IF($E222&gt;0, $E222, $E221)</f>
        <v>2500</v>
      </c>
      <c r="H237" s="122">
        <f t="shared" si="37"/>
        <v>-2349.5</v>
      </c>
      <c r="I237" s="128">
        <v>-1.9907999999999999</v>
      </c>
      <c r="J237" s="142">
        <f>IF($E222&gt;0, $E222, $E221)</f>
        <v>2500</v>
      </c>
      <c r="K237" s="122">
        <f t="shared" si="40"/>
        <v>-4977</v>
      </c>
      <c r="L237" s="125">
        <f t="shared" si="36"/>
        <v>-2627.5</v>
      </c>
      <c r="M237" s="126">
        <f t="shared" si="38"/>
        <v>1.1183230474569057</v>
      </c>
    </row>
    <row r="238" spans="1:13" x14ac:dyDescent="0.25">
      <c r="A238" s="100" t="str">
        <f t="shared" si="39"/>
        <v>GENERAL SERVICE 1,000 TO 4,999 KW SERVICE CLASSIFICATION</v>
      </c>
      <c r="C238" s="117"/>
      <c r="D238" s="140" t="s">
        <v>161</v>
      </c>
      <c r="E238" s="119"/>
      <c r="F238" s="127">
        <v>-3.4099999999999998E-2</v>
      </c>
      <c r="G238" s="142">
        <f>IF($E222&gt;0, $E222, $E221)</f>
        <v>2500</v>
      </c>
      <c r="H238" s="122">
        <f>G238*F238</f>
        <v>-85.25</v>
      </c>
      <c r="I238" s="128">
        <v>0</v>
      </c>
      <c r="J238" s="142">
        <f>IF($E222&gt;0, $E222, $E221)</f>
        <v>2500</v>
      </c>
      <c r="K238" s="122">
        <f>J238*I238</f>
        <v>0</v>
      </c>
      <c r="L238" s="125">
        <f t="shared" si="36"/>
        <v>85.25</v>
      </c>
      <c r="M238" s="126">
        <f t="shared" si="38"/>
        <v>-1</v>
      </c>
    </row>
    <row r="239" spans="1:13" x14ac:dyDescent="0.25">
      <c r="A239" s="100" t="str">
        <f t="shared" si="39"/>
        <v>GENERAL SERVICE 1,000 TO 4,999 KW SERVICE CLASSIFICATION</v>
      </c>
      <c r="C239" s="117"/>
      <c r="D239" s="140" t="s">
        <v>162</v>
      </c>
      <c r="E239" s="119"/>
      <c r="F239" s="127">
        <v>-1E-3</v>
      </c>
      <c r="G239" s="142">
        <f>E221</f>
        <v>1600000</v>
      </c>
      <c r="H239" s="122">
        <f>G239*F239</f>
        <v>-1600</v>
      </c>
      <c r="I239" s="128">
        <v>1.37E-2</v>
      </c>
      <c r="J239" s="142">
        <f>E221</f>
        <v>1600000</v>
      </c>
      <c r="K239" s="122">
        <f t="shared" si="40"/>
        <v>21920</v>
      </c>
      <c r="L239" s="125">
        <f t="shared" si="36"/>
        <v>23520</v>
      </c>
      <c r="M239" s="126">
        <f t="shared" si="38"/>
        <v>-14.7</v>
      </c>
    </row>
    <row r="240" spans="1:13" x14ac:dyDescent="0.25">
      <c r="A240" s="100" t="str">
        <f t="shared" si="39"/>
        <v>GENERAL SERVICE 1,000 TO 4,999 KW SERVICE CLASSIFICATION</v>
      </c>
      <c r="C240" s="117"/>
      <c r="D240" s="143" t="s">
        <v>163</v>
      </c>
      <c r="E240" s="119"/>
      <c r="F240" s="127">
        <v>1.0483</v>
      </c>
      <c r="G240" s="142">
        <f>IF($E222&gt;0, $E222, $E221)</f>
        <v>2500</v>
      </c>
      <c r="H240" s="122">
        <f t="shared" si="37"/>
        <v>2620.75</v>
      </c>
      <c r="I240" s="128">
        <v>1.0483</v>
      </c>
      <c r="J240" s="142">
        <f>IF($E222&gt;0, $E222, $E221)</f>
        <v>2500</v>
      </c>
      <c r="K240" s="122">
        <f t="shared" si="40"/>
        <v>2620.75</v>
      </c>
      <c r="L240" s="125">
        <f t="shared" si="36"/>
        <v>0</v>
      </c>
      <c r="M240" s="126">
        <f t="shared" si="38"/>
        <v>0</v>
      </c>
    </row>
    <row r="241" spans="1:13" ht="25.5" x14ac:dyDescent="0.25">
      <c r="A241" s="100" t="str">
        <f t="shared" si="39"/>
        <v>GENERAL SERVICE 1,000 TO 4,999 KW SERVICE CLASSIFICATION</v>
      </c>
      <c r="C241" s="117"/>
      <c r="D241" s="144" t="s">
        <v>164</v>
      </c>
      <c r="E241" s="119"/>
      <c r="F241" s="145">
        <f>IF(OR(ISNUMBER(SEARCH("RESIDENTIAL", E219))=TRUE, ISNUMBER(SEARCH("GENERAL SERVICE LESS THAN 50", E219))=TRUE), SME, 0)</f>
        <v>0</v>
      </c>
      <c r="G241" s="121">
        <v>1</v>
      </c>
      <c r="H241" s="122">
        <f>G241*F241</f>
        <v>0</v>
      </c>
      <c r="I241" s="146">
        <f>IF(OR(ISNUMBER(SEARCH("RESIDENTIAL", E219))=TRUE, ISNUMBER(SEARCH("GENERAL SERVICE LESS THAN 50", E219))=TRUE), SME, 0)</f>
        <v>0</v>
      </c>
      <c r="J241" s="121">
        <v>1</v>
      </c>
      <c r="K241" s="122">
        <f>J241*I241</f>
        <v>0</v>
      </c>
      <c r="L241" s="125">
        <f t="shared" si="36"/>
        <v>0</v>
      </c>
      <c r="M241" s="126" t="str">
        <f>IF(ISERROR(L241/H241), "", L241/H241)</f>
        <v/>
      </c>
    </row>
    <row r="242" spans="1:13" x14ac:dyDescent="0.25">
      <c r="A242" s="100" t="str">
        <f t="shared" si="39"/>
        <v>GENERAL SERVICE 1,000 TO 4,999 KW SERVICE CLASSIFICATION</v>
      </c>
      <c r="C242" s="117"/>
      <c r="D242" s="143" t="s">
        <v>165</v>
      </c>
      <c r="E242" s="119"/>
      <c r="F242" s="120">
        <v>0</v>
      </c>
      <c r="G242" s="121">
        <v>1</v>
      </c>
      <c r="H242" s="122">
        <f t="shared" si="37"/>
        <v>0</v>
      </c>
      <c r="I242" s="123">
        <v>0</v>
      </c>
      <c r="J242" s="121">
        <v>1</v>
      </c>
      <c r="K242" s="122">
        <f>J242*I242</f>
        <v>0</v>
      </c>
      <c r="L242" s="125">
        <f>K242-H242</f>
        <v>0</v>
      </c>
      <c r="M242" s="126" t="str">
        <f>IF(ISERROR(L242/H242), "", L242/H242)</f>
        <v/>
      </c>
    </row>
    <row r="243" spans="1:13" x14ac:dyDescent="0.25">
      <c r="A243" s="100" t="str">
        <f t="shared" si="39"/>
        <v>GENERAL SERVICE 1,000 TO 4,999 KW SERVICE CLASSIFICATION</v>
      </c>
      <c r="C243" s="117"/>
      <c r="D243" s="143" t="s">
        <v>166</v>
      </c>
      <c r="E243" s="119"/>
      <c r="F243" s="127"/>
      <c r="G243" s="142">
        <f>IF($E222&gt;0, $E222, $E221)</f>
        <v>2500</v>
      </c>
      <c r="H243" s="122">
        <f>G243*F243</f>
        <v>0</v>
      </c>
      <c r="I243" s="128">
        <v>0</v>
      </c>
      <c r="J243" s="142">
        <f>IF($E222&gt;0, $E222, $E221)</f>
        <v>2500</v>
      </c>
      <c r="K243" s="122">
        <f>J243*I243</f>
        <v>0</v>
      </c>
      <c r="L243" s="125">
        <f t="shared" si="36"/>
        <v>0</v>
      </c>
      <c r="M243" s="126" t="str">
        <f>IF(ISERROR(L243/H243), "", L243/H243)</f>
        <v/>
      </c>
    </row>
    <row r="244" spans="1:13" ht="25.5" x14ac:dyDescent="0.25">
      <c r="A244" s="100" t="str">
        <f t="shared" si="39"/>
        <v>GENERAL SERVICE 1,000 TO 4,999 KW SERVICE CLASSIFICATION</v>
      </c>
      <c r="B244" s="105" t="s">
        <v>167</v>
      </c>
      <c r="C244" s="117">
        <f>B6</f>
        <v>4</v>
      </c>
      <c r="D244" s="147" t="s">
        <v>168</v>
      </c>
      <c r="E244" s="148"/>
      <c r="F244" s="149"/>
      <c r="G244" s="150"/>
      <c r="H244" s="151">
        <f>SUM(H235:H243)</f>
        <v>7447.7999999999993</v>
      </c>
      <c r="I244" s="152"/>
      <c r="J244" s="153"/>
      <c r="K244" s="151">
        <f>SUM(K235:K243)</f>
        <v>28531.78</v>
      </c>
      <c r="L244" s="138">
        <f t="shared" si="36"/>
        <v>21083.98</v>
      </c>
      <c r="M244" s="139">
        <f>IF((H244)=0,"",(L244/H244))</f>
        <v>2.8309004001181561</v>
      </c>
    </row>
    <row r="245" spans="1:13" x14ac:dyDescent="0.25">
      <c r="A245" s="100" t="str">
        <f t="shared" si="39"/>
        <v>GENERAL SERVICE 1,000 TO 4,999 KW SERVICE CLASSIFICATION</v>
      </c>
      <c r="C245" s="117"/>
      <c r="D245" s="154" t="s">
        <v>169</v>
      </c>
      <c r="E245" s="119"/>
      <c r="F245" s="127">
        <v>2.6217000000000001</v>
      </c>
      <c r="G245" s="141">
        <f>IF($E222&gt;0, $E222, $E221*$E223)</f>
        <v>2500</v>
      </c>
      <c r="H245" s="122">
        <f>G245*F245</f>
        <v>6554.25</v>
      </c>
      <c r="I245" s="128">
        <v>2.4868999999999999</v>
      </c>
      <c r="J245" s="141">
        <f>IF($E222&gt;0, $E222, $E221*$E224)</f>
        <v>2500</v>
      </c>
      <c r="K245" s="122">
        <f>J245*I245</f>
        <v>6217.25</v>
      </c>
      <c r="L245" s="125">
        <f t="shared" si="36"/>
        <v>-337</v>
      </c>
      <c r="M245" s="126">
        <f t="shared" ref="M245:M246" si="41">IF(ISERROR(L245/H245), "", L245/H245)</f>
        <v>-5.1417019491169849E-2</v>
      </c>
    </row>
    <row r="246" spans="1:13" ht="25.5" x14ac:dyDescent="0.25">
      <c r="A246" s="100" t="str">
        <f t="shared" si="39"/>
        <v>GENERAL SERVICE 1,000 TO 4,999 KW SERVICE CLASSIFICATION</v>
      </c>
      <c r="C246" s="117"/>
      <c r="D246" s="155" t="s">
        <v>170</v>
      </c>
      <c r="E246" s="119"/>
      <c r="F246" s="127">
        <v>2.2145999999999999</v>
      </c>
      <c r="G246" s="141">
        <f>IF($E222&gt;0, $E222, $E221*$E223)</f>
        <v>2500</v>
      </c>
      <c r="H246" s="122">
        <f>G246*F246</f>
        <v>5536.5</v>
      </c>
      <c r="I246" s="128">
        <v>2.0933000000000002</v>
      </c>
      <c r="J246" s="141">
        <f>IF($E222&gt;0, $E222, $E221*$E224)</f>
        <v>2500</v>
      </c>
      <c r="K246" s="122">
        <f>J246*I246</f>
        <v>5233.25</v>
      </c>
      <c r="L246" s="125">
        <f t="shared" si="36"/>
        <v>-303.25</v>
      </c>
      <c r="M246" s="126">
        <f t="shared" si="41"/>
        <v>-5.4772870947349409E-2</v>
      </c>
    </row>
    <row r="247" spans="1:13" ht="25.5" x14ac:dyDescent="0.25">
      <c r="A247" s="100" t="str">
        <f t="shared" si="39"/>
        <v>GENERAL SERVICE 1,000 TO 4,999 KW SERVICE CLASSIFICATION</v>
      </c>
      <c r="B247" s="105" t="s">
        <v>171</v>
      </c>
      <c r="C247" s="117">
        <f>B6</f>
        <v>4</v>
      </c>
      <c r="D247" s="147" t="s">
        <v>172</v>
      </c>
      <c r="E247" s="132"/>
      <c r="F247" s="149"/>
      <c r="G247" s="150"/>
      <c r="H247" s="151">
        <f>SUM(H244:H246)</f>
        <v>19538.55</v>
      </c>
      <c r="I247" s="152"/>
      <c r="J247" s="137"/>
      <c r="K247" s="151">
        <f>SUM(K244:K246)</f>
        <v>39982.28</v>
      </c>
      <c r="L247" s="138">
        <f t="shared" si="36"/>
        <v>20443.73</v>
      </c>
      <c r="M247" s="139">
        <f>IF((H247)=0,"",(L247/H247))</f>
        <v>1.0463279004839152</v>
      </c>
    </row>
    <row r="248" spans="1:13" ht="25.5" x14ac:dyDescent="0.25">
      <c r="A248" s="100" t="str">
        <f t="shared" si="39"/>
        <v>GENERAL SERVICE 1,000 TO 4,999 KW SERVICE CLASSIFICATION</v>
      </c>
      <c r="C248" s="117"/>
      <c r="D248" s="156" t="s">
        <v>173</v>
      </c>
      <c r="E248" s="119"/>
      <c r="F248" s="127">
        <v>3.6000000000000003E-3</v>
      </c>
      <c r="G248" s="141">
        <f>E221*E223</f>
        <v>1689600</v>
      </c>
      <c r="H248" s="157">
        <f t="shared" ref="H248:H254" si="42">G248*F248</f>
        <v>6082.56</v>
      </c>
      <c r="I248" s="128">
        <v>3.6000000000000003E-3</v>
      </c>
      <c r="J248" s="141">
        <f>E221*E224</f>
        <v>1689600</v>
      </c>
      <c r="K248" s="157">
        <f t="shared" ref="K248:K254" si="43">J248*I248</f>
        <v>6082.56</v>
      </c>
      <c r="L248" s="125">
        <f t="shared" si="36"/>
        <v>0</v>
      </c>
      <c r="M248" s="126">
        <f t="shared" ref="M248:M256" si="44">IF(ISERROR(L248/H248), "", L248/H248)</f>
        <v>0</v>
      </c>
    </row>
    <row r="249" spans="1:13" ht="25.5" x14ac:dyDescent="0.25">
      <c r="A249" s="100" t="str">
        <f t="shared" si="39"/>
        <v>GENERAL SERVICE 1,000 TO 4,999 KW SERVICE CLASSIFICATION</v>
      </c>
      <c r="C249" s="117"/>
      <c r="D249" s="156" t="s">
        <v>174</v>
      </c>
      <c r="E249" s="119"/>
      <c r="F249" s="127">
        <f>'[1]17. Regulatory Charges'!$D$16</f>
        <v>2.9999999999999997E-4</v>
      </c>
      <c r="G249" s="141">
        <f>E221*E223</f>
        <v>1689600</v>
      </c>
      <c r="H249" s="157">
        <f t="shared" si="42"/>
        <v>506.87999999999994</v>
      </c>
      <c r="I249" s="128">
        <v>2.9999999999999997E-4</v>
      </c>
      <c r="J249" s="141">
        <f>E221*E224</f>
        <v>1689600</v>
      </c>
      <c r="K249" s="157">
        <f t="shared" si="43"/>
        <v>506.87999999999994</v>
      </c>
      <c r="L249" s="125">
        <f t="shared" si="36"/>
        <v>0</v>
      </c>
      <c r="M249" s="126">
        <f t="shared" si="44"/>
        <v>0</v>
      </c>
    </row>
    <row r="250" spans="1:13" x14ac:dyDescent="0.25">
      <c r="A250" s="100" t="str">
        <f t="shared" si="39"/>
        <v>GENERAL SERVICE 1,000 TO 4,999 KW SERVICE CLASSIFICATION</v>
      </c>
      <c r="C250" s="117"/>
      <c r="D250" s="158" t="s">
        <v>175</v>
      </c>
      <c r="E250" s="119"/>
      <c r="F250" s="145">
        <v>0.25</v>
      </c>
      <c r="G250" s="121">
        <v>1</v>
      </c>
      <c r="H250" s="157">
        <f t="shared" si="42"/>
        <v>0.25</v>
      </c>
      <c r="I250" s="146">
        <f>'[1]17. Regulatory Charges'!$D$17</f>
        <v>0.25</v>
      </c>
      <c r="J250" s="124">
        <v>1</v>
      </c>
      <c r="K250" s="157">
        <f t="shared" si="43"/>
        <v>0.25</v>
      </c>
      <c r="L250" s="125">
        <f t="shared" si="36"/>
        <v>0</v>
      </c>
      <c r="M250" s="126">
        <f t="shared" si="44"/>
        <v>0</v>
      </c>
    </row>
    <row r="251" spans="1:13" ht="25.5" x14ac:dyDescent="0.25">
      <c r="A251" s="100" t="str">
        <f t="shared" si="39"/>
        <v>GENERAL SERVICE 1,000 TO 4,999 KW SERVICE CLASSIFICATION</v>
      </c>
      <c r="C251" s="117"/>
      <c r="D251" s="156" t="s">
        <v>176</v>
      </c>
      <c r="E251" s="119"/>
      <c r="F251" s="127"/>
      <c r="G251" s="141"/>
      <c r="H251" s="157"/>
      <c r="I251" s="128"/>
      <c r="J251" s="141"/>
      <c r="K251" s="157"/>
      <c r="L251" s="125"/>
      <c r="M251" s="126"/>
    </row>
    <row r="252" spans="1:13" hidden="1" x14ac:dyDescent="0.25">
      <c r="A252" s="100" t="str">
        <f t="shared" si="39"/>
        <v>GENERAL SERVICE 1,000 TO 4,999 KW SERVICE CLASSIFICATION</v>
      </c>
      <c r="B252" s="105" t="s">
        <v>117</v>
      </c>
      <c r="C252" s="117"/>
      <c r="D252" s="159" t="s">
        <v>177</v>
      </c>
      <c r="E252" s="119"/>
      <c r="F252" s="160">
        <f>OffPeak</f>
        <v>6.5000000000000002E-2</v>
      </c>
      <c r="G252" s="161">
        <f>IF(AND(E221*12&gt;=150000),0.65*E221*E223,0.65*E221)</f>
        <v>1098240</v>
      </c>
      <c r="H252" s="157">
        <f t="shared" si="42"/>
        <v>71385.600000000006</v>
      </c>
      <c r="I252" s="162">
        <f>OffPeak</f>
        <v>6.5000000000000002E-2</v>
      </c>
      <c r="J252" s="161">
        <f>IF(AND(E221*12&gt;=150000),0.65*E221*E224,0.65*E221)</f>
        <v>1098240</v>
      </c>
      <c r="K252" s="157">
        <f t="shared" si="43"/>
        <v>71385.600000000006</v>
      </c>
      <c r="L252" s="125">
        <f>K252-H252</f>
        <v>0</v>
      </c>
      <c r="M252" s="126">
        <f t="shared" si="44"/>
        <v>0</v>
      </c>
    </row>
    <row r="253" spans="1:13" hidden="1" x14ac:dyDescent="0.25">
      <c r="A253" s="100" t="str">
        <f t="shared" si="39"/>
        <v>GENERAL SERVICE 1,000 TO 4,999 KW SERVICE CLASSIFICATION</v>
      </c>
      <c r="B253" s="105" t="s">
        <v>117</v>
      </c>
      <c r="C253" s="117"/>
      <c r="D253" s="159" t="s">
        <v>178</v>
      </c>
      <c r="E253" s="119"/>
      <c r="F253" s="160">
        <f>MidPeak</f>
        <v>9.4E-2</v>
      </c>
      <c r="G253" s="161">
        <f>IF(AND(E221*12&gt;=150000),0.17*E221*E223,0.17*E221)</f>
        <v>287232</v>
      </c>
      <c r="H253" s="157">
        <f t="shared" si="42"/>
        <v>26999.808000000001</v>
      </c>
      <c r="I253" s="162">
        <f>MidPeak</f>
        <v>9.4E-2</v>
      </c>
      <c r="J253" s="161">
        <f>IF(AND(E221*12&gt;=150000),0.17*E221*E224,0.17*E221)</f>
        <v>287232</v>
      </c>
      <c r="K253" s="157">
        <f t="shared" si="43"/>
        <v>26999.808000000001</v>
      </c>
      <c r="L253" s="125">
        <f>K253-H253</f>
        <v>0</v>
      </c>
      <c r="M253" s="126">
        <f t="shared" si="44"/>
        <v>0</v>
      </c>
    </row>
    <row r="254" spans="1:13" hidden="1" x14ac:dyDescent="0.25">
      <c r="A254" s="100" t="str">
        <f t="shared" si="39"/>
        <v>GENERAL SERVICE 1,000 TO 4,999 KW SERVICE CLASSIFICATION</v>
      </c>
      <c r="B254" s="105" t="s">
        <v>117</v>
      </c>
      <c r="C254" s="117"/>
      <c r="D254" s="105" t="s">
        <v>179</v>
      </c>
      <c r="E254" s="119"/>
      <c r="F254" s="160">
        <f>OnPeak</f>
        <v>0.13200000000000001</v>
      </c>
      <c r="G254" s="161">
        <f>IF(AND(E221*12&gt;=150000),0.18*E221*E223,0.18*E221)</f>
        <v>304128</v>
      </c>
      <c r="H254" s="157">
        <f t="shared" si="42"/>
        <v>40144.896000000001</v>
      </c>
      <c r="I254" s="162">
        <f>OnPeak</f>
        <v>0.13200000000000001</v>
      </c>
      <c r="J254" s="161">
        <f>IF(AND(E221*12&gt;=150000),0.18*E221*E224,0.18*E221)</f>
        <v>304128</v>
      </c>
      <c r="K254" s="157">
        <f t="shared" si="43"/>
        <v>40144.896000000001</v>
      </c>
      <c r="L254" s="125">
        <f>K254-H254</f>
        <v>0</v>
      </c>
      <c r="M254" s="126">
        <f t="shared" si="44"/>
        <v>0</v>
      </c>
    </row>
    <row r="255" spans="1:13" hidden="1" x14ac:dyDescent="0.25">
      <c r="A255" s="100" t="str">
        <f t="shared" si="39"/>
        <v>GENERAL SERVICE 1,000 TO 4,999 KW SERVICE CLASSIFICATION</v>
      </c>
      <c r="B255" s="100" t="s">
        <v>180</v>
      </c>
      <c r="C255" s="117"/>
      <c r="D255" s="159" t="s">
        <v>181</v>
      </c>
      <c r="E255" s="119"/>
      <c r="F255" s="163">
        <v>0.1101</v>
      </c>
      <c r="G255" s="161">
        <f>IF(AND(E221*12&gt;=150000),E221*E223,E221)</f>
        <v>1689600</v>
      </c>
      <c r="H255" s="157">
        <f>G255*F255</f>
        <v>186024.95999999999</v>
      </c>
      <c r="I255" s="164">
        <f>F255</f>
        <v>0.1101</v>
      </c>
      <c r="J255" s="161">
        <f>IF(AND(E221*12&gt;=150000),E221*E224,E221)</f>
        <v>1689600</v>
      </c>
      <c r="K255" s="157">
        <f>J255*I255</f>
        <v>186024.95999999999</v>
      </c>
      <c r="L255" s="125">
        <f>K255-H255</f>
        <v>0</v>
      </c>
      <c r="M255" s="126">
        <f t="shared" si="44"/>
        <v>0</v>
      </c>
    </row>
    <row r="256" spans="1:13" ht="15.75" thickBot="1" x14ac:dyDescent="0.3">
      <c r="A256" s="100" t="str">
        <f t="shared" si="39"/>
        <v>GENERAL SERVICE 1,000 TO 4,999 KW SERVICE CLASSIFICATION</v>
      </c>
      <c r="B256" s="100" t="s">
        <v>121</v>
      </c>
      <c r="C256" s="117"/>
      <c r="D256" s="159" t="s">
        <v>182</v>
      </c>
      <c r="E256" s="119"/>
      <c r="F256" s="163">
        <v>0.1101</v>
      </c>
      <c r="G256" s="161">
        <f>IF(AND(E221*12&gt;=150000),E221*E223,E221)</f>
        <v>1689600</v>
      </c>
      <c r="H256" s="157">
        <f>G256*F256</f>
        <v>186024.95999999999</v>
      </c>
      <c r="I256" s="164">
        <f>F256</f>
        <v>0.1101</v>
      </c>
      <c r="J256" s="161">
        <f>IF(AND(E221*12&gt;=150000),E221*E224,E221)</f>
        <v>1689600</v>
      </c>
      <c r="K256" s="157">
        <f>J256*I256</f>
        <v>186024.95999999999</v>
      </c>
      <c r="L256" s="125">
        <f>K256-H256</f>
        <v>0</v>
      </c>
      <c r="M256" s="126">
        <f t="shared" si="44"/>
        <v>0</v>
      </c>
    </row>
    <row r="257" spans="1:13" ht="15.75" thickBot="1" x14ac:dyDescent="0.3">
      <c r="A257" s="100" t="str">
        <f t="shared" si="39"/>
        <v>GENERAL SERVICE 1,000 TO 4,999 KW SERVICE CLASSIFICATION</v>
      </c>
      <c r="B257" s="105"/>
      <c r="C257" s="117"/>
      <c r="D257" s="165"/>
      <c r="E257" s="166"/>
      <c r="F257" s="167"/>
      <c r="G257" s="168"/>
      <c r="H257" s="169"/>
      <c r="I257" s="167"/>
      <c r="J257" s="170"/>
      <c r="K257" s="169"/>
      <c r="L257" s="171"/>
      <c r="M257" s="172"/>
    </row>
    <row r="258" spans="1:13" hidden="1" x14ac:dyDescent="0.25">
      <c r="A258" s="100" t="str">
        <f t="shared" si="39"/>
        <v>GENERAL SERVICE 1,000 TO 4,999 KW SERVICE CLASSIFICATION</v>
      </c>
      <c r="B258" s="105" t="s">
        <v>117</v>
      </c>
      <c r="C258" s="117"/>
      <c r="D258" s="173" t="s">
        <v>183</v>
      </c>
      <c r="E258" s="158"/>
      <c r="F258" s="174"/>
      <c r="G258" s="175"/>
      <c r="H258" s="176">
        <f>SUM(H248:H254,H247)</f>
        <v>164658.54399999999</v>
      </c>
      <c r="I258" s="177"/>
      <c r="J258" s="177"/>
      <c r="K258" s="176">
        <f>SUM(K248:K254,K247)</f>
        <v>185102.274</v>
      </c>
      <c r="L258" s="178">
        <f>K258-H258</f>
        <v>20443.73000000001</v>
      </c>
      <c r="M258" s="179">
        <f>IF((H258)=0,"",(L258/H258))</f>
        <v>0.12415833095183941</v>
      </c>
    </row>
    <row r="259" spans="1:13" hidden="1" x14ac:dyDescent="0.25">
      <c r="A259" s="100" t="str">
        <f t="shared" si="39"/>
        <v>GENERAL SERVICE 1,000 TO 4,999 KW SERVICE CLASSIFICATION</v>
      </c>
      <c r="B259" s="105" t="s">
        <v>117</v>
      </c>
      <c r="C259" s="117"/>
      <c r="D259" s="180" t="s">
        <v>184</v>
      </c>
      <c r="E259" s="158"/>
      <c r="F259" s="174">
        <v>0.13</v>
      </c>
      <c r="G259" s="181"/>
      <c r="H259" s="182">
        <f>H258*F259</f>
        <v>21405.610720000001</v>
      </c>
      <c r="I259" s="183">
        <v>0.13</v>
      </c>
      <c r="J259" s="121"/>
      <c r="K259" s="182">
        <f>K258*I259</f>
        <v>24063.295620000001</v>
      </c>
      <c r="L259" s="184">
        <f>K259-H259</f>
        <v>2657.6849000000002</v>
      </c>
      <c r="M259" s="185">
        <f>IF((H259)=0,"",(L259/H259))</f>
        <v>0.12415833095183934</v>
      </c>
    </row>
    <row r="260" spans="1:13" hidden="1" x14ac:dyDescent="0.25">
      <c r="A260" s="100" t="str">
        <f t="shared" si="39"/>
        <v>GENERAL SERVICE 1,000 TO 4,999 KW SERVICE CLASSIFICATION</v>
      </c>
      <c r="B260" s="105" t="s">
        <v>117</v>
      </c>
      <c r="C260" s="117"/>
      <c r="D260" s="180" t="s">
        <v>185</v>
      </c>
      <c r="E260" s="158"/>
      <c r="F260" s="174">
        <v>0.08</v>
      </c>
      <c r="G260" s="181"/>
      <c r="H260" s="182">
        <v>0</v>
      </c>
      <c r="I260" s="174">
        <v>0.08</v>
      </c>
      <c r="J260" s="121"/>
      <c r="K260" s="182">
        <v>0</v>
      </c>
      <c r="L260" s="184">
        <f>K260-H260</f>
        <v>0</v>
      </c>
      <c r="M260" s="185"/>
    </row>
    <row r="261" spans="1:13" ht="15.75" hidden="1" thickBot="1" x14ac:dyDescent="0.3">
      <c r="A261" s="100" t="str">
        <f t="shared" si="39"/>
        <v>GENERAL SERVICE 1,000 TO 4,999 KW SERVICE CLASSIFICATION</v>
      </c>
      <c r="B261" s="105" t="s">
        <v>186</v>
      </c>
      <c r="C261" s="117"/>
      <c r="D261" s="301" t="s">
        <v>187</v>
      </c>
      <c r="E261" s="301"/>
      <c r="F261" s="186"/>
      <c r="G261" s="187"/>
      <c r="H261" s="188">
        <f>H258+H259+H260</f>
        <v>186064.15471999999</v>
      </c>
      <c r="I261" s="189"/>
      <c r="J261" s="189"/>
      <c r="K261" s="190">
        <f>K258+K259+K260</f>
        <v>209165.56961999999</v>
      </c>
      <c r="L261" s="191">
        <f>K261-H261</f>
        <v>23101.414900000003</v>
      </c>
      <c r="M261" s="192">
        <f>IF((H261)=0,"",(L261/H261))</f>
        <v>0.12415833095183937</v>
      </c>
    </row>
    <row r="262" spans="1:13" ht="15.75" hidden="1" thickBot="1" x14ac:dyDescent="0.3">
      <c r="A262" s="100" t="str">
        <f t="shared" si="39"/>
        <v>GENERAL SERVICE 1,000 TO 4,999 KW SERVICE CLASSIFICATION</v>
      </c>
      <c r="B262" s="100" t="s">
        <v>117</v>
      </c>
      <c r="C262" s="117"/>
      <c r="D262" s="165"/>
      <c r="E262" s="166"/>
      <c r="F262" s="167"/>
      <c r="G262" s="168"/>
      <c r="H262" s="169"/>
      <c r="I262" s="167"/>
      <c r="J262" s="170"/>
      <c r="K262" s="169"/>
      <c r="L262" s="171"/>
      <c r="M262" s="172"/>
    </row>
    <row r="263" spans="1:13" hidden="1" x14ac:dyDescent="0.25">
      <c r="A263" s="100" t="str">
        <f t="shared" si="39"/>
        <v>GENERAL SERVICE 1,000 TO 4,999 KW SERVICE CLASSIFICATION</v>
      </c>
      <c r="B263" s="100" t="s">
        <v>180</v>
      </c>
      <c r="C263" s="117"/>
      <c r="D263" s="173" t="s">
        <v>188</v>
      </c>
      <c r="E263" s="158"/>
      <c r="F263" s="174"/>
      <c r="G263" s="175"/>
      <c r="H263" s="176">
        <f>SUM(H255,H248:H251,H247)</f>
        <v>212153.19999999998</v>
      </c>
      <c r="I263" s="177"/>
      <c r="J263" s="177"/>
      <c r="K263" s="176">
        <f>SUM(K255,K248:K251,K247)</f>
        <v>232596.93</v>
      </c>
      <c r="L263" s="178">
        <f>K263-H263</f>
        <v>20443.73000000001</v>
      </c>
      <c r="M263" s="179">
        <f>IF((H263)=0,"",(L263/H263))</f>
        <v>9.6363052737361551E-2</v>
      </c>
    </row>
    <row r="264" spans="1:13" hidden="1" x14ac:dyDescent="0.25">
      <c r="A264" s="100" t="str">
        <f t="shared" si="39"/>
        <v>GENERAL SERVICE 1,000 TO 4,999 KW SERVICE CLASSIFICATION</v>
      </c>
      <c r="B264" s="100" t="s">
        <v>180</v>
      </c>
      <c r="C264" s="117"/>
      <c r="D264" s="180" t="s">
        <v>184</v>
      </c>
      <c r="E264" s="158"/>
      <c r="F264" s="174">
        <v>0.13</v>
      </c>
      <c r="G264" s="175"/>
      <c r="H264" s="182">
        <f>H263*F264</f>
        <v>27579.915999999997</v>
      </c>
      <c r="I264" s="174">
        <v>0.13</v>
      </c>
      <c r="J264" s="183"/>
      <c r="K264" s="182">
        <f>K263*I264</f>
        <v>30237.600900000001</v>
      </c>
      <c r="L264" s="184">
        <f>K264-H264</f>
        <v>2657.6849000000038</v>
      </c>
      <c r="M264" s="185">
        <f>IF((H264)=0,"",(L264/H264))</f>
        <v>9.6363052737361635E-2</v>
      </c>
    </row>
    <row r="265" spans="1:13" hidden="1" x14ac:dyDescent="0.25">
      <c r="A265" s="100" t="str">
        <f t="shared" si="39"/>
        <v>GENERAL SERVICE 1,000 TO 4,999 KW SERVICE CLASSIFICATION</v>
      </c>
      <c r="B265" s="100" t="s">
        <v>180</v>
      </c>
      <c r="C265" s="117"/>
      <c r="D265" s="180" t="s">
        <v>185</v>
      </c>
      <c r="E265" s="158"/>
      <c r="F265" s="174">
        <v>0.08</v>
      </c>
      <c r="G265" s="175"/>
      <c r="H265" s="182">
        <v>0</v>
      </c>
      <c r="I265" s="174">
        <v>0.08</v>
      </c>
      <c r="J265" s="183"/>
      <c r="K265" s="182">
        <v>0</v>
      </c>
      <c r="L265" s="184"/>
      <c r="M265" s="185"/>
    </row>
    <row r="266" spans="1:13" ht="15.75" hidden="1" thickBot="1" x14ac:dyDescent="0.3">
      <c r="A266" s="100" t="str">
        <f t="shared" si="39"/>
        <v>GENERAL SERVICE 1,000 TO 4,999 KW SERVICE CLASSIFICATION</v>
      </c>
      <c r="B266" s="100" t="s">
        <v>189</v>
      </c>
      <c r="C266" s="117"/>
      <c r="D266" s="301" t="s">
        <v>188</v>
      </c>
      <c r="E266" s="301"/>
      <c r="F266" s="193"/>
      <c r="G266" s="194"/>
      <c r="H266" s="188">
        <f>SUM(H263,H264)</f>
        <v>239733.11599999998</v>
      </c>
      <c r="I266" s="195"/>
      <c r="J266" s="195"/>
      <c r="K266" s="188">
        <f>SUM(K263,K264)</f>
        <v>262834.53090000001</v>
      </c>
      <c r="L266" s="196">
        <f>K266-H266</f>
        <v>23101.414900000033</v>
      </c>
      <c r="M266" s="197">
        <f>IF((H266)=0,"",(L266/H266))</f>
        <v>9.6363052737361635E-2</v>
      </c>
    </row>
    <row r="267" spans="1:13" ht="15.75" hidden="1" thickBot="1" x14ac:dyDescent="0.3">
      <c r="A267" s="100" t="str">
        <f t="shared" si="39"/>
        <v>GENERAL SERVICE 1,000 TO 4,999 KW SERVICE CLASSIFICATION</v>
      </c>
      <c r="B267" s="100" t="s">
        <v>180</v>
      </c>
      <c r="C267" s="117"/>
      <c r="D267" s="165"/>
      <c r="E267" s="166"/>
      <c r="F267" s="198"/>
      <c r="G267" s="199"/>
      <c r="H267" s="200"/>
      <c r="I267" s="198"/>
      <c r="J267" s="168"/>
      <c r="K267" s="200"/>
      <c r="L267" s="201"/>
      <c r="M267" s="172"/>
    </row>
    <row r="268" spans="1:13" x14ac:dyDescent="0.25">
      <c r="A268" s="100" t="str">
        <f t="shared" si="39"/>
        <v>GENERAL SERVICE 1,000 TO 4,999 KW SERVICE CLASSIFICATION</v>
      </c>
      <c r="B268" s="100" t="s">
        <v>121</v>
      </c>
      <c r="C268" s="117"/>
      <c r="D268" s="173" t="s">
        <v>190</v>
      </c>
      <c r="E268" s="158"/>
      <c r="F268" s="174"/>
      <c r="G268" s="175"/>
      <c r="H268" s="176">
        <f>SUM(H256,H248:H251,H247)</f>
        <v>212153.19999999998</v>
      </c>
      <c r="I268" s="177"/>
      <c r="J268" s="177"/>
      <c r="K268" s="176">
        <f>SUM(K256,K248:K251,K247)</f>
        <v>232596.93</v>
      </c>
      <c r="L268" s="178">
        <f>K268-H268</f>
        <v>20443.73000000001</v>
      </c>
      <c r="M268" s="179">
        <f>IF((H268)=0,"",(L268/H268))</f>
        <v>9.6363052737361551E-2</v>
      </c>
    </row>
    <row r="269" spans="1:13" x14ac:dyDescent="0.25">
      <c r="A269" s="100" t="str">
        <f t="shared" si="39"/>
        <v>GENERAL SERVICE 1,000 TO 4,999 KW SERVICE CLASSIFICATION</v>
      </c>
      <c r="B269" s="100" t="s">
        <v>121</v>
      </c>
      <c r="C269" s="117"/>
      <c r="D269" s="180" t="s">
        <v>184</v>
      </c>
      <c r="E269" s="158"/>
      <c r="F269" s="174">
        <v>0.13</v>
      </c>
      <c r="G269" s="175"/>
      <c r="H269" s="182">
        <f>H268*F269</f>
        <v>27579.915999999997</v>
      </c>
      <c r="I269" s="174">
        <v>0.13</v>
      </c>
      <c r="J269" s="183"/>
      <c r="K269" s="182">
        <f>K268*I269</f>
        <v>30237.600900000001</v>
      </c>
      <c r="L269" s="184">
        <f>K269-H269</f>
        <v>2657.6849000000038</v>
      </c>
      <c r="M269" s="185">
        <f>IF((H269)=0,"",(L269/H269))</f>
        <v>9.6363052737361635E-2</v>
      </c>
    </row>
    <row r="270" spans="1:13" x14ac:dyDescent="0.25">
      <c r="A270" s="100" t="str">
        <f t="shared" si="39"/>
        <v>GENERAL SERVICE 1,000 TO 4,999 KW SERVICE CLASSIFICATION</v>
      </c>
      <c r="B270" s="100" t="s">
        <v>121</v>
      </c>
      <c r="C270" s="117"/>
      <c r="D270" s="180" t="s">
        <v>185</v>
      </c>
      <c r="E270" s="158"/>
      <c r="F270" s="174">
        <v>0.08</v>
      </c>
      <c r="G270" s="175"/>
      <c r="H270" s="182">
        <v>0</v>
      </c>
      <c r="I270" s="174">
        <v>0.08</v>
      </c>
      <c r="J270" s="183"/>
      <c r="K270" s="182">
        <v>0</v>
      </c>
      <c r="L270" s="184"/>
      <c r="M270" s="185"/>
    </row>
    <row r="271" spans="1:13" ht="15.75" thickBot="1" x14ac:dyDescent="0.3">
      <c r="A271" s="100" t="str">
        <f t="shared" si="39"/>
        <v>GENERAL SERVICE 1,000 TO 4,999 KW SERVICE CLASSIFICATION</v>
      </c>
      <c r="B271" s="100" t="s">
        <v>191</v>
      </c>
      <c r="C271" s="117">
        <f>B6</f>
        <v>4</v>
      </c>
      <c r="D271" s="301" t="s">
        <v>190</v>
      </c>
      <c r="E271" s="301"/>
      <c r="F271" s="193"/>
      <c r="G271" s="194"/>
      <c r="H271" s="188">
        <f>SUM(H268,H269)</f>
        <v>239733.11599999998</v>
      </c>
      <c r="I271" s="195"/>
      <c r="J271" s="195"/>
      <c r="K271" s="188">
        <f>SUM(K268,K269)</f>
        <v>262834.53090000001</v>
      </c>
      <c r="L271" s="196">
        <f>K271-H271</f>
        <v>23101.414900000033</v>
      </c>
      <c r="M271" s="197">
        <f>IF((H271)=0,"",(L271/H271))</f>
        <v>9.6363052737361635E-2</v>
      </c>
    </row>
    <row r="272" spans="1:13" ht="15.75" thickBot="1" x14ac:dyDescent="0.3">
      <c r="A272" s="100" t="str">
        <f t="shared" si="39"/>
        <v>GENERAL SERVICE 1,000 TO 4,999 KW SERVICE CLASSIFICATION</v>
      </c>
      <c r="B272" s="100" t="s">
        <v>121</v>
      </c>
      <c r="C272" s="117"/>
      <c r="D272" s="165"/>
      <c r="E272" s="166"/>
      <c r="F272" s="202"/>
      <c r="G272" s="203"/>
      <c r="H272" s="204"/>
      <c r="I272" s="202"/>
      <c r="J272" s="205"/>
      <c r="K272" s="204"/>
      <c r="L272" s="206"/>
      <c r="M272" s="207"/>
    </row>
    <row r="275" spans="1:13" x14ac:dyDescent="0.25">
      <c r="C275" s="100"/>
      <c r="D275" s="101" t="s">
        <v>134</v>
      </c>
      <c r="E275" s="302" t="str">
        <f>D7</f>
        <v>UNMETERED SCATTERED LOAD SERVICE CLASSIFICATION</v>
      </c>
      <c r="F275" s="302"/>
      <c r="G275" s="302"/>
      <c r="H275" s="302"/>
      <c r="I275" s="302"/>
      <c r="J275" s="302"/>
      <c r="K275" s="100" t="str">
        <f>IF(N7="DEMAND - INTERVAL","RTSR - INTERVAL METERED","")</f>
        <v/>
      </c>
    </row>
    <row r="276" spans="1:13" x14ac:dyDescent="0.25">
      <c r="C276" s="100"/>
      <c r="D276" s="101" t="s">
        <v>135</v>
      </c>
      <c r="E276" s="303" t="str">
        <f>H7</f>
        <v>RPP</v>
      </c>
      <c r="F276" s="303"/>
      <c r="G276" s="303"/>
      <c r="H276" s="102"/>
      <c r="I276" s="102"/>
    </row>
    <row r="277" spans="1:13" ht="15.75" x14ac:dyDescent="0.25">
      <c r="C277" s="100"/>
      <c r="D277" s="101" t="s">
        <v>136</v>
      </c>
      <c r="E277" s="103">
        <f>K7</f>
        <v>150</v>
      </c>
      <c r="F277" s="104" t="s">
        <v>137</v>
      </c>
      <c r="G277" s="105"/>
      <c r="J277" s="106"/>
      <c r="K277" s="106"/>
      <c r="L277" s="106"/>
      <c r="M277" s="106"/>
    </row>
    <row r="278" spans="1:13" ht="15.75" x14ac:dyDescent="0.25">
      <c r="C278" s="100"/>
      <c r="D278" s="101" t="s">
        <v>138</v>
      </c>
      <c r="E278" s="103">
        <f>L7</f>
        <v>0</v>
      </c>
      <c r="F278" s="107" t="s">
        <v>139</v>
      </c>
      <c r="G278" s="108"/>
      <c r="H278" s="109"/>
      <c r="I278" s="109"/>
      <c r="J278" s="109"/>
    </row>
    <row r="279" spans="1:13" x14ac:dyDescent="0.25">
      <c r="C279" s="100"/>
      <c r="D279" s="101" t="s">
        <v>140</v>
      </c>
      <c r="E279" s="110">
        <f>I7</f>
        <v>1.056</v>
      </c>
    </row>
    <row r="280" spans="1:13" x14ac:dyDescent="0.25">
      <c r="C280" s="100"/>
      <c r="D280" s="101" t="s">
        <v>141</v>
      </c>
      <c r="E280" s="110">
        <f>J7</f>
        <v>1.056</v>
      </c>
    </row>
    <row r="281" spans="1:13" x14ac:dyDescent="0.25">
      <c r="C281" s="100"/>
      <c r="D281" s="105"/>
    </row>
    <row r="282" spans="1:13" x14ac:dyDescent="0.25">
      <c r="C282" s="100"/>
      <c r="D282" s="105"/>
      <c r="E282" s="111"/>
      <c r="F282" s="304" t="s">
        <v>142</v>
      </c>
      <c r="G282" s="305"/>
      <c r="H282" s="306"/>
      <c r="I282" s="304" t="s">
        <v>143</v>
      </c>
      <c r="J282" s="305"/>
      <c r="K282" s="306"/>
      <c r="L282" s="304" t="s">
        <v>144</v>
      </c>
      <c r="M282" s="306"/>
    </row>
    <row r="283" spans="1:13" x14ac:dyDescent="0.25">
      <c r="C283" s="100"/>
      <c r="D283" s="105"/>
      <c r="E283" s="295"/>
      <c r="F283" s="112" t="s">
        <v>145</v>
      </c>
      <c r="G283" s="112" t="s">
        <v>146</v>
      </c>
      <c r="H283" s="113" t="s">
        <v>147</v>
      </c>
      <c r="I283" s="112" t="s">
        <v>145</v>
      </c>
      <c r="J283" s="114" t="s">
        <v>146</v>
      </c>
      <c r="K283" s="113" t="s">
        <v>147</v>
      </c>
      <c r="L283" s="297" t="s">
        <v>148</v>
      </c>
      <c r="M283" s="299" t="s">
        <v>149</v>
      </c>
    </row>
    <row r="284" spans="1:13" x14ac:dyDescent="0.25">
      <c r="C284" s="100"/>
      <c r="D284" s="105"/>
      <c r="E284" s="296"/>
      <c r="F284" s="115" t="s">
        <v>150</v>
      </c>
      <c r="G284" s="115"/>
      <c r="H284" s="116" t="s">
        <v>150</v>
      </c>
      <c r="I284" s="115" t="s">
        <v>150</v>
      </c>
      <c r="J284" s="116"/>
      <c r="K284" s="116" t="s">
        <v>150</v>
      </c>
      <c r="L284" s="298"/>
      <c r="M284" s="300"/>
    </row>
    <row r="285" spans="1:13" x14ac:dyDescent="0.25">
      <c r="A285" s="100" t="str">
        <f>$E275</f>
        <v>UNMETERED SCATTERED LOAD SERVICE CLASSIFICATION</v>
      </c>
      <c r="C285" s="117"/>
      <c r="D285" s="118" t="s">
        <v>151</v>
      </c>
      <c r="E285" s="119"/>
      <c r="F285" s="120">
        <v>7.97</v>
      </c>
      <c r="G285" s="121">
        <v>1</v>
      </c>
      <c r="H285" s="122">
        <f>G285*F285</f>
        <v>7.97</v>
      </c>
      <c r="I285" s="123">
        <v>8.07</v>
      </c>
      <c r="J285" s="124">
        <v>1</v>
      </c>
      <c r="K285" s="122">
        <f>J285*I285</f>
        <v>8.07</v>
      </c>
      <c r="L285" s="125">
        <f t="shared" ref="L285:L306" si="45">K285-H285</f>
        <v>0.10000000000000053</v>
      </c>
      <c r="M285" s="126">
        <f>IF(ISERROR(L285/H285), "", L285/H285)</f>
        <v>1.2547051442910984E-2</v>
      </c>
    </row>
    <row r="286" spans="1:13" x14ac:dyDescent="0.25">
      <c r="A286" s="100" t="str">
        <f>A285</f>
        <v>UNMETERED SCATTERED LOAD SERVICE CLASSIFICATION</v>
      </c>
      <c r="C286" s="117"/>
      <c r="D286" s="118" t="s">
        <v>152</v>
      </c>
      <c r="E286" s="119"/>
      <c r="F286" s="127">
        <v>5.4000000000000003E-3</v>
      </c>
      <c r="G286" s="121">
        <f>IF($E278&gt;0, $E278, $E277)</f>
        <v>150</v>
      </c>
      <c r="H286" s="122">
        <f t="shared" ref="H286:H298" si="46">G286*F286</f>
        <v>0.81</v>
      </c>
      <c r="I286" s="128">
        <v>5.4999999999999997E-3</v>
      </c>
      <c r="J286" s="124">
        <f>IF($E278&gt;0, $E278, $E277)</f>
        <v>150</v>
      </c>
      <c r="K286" s="122">
        <f>J286*I286</f>
        <v>0.82499999999999996</v>
      </c>
      <c r="L286" s="125">
        <f t="shared" si="45"/>
        <v>1.4999999999999902E-2</v>
      </c>
      <c r="M286" s="126">
        <f t="shared" ref="M286:M296" si="47">IF(ISERROR(L286/H286), "", L286/H286)</f>
        <v>1.8518518518518396E-2</v>
      </c>
    </row>
    <row r="287" spans="1:13" x14ac:dyDescent="0.25">
      <c r="A287" s="100" t="str">
        <f t="shared" ref="A287:A328" si="48">A286</f>
        <v>UNMETERED SCATTERED LOAD SERVICE CLASSIFICATION</v>
      </c>
      <c r="C287" s="117"/>
      <c r="D287" s="118" t="s">
        <v>153</v>
      </c>
      <c r="E287" s="119"/>
      <c r="F287" s="127"/>
      <c r="G287" s="121"/>
      <c r="H287" s="122">
        <v>0</v>
      </c>
      <c r="I287" s="128"/>
      <c r="J287" s="124">
        <f>IF($E278&gt;0, $E278, $E277)</f>
        <v>150</v>
      </c>
      <c r="K287" s="122">
        <v>0</v>
      </c>
      <c r="L287" s="125"/>
      <c r="M287" s="126"/>
    </row>
    <row r="288" spans="1:13" x14ac:dyDescent="0.25">
      <c r="A288" s="100" t="str">
        <f t="shared" si="48"/>
        <v>UNMETERED SCATTERED LOAD SERVICE CLASSIFICATION</v>
      </c>
      <c r="C288" s="117"/>
      <c r="D288" s="118" t="s">
        <v>154</v>
      </c>
      <c r="E288" s="119"/>
      <c r="F288" s="127"/>
      <c r="G288" s="121">
        <f>IF($E278&gt;0, $E278, $E277)</f>
        <v>150</v>
      </c>
      <c r="H288" s="122">
        <v>0</v>
      </c>
      <c r="I288" s="128"/>
      <c r="J288" s="121">
        <f>IF($E278&gt;0, $E278, $E277)</f>
        <v>150</v>
      </c>
      <c r="K288" s="122">
        <v>0</v>
      </c>
      <c r="L288" s="125">
        <f>K288-H288</f>
        <v>0</v>
      </c>
      <c r="M288" s="126" t="str">
        <f>IF(ISERROR(L288/H288), "", L288/H288)</f>
        <v/>
      </c>
    </row>
    <row r="289" spans="1:13" x14ac:dyDescent="0.25">
      <c r="A289" s="100" t="str">
        <f t="shared" si="48"/>
        <v>UNMETERED SCATTERED LOAD SERVICE CLASSIFICATION</v>
      </c>
      <c r="C289" s="117"/>
      <c r="D289" s="129" t="s">
        <v>155</v>
      </c>
      <c r="E289" s="119"/>
      <c r="F289" s="120">
        <v>0</v>
      </c>
      <c r="G289" s="121">
        <v>1</v>
      </c>
      <c r="H289" s="122">
        <f t="shared" si="46"/>
        <v>0</v>
      </c>
      <c r="I289" s="123">
        <v>0</v>
      </c>
      <c r="J289" s="124">
        <f>G289</f>
        <v>1</v>
      </c>
      <c r="K289" s="122">
        <f t="shared" ref="K289:K296" si="49">J289*I289</f>
        <v>0</v>
      </c>
      <c r="L289" s="125">
        <f t="shared" si="45"/>
        <v>0</v>
      </c>
      <c r="M289" s="126" t="str">
        <f t="shared" si="47"/>
        <v/>
      </c>
    </row>
    <row r="290" spans="1:13" x14ac:dyDescent="0.25">
      <c r="A290" s="100" t="str">
        <f t="shared" si="48"/>
        <v>UNMETERED SCATTERED LOAD SERVICE CLASSIFICATION</v>
      </c>
      <c r="C290" s="117"/>
      <c r="D290" s="118" t="s">
        <v>156</v>
      </c>
      <c r="E290" s="119"/>
      <c r="F290" s="127">
        <v>0</v>
      </c>
      <c r="G290" s="121">
        <f>IF($E278&gt;0, $E278, $E277)</f>
        <v>150</v>
      </c>
      <c r="H290" s="122">
        <f t="shared" si="46"/>
        <v>0</v>
      </c>
      <c r="I290" s="128">
        <v>0</v>
      </c>
      <c r="J290" s="124">
        <f>IF($E278&gt;0, $E278, $E277)</f>
        <v>150</v>
      </c>
      <c r="K290" s="122">
        <f t="shared" si="49"/>
        <v>0</v>
      </c>
      <c r="L290" s="125">
        <f t="shared" si="45"/>
        <v>0</v>
      </c>
      <c r="M290" s="126" t="str">
        <f t="shared" si="47"/>
        <v/>
      </c>
    </row>
    <row r="291" spans="1:13" x14ac:dyDescent="0.25">
      <c r="A291" s="100" t="str">
        <f t="shared" si="48"/>
        <v>UNMETERED SCATTERED LOAD SERVICE CLASSIFICATION</v>
      </c>
      <c r="B291" s="130" t="s">
        <v>157</v>
      </c>
      <c r="C291" s="117">
        <f>B7</f>
        <v>5</v>
      </c>
      <c r="D291" s="131" t="s">
        <v>158</v>
      </c>
      <c r="E291" s="132"/>
      <c r="F291" s="133"/>
      <c r="G291" s="134"/>
      <c r="H291" s="135">
        <f>SUM(H285:H290)</f>
        <v>8.7799999999999994</v>
      </c>
      <c r="I291" s="136"/>
      <c r="J291" s="137"/>
      <c r="K291" s="135">
        <f>SUM(K285:K290)</f>
        <v>8.8949999999999996</v>
      </c>
      <c r="L291" s="138">
        <f t="shared" si="45"/>
        <v>0.11500000000000021</v>
      </c>
      <c r="M291" s="139">
        <f>IF((H291)=0,"",(L291/H291))</f>
        <v>1.3097949886104809E-2</v>
      </c>
    </row>
    <row r="292" spans="1:13" x14ac:dyDescent="0.25">
      <c r="A292" s="100" t="str">
        <f t="shared" si="48"/>
        <v>UNMETERED SCATTERED LOAD SERVICE CLASSIFICATION</v>
      </c>
      <c r="C292" s="117"/>
      <c r="D292" s="140" t="s">
        <v>159</v>
      </c>
      <c r="E292" s="119"/>
      <c r="F292" s="127">
        <f>IF((E277*12&gt;=150000), 0, IF(E276="RPP",(F308*0.65+F309*0.17+F310*0.18),IF(E276="Non-RPP (Retailer)",F311,F312)))</f>
        <v>8.1990000000000007E-2</v>
      </c>
      <c r="G292" s="141">
        <f>IF(F292=0, 0, $E277*E279-E277)</f>
        <v>8.4000000000000057</v>
      </c>
      <c r="H292" s="122">
        <f>G292*F292</f>
        <v>0.68871600000000055</v>
      </c>
      <c r="I292" s="128">
        <f>IF((E277*12&gt;=150000), 0, IF(E276="RPP",(I308*0.65+I309*0.17+I310*0.18),IF(E276="Non-RPP (Retailer)",I311,I312)))</f>
        <v>8.1990000000000007E-2</v>
      </c>
      <c r="J292" s="141">
        <f>IF(I292=0, 0, E277*E280-E277)</f>
        <v>8.4000000000000057</v>
      </c>
      <c r="K292" s="122">
        <f>J292*I292</f>
        <v>0.68871600000000055</v>
      </c>
      <c r="L292" s="125">
        <f>K292-H292</f>
        <v>0</v>
      </c>
      <c r="M292" s="126">
        <f>IF(ISERROR(L292/H292), "", L292/H292)</f>
        <v>0</v>
      </c>
    </row>
    <row r="293" spans="1:13" ht="25.5" x14ac:dyDescent="0.25">
      <c r="A293" s="100" t="str">
        <f t="shared" si="48"/>
        <v>UNMETERED SCATTERED LOAD SERVICE CLASSIFICATION</v>
      </c>
      <c r="C293" s="117"/>
      <c r="D293" s="140" t="s">
        <v>160</v>
      </c>
      <c r="E293" s="119"/>
      <c r="F293" s="127">
        <v>-1.1999999999999999E-3</v>
      </c>
      <c r="G293" s="142">
        <f>IF($E278&gt;0, $E278, $E277)</f>
        <v>150</v>
      </c>
      <c r="H293" s="122">
        <f t="shared" si="46"/>
        <v>-0.18</v>
      </c>
      <c r="I293" s="128">
        <v>-5.3E-3</v>
      </c>
      <c r="J293" s="142">
        <f>IF($E278&gt;0, $E278, $E277)</f>
        <v>150</v>
      </c>
      <c r="K293" s="122">
        <f t="shared" si="49"/>
        <v>-0.79500000000000004</v>
      </c>
      <c r="L293" s="125">
        <f t="shared" si="45"/>
        <v>-0.61499999999999999</v>
      </c>
      <c r="M293" s="126">
        <f t="shared" si="47"/>
        <v>3.416666666666667</v>
      </c>
    </row>
    <row r="294" spans="1:13" x14ac:dyDescent="0.25">
      <c r="A294" s="100" t="str">
        <f t="shared" si="48"/>
        <v>UNMETERED SCATTERED LOAD SERVICE CLASSIFICATION</v>
      </c>
      <c r="C294" s="117"/>
      <c r="D294" s="140" t="s">
        <v>161</v>
      </c>
      <c r="E294" s="119"/>
      <c r="F294" s="127">
        <v>-1E-4</v>
      </c>
      <c r="G294" s="142">
        <f>IF($E278&gt;0, $E278, $E277)</f>
        <v>150</v>
      </c>
      <c r="H294" s="122">
        <f>G294*F294</f>
        <v>-1.5000000000000001E-2</v>
      </c>
      <c r="I294" s="128">
        <v>0</v>
      </c>
      <c r="J294" s="142">
        <f>IF($E278&gt;0, $E278, $E277)</f>
        <v>150</v>
      </c>
      <c r="K294" s="122">
        <f>J294*I294</f>
        <v>0</v>
      </c>
      <c r="L294" s="125">
        <f t="shared" si="45"/>
        <v>1.5000000000000001E-2</v>
      </c>
      <c r="M294" s="126">
        <f t="shared" si="47"/>
        <v>-1</v>
      </c>
    </row>
    <row r="295" spans="1:13" x14ac:dyDescent="0.25">
      <c r="A295" s="100" t="str">
        <f t="shared" si="48"/>
        <v>UNMETERED SCATTERED LOAD SERVICE CLASSIFICATION</v>
      </c>
      <c r="C295" s="117"/>
      <c r="D295" s="140" t="s">
        <v>162</v>
      </c>
      <c r="E295" s="119"/>
      <c r="F295" s="127">
        <v>0</v>
      </c>
      <c r="G295" s="142">
        <f>E277</f>
        <v>150</v>
      </c>
      <c r="H295" s="122">
        <f>G295*F295</f>
        <v>0</v>
      </c>
      <c r="I295" s="128">
        <v>0</v>
      </c>
      <c r="J295" s="142">
        <f>E277</f>
        <v>150</v>
      </c>
      <c r="K295" s="122">
        <f t="shared" si="49"/>
        <v>0</v>
      </c>
      <c r="L295" s="125">
        <f t="shared" si="45"/>
        <v>0</v>
      </c>
      <c r="M295" s="126" t="str">
        <f t="shared" si="47"/>
        <v/>
      </c>
    </row>
    <row r="296" spans="1:13" x14ac:dyDescent="0.25">
      <c r="A296" s="100" t="str">
        <f t="shared" si="48"/>
        <v>UNMETERED SCATTERED LOAD SERVICE CLASSIFICATION</v>
      </c>
      <c r="C296" s="117"/>
      <c r="D296" s="143" t="s">
        <v>163</v>
      </c>
      <c r="E296" s="119"/>
      <c r="F296" s="127">
        <v>2.3999999999999998E-3</v>
      </c>
      <c r="G296" s="142">
        <f>IF($E278&gt;0, $E278, $E277)</f>
        <v>150</v>
      </c>
      <c r="H296" s="122">
        <f t="shared" si="46"/>
        <v>0.36</v>
      </c>
      <c r="I296" s="128">
        <v>2.3999999999999998E-3</v>
      </c>
      <c r="J296" s="142">
        <f>IF($E278&gt;0, $E278, $E277)</f>
        <v>150</v>
      </c>
      <c r="K296" s="122">
        <f t="shared" si="49"/>
        <v>0.36</v>
      </c>
      <c r="L296" s="125">
        <f t="shared" si="45"/>
        <v>0</v>
      </c>
      <c r="M296" s="126">
        <f t="shared" si="47"/>
        <v>0</v>
      </c>
    </row>
    <row r="297" spans="1:13" ht="25.5" x14ac:dyDescent="0.25">
      <c r="A297" s="100" t="str">
        <f t="shared" si="48"/>
        <v>UNMETERED SCATTERED LOAD SERVICE CLASSIFICATION</v>
      </c>
      <c r="C297" s="117"/>
      <c r="D297" s="144" t="s">
        <v>164</v>
      </c>
      <c r="E297" s="119"/>
      <c r="F297" s="145">
        <f>IF(OR(ISNUMBER(SEARCH("RESIDENTIAL", E275))=TRUE, ISNUMBER(SEARCH("GENERAL SERVICE LESS THAN 50", E275))=TRUE), SME, 0)</f>
        <v>0</v>
      </c>
      <c r="G297" s="121">
        <v>1</v>
      </c>
      <c r="H297" s="122">
        <f>G297*F297</f>
        <v>0</v>
      </c>
      <c r="I297" s="146">
        <f>IF(OR(ISNUMBER(SEARCH("RESIDENTIAL", E275))=TRUE, ISNUMBER(SEARCH("GENERAL SERVICE LESS THAN 50", E275))=TRUE), SME, 0)</f>
        <v>0</v>
      </c>
      <c r="J297" s="121">
        <v>1</v>
      </c>
      <c r="K297" s="122">
        <f>J297*I297</f>
        <v>0</v>
      </c>
      <c r="L297" s="125">
        <f t="shared" si="45"/>
        <v>0</v>
      </c>
      <c r="M297" s="126" t="str">
        <f>IF(ISERROR(L297/H297), "", L297/H297)</f>
        <v/>
      </c>
    </row>
    <row r="298" spans="1:13" x14ac:dyDescent="0.25">
      <c r="A298" s="100" t="str">
        <f t="shared" si="48"/>
        <v>UNMETERED SCATTERED LOAD SERVICE CLASSIFICATION</v>
      </c>
      <c r="C298" s="117"/>
      <c r="D298" s="143" t="s">
        <v>165</v>
      </c>
      <c r="E298" s="119"/>
      <c r="F298" s="120">
        <v>0</v>
      </c>
      <c r="G298" s="121">
        <v>1</v>
      </c>
      <c r="H298" s="122">
        <f t="shared" si="46"/>
        <v>0</v>
      </c>
      <c r="I298" s="123">
        <v>0</v>
      </c>
      <c r="J298" s="121">
        <v>1</v>
      </c>
      <c r="K298" s="122">
        <f>J298*I298</f>
        <v>0</v>
      </c>
      <c r="L298" s="125">
        <f>K298-H298</f>
        <v>0</v>
      </c>
      <c r="M298" s="126" t="str">
        <f>IF(ISERROR(L298/H298), "", L298/H298)</f>
        <v/>
      </c>
    </row>
    <row r="299" spans="1:13" x14ac:dyDescent="0.25">
      <c r="A299" s="100" t="str">
        <f t="shared" si="48"/>
        <v>UNMETERED SCATTERED LOAD SERVICE CLASSIFICATION</v>
      </c>
      <c r="C299" s="117"/>
      <c r="D299" s="143" t="s">
        <v>166</v>
      </c>
      <c r="E299" s="119"/>
      <c r="F299" s="127"/>
      <c r="G299" s="142">
        <f>IF($E278&gt;0, $E278, $E277)</f>
        <v>150</v>
      </c>
      <c r="H299" s="122">
        <f>G299*F299</f>
        <v>0</v>
      </c>
      <c r="I299" s="128">
        <v>0</v>
      </c>
      <c r="J299" s="142">
        <f>IF($E278&gt;0, $E278, $E277)</f>
        <v>150</v>
      </c>
      <c r="K299" s="122">
        <f>J299*I299</f>
        <v>0</v>
      </c>
      <c r="L299" s="125">
        <f t="shared" si="45"/>
        <v>0</v>
      </c>
      <c r="M299" s="126" t="str">
        <f>IF(ISERROR(L299/H299), "", L299/H299)</f>
        <v/>
      </c>
    </row>
    <row r="300" spans="1:13" ht="25.5" x14ac:dyDescent="0.25">
      <c r="A300" s="100" t="str">
        <f t="shared" si="48"/>
        <v>UNMETERED SCATTERED LOAD SERVICE CLASSIFICATION</v>
      </c>
      <c r="B300" s="105" t="s">
        <v>167</v>
      </c>
      <c r="C300" s="117">
        <f>B7</f>
        <v>5</v>
      </c>
      <c r="D300" s="147" t="s">
        <v>168</v>
      </c>
      <c r="E300" s="148"/>
      <c r="F300" s="149"/>
      <c r="G300" s="150"/>
      <c r="H300" s="151">
        <f>SUM(H291:H299)</f>
        <v>9.6337159999999997</v>
      </c>
      <c r="I300" s="152"/>
      <c r="J300" s="153"/>
      <c r="K300" s="151">
        <f>SUM(K291:K299)</f>
        <v>9.1487160000000003</v>
      </c>
      <c r="L300" s="138">
        <f t="shared" si="45"/>
        <v>-0.48499999999999943</v>
      </c>
      <c r="M300" s="139">
        <f>IF((H300)=0,"",(L300/H300))</f>
        <v>-5.0344020936469315E-2</v>
      </c>
    </row>
    <row r="301" spans="1:13" x14ac:dyDescent="0.25">
      <c r="A301" s="100" t="str">
        <f t="shared" si="48"/>
        <v>UNMETERED SCATTERED LOAD SERVICE CLASSIFICATION</v>
      </c>
      <c r="C301" s="117"/>
      <c r="D301" s="154" t="s">
        <v>169</v>
      </c>
      <c r="E301" s="119"/>
      <c r="F301" s="127">
        <v>6.0000000000000001E-3</v>
      </c>
      <c r="G301" s="141">
        <f>IF($E278&gt;0, $E278, $E277*$E279)</f>
        <v>158.4</v>
      </c>
      <c r="H301" s="122">
        <f>G301*F301</f>
        <v>0.95040000000000002</v>
      </c>
      <c r="I301" s="128">
        <v>5.7000000000000002E-3</v>
      </c>
      <c r="J301" s="141">
        <f>IF($E278&gt;0, $E278, $E277*$E280)</f>
        <v>158.4</v>
      </c>
      <c r="K301" s="122">
        <f>J301*I301</f>
        <v>0.90288000000000002</v>
      </c>
      <c r="L301" s="125">
        <f t="shared" si="45"/>
        <v>-4.7520000000000007E-2</v>
      </c>
      <c r="M301" s="126">
        <f>IF(ISERROR(L301/H301), "", L301/H301)</f>
        <v>-0.05</v>
      </c>
    </row>
    <row r="302" spans="1:13" ht="25.5" x14ac:dyDescent="0.25">
      <c r="A302" s="100" t="str">
        <f t="shared" si="48"/>
        <v>UNMETERED SCATTERED LOAD SERVICE CLASSIFICATION</v>
      </c>
      <c r="C302" s="117"/>
      <c r="D302" s="155" t="s">
        <v>170</v>
      </c>
      <c r="E302" s="119"/>
      <c r="F302" s="127">
        <v>5.3E-3</v>
      </c>
      <c r="G302" s="141">
        <f>IF($E278&gt;0, $E278, $E277*$E279)</f>
        <v>158.4</v>
      </c>
      <c r="H302" s="122">
        <f>G302*F302</f>
        <v>0.83952000000000004</v>
      </c>
      <c r="I302" s="128">
        <v>5.0000000000000001E-3</v>
      </c>
      <c r="J302" s="141">
        <f>IF($E278&gt;0, $E278, $E277*$E280)</f>
        <v>158.4</v>
      </c>
      <c r="K302" s="122">
        <f>J302*I302</f>
        <v>0.79200000000000004</v>
      </c>
      <c r="L302" s="125">
        <f t="shared" si="45"/>
        <v>-4.7520000000000007E-2</v>
      </c>
      <c r="M302" s="126">
        <f>IF(ISERROR(L302/H302), "", L302/H302)</f>
        <v>-5.6603773584905669E-2</v>
      </c>
    </row>
    <row r="303" spans="1:13" ht="25.5" x14ac:dyDescent="0.25">
      <c r="A303" s="100" t="str">
        <f t="shared" si="48"/>
        <v>UNMETERED SCATTERED LOAD SERVICE CLASSIFICATION</v>
      </c>
      <c r="B303" s="105" t="s">
        <v>171</v>
      </c>
      <c r="C303" s="117">
        <f>B7</f>
        <v>5</v>
      </c>
      <c r="D303" s="147" t="s">
        <v>172</v>
      </c>
      <c r="E303" s="132"/>
      <c r="F303" s="149"/>
      <c r="G303" s="150"/>
      <c r="H303" s="151">
        <f>SUM(H300:H302)</f>
        <v>11.423636</v>
      </c>
      <c r="I303" s="152"/>
      <c r="J303" s="137"/>
      <c r="K303" s="151">
        <f>SUM(K300:K302)</f>
        <v>10.843596</v>
      </c>
      <c r="L303" s="138">
        <f t="shared" si="45"/>
        <v>-0.58004000000000033</v>
      </c>
      <c r="M303" s="139">
        <f>IF((H303)=0,"",(L303/H303))</f>
        <v>-5.0775427368309034E-2</v>
      </c>
    </row>
    <row r="304" spans="1:13" ht="25.5" x14ac:dyDescent="0.25">
      <c r="A304" s="100" t="str">
        <f t="shared" si="48"/>
        <v>UNMETERED SCATTERED LOAD SERVICE CLASSIFICATION</v>
      </c>
      <c r="C304" s="117"/>
      <c r="D304" s="156" t="s">
        <v>173</v>
      </c>
      <c r="E304" s="119"/>
      <c r="F304" s="127">
        <v>3.6000000000000003E-3</v>
      </c>
      <c r="G304" s="141">
        <f>E277*E279</f>
        <v>158.4</v>
      </c>
      <c r="H304" s="157">
        <f t="shared" ref="H304:H310" si="50">G304*F304</f>
        <v>0.57024000000000008</v>
      </c>
      <c r="I304" s="128">
        <v>3.6000000000000003E-3</v>
      </c>
      <c r="J304" s="141">
        <f>E277*E280</f>
        <v>158.4</v>
      </c>
      <c r="K304" s="157">
        <f t="shared" ref="K304:K310" si="51">J304*I304</f>
        <v>0.57024000000000008</v>
      </c>
      <c r="L304" s="125">
        <f t="shared" si="45"/>
        <v>0</v>
      </c>
      <c r="M304" s="126">
        <f t="shared" ref="M304:M312" si="52">IF(ISERROR(L304/H304), "", L304/H304)</f>
        <v>0</v>
      </c>
    </row>
    <row r="305" spans="1:13" ht="25.5" x14ac:dyDescent="0.25">
      <c r="A305" s="100" t="str">
        <f t="shared" si="48"/>
        <v>UNMETERED SCATTERED LOAD SERVICE CLASSIFICATION</v>
      </c>
      <c r="C305" s="117"/>
      <c r="D305" s="156" t="s">
        <v>174</v>
      </c>
      <c r="E305" s="119"/>
      <c r="F305" s="127">
        <f>'[1]17. Regulatory Charges'!$D$16</f>
        <v>2.9999999999999997E-4</v>
      </c>
      <c r="G305" s="141">
        <f>E277*E279</f>
        <v>158.4</v>
      </c>
      <c r="H305" s="157">
        <f t="shared" si="50"/>
        <v>4.752E-2</v>
      </c>
      <c r="I305" s="128">
        <v>2.9999999999999997E-4</v>
      </c>
      <c r="J305" s="141">
        <f>E277*E280</f>
        <v>158.4</v>
      </c>
      <c r="K305" s="157">
        <f t="shared" si="51"/>
        <v>4.752E-2</v>
      </c>
      <c r="L305" s="125">
        <f t="shared" si="45"/>
        <v>0</v>
      </c>
      <c r="M305" s="126">
        <f t="shared" si="52"/>
        <v>0</v>
      </c>
    </row>
    <row r="306" spans="1:13" x14ac:dyDescent="0.25">
      <c r="A306" s="100" t="str">
        <f t="shared" si="48"/>
        <v>UNMETERED SCATTERED LOAD SERVICE CLASSIFICATION</v>
      </c>
      <c r="C306" s="117"/>
      <c r="D306" s="158" t="s">
        <v>175</v>
      </c>
      <c r="E306" s="119"/>
      <c r="F306" s="145">
        <v>0.25</v>
      </c>
      <c r="G306" s="121">
        <v>1</v>
      </c>
      <c r="H306" s="157">
        <f t="shared" si="50"/>
        <v>0.25</v>
      </c>
      <c r="I306" s="146">
        <f>'[1]17. Regulatory Charges'!$D$17</f>
        <v>0.25</v>
      </c>
      <c r="J306" s="124">
        <v>1</v>
      </c>
      <c r="K306" s="157">
        <f t="shared" si="51"/>
        <v>0.25</v>
      </c>
      <c r="L306" s="125">
        <f t="shared" si="45"/>
        <v>0</v>
      </c>
      <c r="M306" s="126">
        <f t="shared" si="52"/>
        <v>0</v>
      </c>
    </row>
    <row r="307" spans="1:13" ht="25.5" x14ac:dyDescent="0.25">
      <c r="A307" s="100" t="str">
        <f t="shared" si="48"/>
        <v>UNMETERED SCATTERED LOAD SERVICE CLASSIFICATION</v>
      </c>
      <c r="C307" s="117"/>
      <c r="D307" s="156" t="s">
        <v>176</v>
      </c>
      <c r="E307" s="119"/>
      <c r="F307" s="127"/>
      <c r="G307" s="141"/>
      <c r="H307" s="157"/>
      <c r="I307" s="128"/>
      <c r="J307" s="141"/>
      <c r="K307" s="157"/>
      <c r="L307" s="125"/>
      <c r="M307" s="126"/>
    </row>
    <row r="308" spans="1:13" x14ac:dyDescent="0.25">
      <c r="A308" s="100" t="str">
        <f t="shared" si="48"/>
        <v>UNMETERED SCATTERED LOAD SERVICE CLASSIFICATION</v>
      </c>
      <c r="B308" s="105" t="s">
        <v>117</v>
      </c>
      <c r="C308" s="117"/>
      <c r="D308" s="159" t="s">
        <v>177</v>
      </c>
      <c r="E308" s="119"/>
      <c r="F308" s="160">
        <f>OffPeak</f>
        <v>6.5000000000000002E-2</v>
      </c>
      <c r="G308" s="161">
        <f>IF(AND(E277*12&gt;=150000),0.65*E277*E279,0.65*E277)</f>
        <v>97.5</v>
      </c>
      <c r="H308" s="157">
        <f t="shared" si="50"/>
        <v>6.3375000000000004</v>
      </c>
      <c r="I308" s="162">
        <f>OffPeak</f>
        <v>6.5000000000000002E-2</v>
      </c>
      <c r="J308" s="161">
        <f>IF(AND(E277*12&gt;=150000),0.65*E277*E280,0.65*E277)</f>
        <v>97.5</v>
      </c>
      <c r="K308" s="157">
        <f t="shared" si="51"/>
        <v>6.3375000000000004</v>
      </c>
      <c r="L308" s="125">
        <f>K308-H308</f>
        <v>0</v>
      </c>
      <c r="M308" s="126">
        <f t="shared" si="52"/>
        <v>0</v>
      </c>
    </row>
    <row r="309" spans="1:13" x14ac:dyDescent="0.25">
      <c r="A309" s="100" t="str">
        <f t="shared" si="48"/>
        <v>UNMETERED SCATTERED LOAD SERVICE CLASSIFICATION</v>
      </c>
      <c r="B309" s="105" t="s">
        <v>117</v>
      </c>
      <c r="C309" s="117"/>
      <c r="D309" s="159" t="s">
        <v>178</v>
      </c>
      <c r="E309" s="119"/>
      <c r="F309" s="160">
        <f>MidPeak</f>
        <v>9.4E-2</v>
      </c>
      <c r="G309" s="161">
        <f>IF(AND(E277*12&gt;=150000),0.17*E277*E279,0.17*E277)</f>
        <v>25.500000000000004</v>
      </c>
      <c r="H309" s="157">
        <f t="shared" si="50"/>
        <v>2.3970000000000002</v>
      </c>
      <c r="I309" s="162">
        <f>MidPeak</f>
        <v>9.4E-2</v>
      </c>
      <c r="J309" s="161">
        <f>IF(AND(E277*12&gt;=150000),0.17*E277*E280,0.17*E277)</f>
        <v>25.500000000000004</v>
      </c>
      <c r="K309" s="157">
        <f t="shared" si="51"/>
        <v>2.3970000000000002</v>
      </c>
      <c r="L309" s="125">
        <f>K309-H309</f>
        <v>0</v>
      </c>
      <c r="M309" s="126">
        <f t="shared" si="52"/>
        <v>0</v>
      </c>
    </row>
    <row r="310" spans="1:13" ht="15.75" thickBot="1" x14ac:dyDescent="0.3">
      <c r="A310" s="100" t="str">
        <f t="shared" si="48"/>
        <v>UNMETERED SCATTERED LOAD SERVICE CLASSIFICATION</v>
      </c>
      <c r="B310" s="105" t="s">
        <v>117</v>
      </c>
      <c r="C310" s="117"/>
      <c r="D310" s="105" t="s">
        <v>179</v>
      </c>
      <c r="E310" s="119"/>
      <c r="F310" s="160">
        <f>OnPeak</f>
        <v>0.13200000000000001</v>
      </c>
      <c r="G310" s="161">
        <f>IF(AND(E277*12&gt;=150000),0.18*E277*E279,0.18*E277)</f>
        <v>27</v>
      </c>
      <c r="H310" s="157">
        <f t="shared" si="50"/>
        <v>3.5640000000000001</v>
      </c>
      <c r="I310" s="162">
        <f>OnPeak</f>
        <v>0.13200000000000001</v>
      </c>
      <c r="J310" s="161">
        <f>IF(AND(E277*12&gt;=150000),0.18*E277*E280,0.18*E277)</f>
        <v>27</v>
      </c>
      <c r="K310" s="157">
        <f t="shared" si="51"/>
        <v>3.5640000000000001</v>
      </c>
      <c r="L310" s="125">
        <f>K310-H310</f>
        <v>0</v>
      </c>
      <c r="M310" s="126">
        <f t="shared" si="52"/>
        <v>0</v>
      </c>
    </row>
    <row r="311" spans="1:13" hidden="1" x14ac:dyDescent="0.25">
      <c r="A311" s="100" t="str">
        <f t="shared" si="48"/>
        <v>UNMETERED SCATTERED LOAD SERVICE CLASSIFICATION</v>
      </c>
      <c r="B311" s="100" t="s">
        <v>180</v>
      </c>
      <c r="C311" s="117"/>
      <c r="D311" s="159" t="s">
        <v>181</v>
      </c>
      <c r="E311" s="119"/>
      <c r="F311" s="163">
        <v>0.1101</v>
      </c>
      <c r="G311" s="161">
        <f>IF(AND(E277*12&gt;=150000),E277*E279,E277)</f>
        <v>150</v>
      </c>
      <c r="H311" s="157">
        <f>G311*F311</f>
        <v>16.515000000000001</v>
      </c>
      <c r="I311" s="164">
        <f>F311</f>
        <v>0.1101</v>
      </c>
      <c r="J311" s="161">
        <f>IF(AND(E277*12&gt;=150000),E277*E280,E277)</f>
        <v>150</v>
      </c>
      <c r="K311" s="157">
        <f>J311*I311</f>
        <v>16.515000000000001</v>
      </c>
      <c r="L311" s="125">
        <f>K311-H311</f>
        <v>0</v>
      </c>
      <c r="M311" s="126">
        <f t="shared" si="52"/>
        <v>0</v>
      </c>
    </row>
    <row r="312" spans="1:13" ht="15.75" hidden="1" thickBot="1" x14ac:dyDescent="0.3">
      <c r="A312" s="100" t="str">
        <f t="shared" si="48"/>
        <v>UNMETERED SCATTERED LOAD SERVICE CLASSIFICATION</v>
      </c>
      <c r="B312" s="100" t="s">
        <v>121</v>
      </c>
      <c r="C312" s="117"/>
      <c r="D312" s="159" t="s">
        <v>182</v>
      </c>
      <c r="E312" s="119"/>
      <c r="F312" s="163">
        <v>0.1101</v>
      </c>
      <c r="G312" s="161">
        <f>IF(AND(E277*12&gt;=150000),E277*E279,E277)</f>
        <v>150</v>
      </c>
      <c r="H312" s="157">
        <f>G312*F312</f>
        <v>16.515000000000001</v>
      </c>
      <c r="I312" s="164">
        <f>F312</f>
        <v>0.1101</v>
      </c>
      <c r="J312" s="161">
        <f>IF(AND(E277*12&gt;=150000),E277*E280,E277)</f>
        <v>150</v>
      </c>
      <c r="K312" s="157">
        <f>J312*I312</f>
        <v>16.515000000000001</v>
      </c>
      <c r="L312" s="125">
        <f>K312-H312</f>
        <v>0</v>
      </c>
      <c r="M312" s="126">
        <f t="shared" si="52"/>
        <v>0</v>
      </c>
    </row>
    <row r="313" spans="1:13" ht="15.75" thickBot="1" x14ac:dyDescent="0.3">
      <c r="A313" s="100" t="str">
        <f t="shared" si="48"/>
        <v>UNMETERED SCATTERED LOAD SERVICE CLASSIFICATION</v>
      </c>
      <c r="B313" s="105"/>
      <c r="C313" s="117"/>
      <c r="D313" s="165"/>
      <c r="E313" s="166"/>
      <c r="F313" s="167"/>
      <c r="G313" s="168"/>
      <c r="H313" s="169"/>
      <c r="I313" s="167"/>
      <c r="J313" s="170"/>
      <c r="K313" s="169"/>
      <c r="L313" s="171"/>
      <c r="M313" s="172"/>
    </row>
    <row r="314" spans="1:13" x14ac:dyDescent="0.25">
      <c r="A314" s="100" t="str">
        <f t="shared" si="48"/>
        <v>UNMETERED SCATTERED LOAD SERVICE CLASSIFICATION</v>
      </c>
      <c r="B314" s="105" t="s">
        <v>117</v>
      </c>
      <c r="C314" s="117"/>
      <c r="D314" s="173" t="s">
        <v>183</v>
      </c>
      <c r="E314" s="158"/>
      <c r="F314" s="174"/>
      <c r="G314" s="175"/>
      <c r="H314" s="176">
        <f>SUM(H304:H310,H303)</f>
        <v>24.589896000000003</v>
      </c>
      <c r="I314" s="177"/>
      <c r="J314" s="177"/>
      <c r="K314" s="176">
        <f>SUM(K304:K310,K303)</f>
        <v>24.009855999999999</v>
      </c>
      <c r="L314" s="178">
        <f>K314-H314</f>
        <v>-0.58004000000000389</v>
      </c>
      <c r="M314" s="179">
        <f>IF((H314)=0,"",(L314/H314))</f>
        <v>-2.3588550354178148E-2</v>
      </c>
    </row>
    <row r="315" spans="1:13" x14ac:dyDescent="0.25">
      <c r="A315" s="100" t="str">
        <f t="shared" si="48"/>
        <v>UNMETERED SCATTERED LOAD SERVICE CLASSIFICATION</v>
      </c>
      <c r="B315" s="105" t="s">
        <v>117</v>
      </c>
      <c r="C315" s="117"/>
      <c r="D315" s="180" t="s">
        <v>184</v>
      </c>
      <c r="E315" s="158"/>
      <c r="F315" s="174">
        <v>0.13</v>
      </c>
      <c r="G315" s="181"/>
      <c r="H315" s="182">
        <f>H314*F315</f>
        <v>3.1966864800000003</v>
      </c>
      <c r="I315" s="183">
        <v>0.13</v>
      </c>
      <c r="J315" s="121"/>
      <c r="K315" s="182">
        <f>K314*I315</f>
        <v>3.1212812799999998</v>
      </c>
      <c r="L315" s="184">
        <f>K315-H315</f>
        <v>-7.5405200000000505E-2</v>
      </c>
      <c r="M315" s="185">
        <f>IF((H315)=0,"",(L315/H315))</f>
        <v>-2.3588550354178148E-2</v>
      </c>
    </row>
    <row r="316" spans="1:13" x14ac:dyDescent="0.25">
      <c r="A316" s="100" t="str">
        <f t="shared" si="48"/>
        <v>UNMETERED SCATTERED LOAD SERVICE CLASSIFICATION</v>
      </c>
      <c r="B316" s="105" t="s">
        <v>117</v>
      </c>
      <c r="C316" s="117"/>
      <c r="D316" s="180" t="s">
        <v>185</v>
      </c>
      <c r="E316" s="158"/>
      <c r="F316" s="174">
        <v>0.08</v>
      </c>
      <c r="G316" s="181"/>
      <c r="H316" s="182">
        <v>0</v>
      </c>
      <c r="I316" s="174">
        <v>0.08</v>
      </c>
      <c r="J316" s="121"/>
      <c r="K316" s="182">
        <v>0</v>
      </c>
      <c r="L316" s="184">
        <f>K316-H316</f>
        <v>0</v>
      </c>
      <c r="M316" s="185"/>
    </row>
    <row r="317" spans="1:13" ht="15.75" thickBot="1" x14ac:dyDescent="0.3">
      <c r="A317" s="100" t="str">
        <f t="shared" si="48"/>
        <v>UNMETERED SCATTERED LOAD SERVICE CLASSIFICATION</v>
      </c>
      <c r="B317" s="105" t="s">
        <v>186</v>
      </c>
      <c r="C317" s="117">
        <f>B7</f>
        <v>5</v>
      </c>
      <c r="D317" s="301" t="s">
        <v>187</v>
      </c>
      <c r="E317" s="301"/>
      <c r="F317" s="186"/>
      <c r="G317" s="187"/>
      <c r="H317" s="188">
        <f>H314+H315+H316</f>
        <v>27.786582480000003</v>
      </c>
      <c r="I317" s="189"/>
      <c r="J317" s="189"/>
      <c r="K317" s="190">
        <f>K314+K315+K316</f>
        <v>27.131137279999997</v>
      </c>
      <c r="L317" s="191">
        <f>K317-H317</f>
        <v>-0.65544520000000617</v>
      </c>
      <c r="M317" s="192">
        <f>IF((H317)=0,"",(L317/H317))</f>
        <v>-2.3588550354178211E-2</v>
      </c>
    </row>
    <row r="318" spans="1:13" ht="15.75" thickBot="1" x14ac:dyDescent="0.3">
      <c r="A318" s="100" t="str">
        <f t="shared" si="48"/>
        <v>UNMETERED SCATTERED LOAD SERVICE CLASSIFICATION</v>
      </c>
      <c r="B318" s="100" t="s">
        <v>117</v>
      </c>
      <c r="C318" s="117"/>
      <c r="D318" s="165"/>
      <c r="E318" s="166"/>
      <c r="F318" s="167"/>
      <c r="G318" s="168"/>
      <c r="H318" s="169"/>
      <c r="I318" s="167"/>
      <c r="J318" s="170"/>
      <c r="K318" s="169"/>
      <c r="L318" s="171"/>
      <c r="M318" s="172"/>
    </row>
    <row r="319" spans="1:13" hidden="1" x14ac:dyDescent="0.25">
      <c r="A319" s="100" t="str">
        <f t="shared" si="48"/>
        <v>UNMETERED SCATTERED LOAD SERVICE CLASSIFICATION</v>
      </c>
      <c r="B319" s="100" t="s">
        <v>180</v>
      </c>
      <c r="C319" s="117"/>
      <c r="D319" s="173" t="s">
        <v>188</v>
      </c>
      <c r="E319" s="158"/>
      <c r="F319" s="174"/>
      <c r="G319" s="175"/>
      <c r="H319" s="176">
        <f>SUM(H311,H304:H307,H303)</f>
        <v>28.806395999999999</v>
      </c>
      <c r="I319" s="177"/>
      <c r="J319" s="177"/>
      <c r="K319" s="176">
        <f>SUM(K311,K304:K307,K303)</f>
        <v>28.226355999999996</v>
      </c>
      <c r="L319" s="178">
        <f>K319-H319</f>
        <v>-0.58004000000000389</v>
      </c>
      <c r="M319" s="179">
        <f>IF((H319)=0,"",(L319/H319))</f>
        <v>-2.0135805950872991E-2</v>
      </c>
    </row>
    <row r="320" spans="1:13" hidden="1" x14ac:dyDescent="0.25">
      <c r="A320" s="100" t="str">
        <f t="shared" si="48"/>
        <v>UNMETERED SCATTERED LOAD SERVICE CLASSIFICATION</v>
      </c>
      <c r="B320" s="100" t="s">
        <v>180</v>
      </c>
      <c r="C320" s="117"/>
      <c r="D320" s="180" t="s">
        <v>184</v>
      </c>
      <c r="E320" s="158"/>
      <c r="F320" s="174">
        <v>0.13</v>
      </c>
      <c r="G320" s="175"/>
      <c r="H320" s="182">
        <f>H319*F320</f>
        <v>3.7448314800000002</v>
      </c>
      <c r="I320" s="174">
        <v>0.13</v>
      </c>
      <c r="J320" s="183"/>
      <c r="K320" s="182">
        <f>K319*I320</f>
        <v>3.6694262799999997</v>
      </c>
      <c r="L320" s="184">
        <f>K320-H320</f>
        <v>-7.5405200000000505E-2</v>
      </c>
      <c r="M320" s="185">
        <f>IF((H320)=0,"",(L320/H320))</f>
        <v>-2.0135805950872988E-2</v>
      </c>
    </row>
    <row r="321" spans="1:13" hidden="1" x14ac:dyDescent="0.25">
      <c r="A321" s="100" t="str">
        <f t="shared" si="48"/>
        <v>UNMETERED SCATTERED LOAD SERVICE CLASSIFICATION</v>
      </c>
      <c r="B321" s="100" t="s">
        <v>180</v>
      </c>
      <c r="C321" s="117"/>
      <c r="D321" s="180" t="s">
        <v>185</v>
      </c>
      <c r="E321" s="158"/>
      <c r="F321" s="174">
        <v>0.08</v>
      </c>
      <c r="G321" s="175"/>
      <c r="H321" s="182">
        <v>0</v>
      </c>
      <c r="I321" s="174">
        <v>0.08</v>
      </c>
      <c r="J321" s="183"/>
      <c r="K321" s="182">
        <v>0</v>
      </c>
      <c r="L321" s="184"/>
      <c r="M321" s="185"/>
    </row>
    <row r="322" spans="1:13" ht="15.75" hidden="1" thickBot="1" x14ac:dyDescent="0.3">
      <c r="A322" s="100" t="str">
        <f t="shared" si="48"/>
        <v>UNMETERED SCATTERED LOAD SERVICE CLASSIFICATION</v>
      </c>
      <c r="B322" s="100" t="s">
        <v>189</v>
      </c>
      <c r="C322" s="117"/>
      <c r="D322" s="301" t="s">
        <v>188</v>
      </c>
      <c r="E322" s="301"/>
      <c r="F322" s="193"/>
      <c r="G322" s="194"/>
      <c r="H322" s="188">
        <f>SUM(H319,H320)</f>
        <v>32.551227480000001</v>
      </c>
      <c r="I322" s="195"/>
      <c r="J322" s="195"/>
      <c r="K322" s="188">
        <f>SUM(K319,K320)</f>
        <v>31.895782279999995</v>
      </c>
      <c r="L322" s="196">
        <f>K322-H322</f>
        <v>-0.65544520000000617</v>
      </c>
      <c r="M322" s="197">
        <f>IF((H322)=0,"",(L322/H322))</f>
        <v>-2.0135805950873043E-2</v>
      </c>
    </row>
    <row r="323" spans="1:13" ht="15.75" hidden="1" thickBot="1" x14ac:dyDescent="0.3">
      <c r="A323" s="100" t="str">
        <f t="shared" si="48"/>
        <v>UNMETERED SCATTERED LOAD SERVICE CLASSIFICATION</v>
      </c>
      <c r="B323" s="100" t="s">
        <v>180</v>
      </c>
      <c r="C323" s="117"/>
      <c r="D323" s="165"/>
      <c r="E323" s="166"/>
      <c r="F323" s="198"/>
      <c r="G323" s="199"/>
      <c r="H323" s="200"/>
      <c r="I323" s="198"/>
      <c r="J323" s="168"/>
      <c r="K323" s="200"/>
      <c r="L323" s="201"/>
      <c r="M323" s="172"/>
    </row>
    <row r="324" spans="1:13" hidden="1" x14ac:dyDescent="0.25">
      <c r="A324" s="100" t="str">
        <f t="shared" si="48"/>
        <v>UNMETERED SCATTERED LOAD SERVICE CLASSIFICATION</v>
      </c>
      <c r="B324" s="100" t="s">
        <v>121</v>
      </c>
      <c r="C324" s="117"/>
      <c r="D324" s="173" t="s">
        <v>190</v>
      </c>
      <c r="E324" s="158"/>
      <c r="F324" s="174"/>
      <c r="G324" s="175"/>
      <c r="H324" s="176">
        <f>SUM(H312,H304:H307,H303)</f>
        <v>28.806395999999999</v>
      </c>
      <c r="I324" s="177"/>
      <c r="J324" s="177"/>
      <c r="K324" s="176">
        <f>SUM(K312,K304:K307,K303)</f>
        <v>28.226355999999996</v>
      </c>
      <c r="L324" s="178">
        <f>K324-H324</f>
        <v>-0.58004000000000389</v>
      </c>
      <c r="M324" s="179">
        <f>IF((H324)=0,"",(L324/H324))</f>
        <v>-2.0135805950872991E-2</v>
      </c>
    </row>
    <row r="325" spans="1:13" hidden="1" x14ac:dyDescent="0.25">
      <c r="A325" s="100" t="str">
        <f t="shared" si="48"/>
        <v>UNMETERED SCATTERED LOAD SERVICE CLASSIFICATION</v>
      </c>
      <c r="B325" s="100" t="s">
        <v>121</v>
      </c>
      <c r="C325" s="117"/>
      <c r="D325" s="180" t="s">
        <v>184</v>
      </c>
      <c r="E325" s="158"/>
      <c r="F325" s="174">
        <v>0.13</v>
      </c>
      <c r="G325" s="175"/>
      <c r="H325" s="182">
        <f>H324*F325</f>
        <v>3.7448314800000002</v>
      </c>
      <c r="I325" s="174">
        <v>0.13</v>
      </c>
      <c r="J325" s="183"/>
      <c r="K325" s="182">
        <f>K324*I325</f>
        <v>3.6694262799999997</v>
      </c>
      <c r="L325" s="184">
        <f>K325-H325</f>
        <v>-7.5405200000000505E-2</v>
      </c>
      <c r="M325" s="185">
        <f>IF((H325)=0,"",(L325/H325))</f>
        <v>-2.0135805950872988E-2</v>
      </c>
    </row>
    <row r="326" spans="1:13" hidden="1" x14ac:dyDescent="0.25">
      <c r="A326" s="100" t="str">
        <f t="shared" si="48"/>
        <v>UNMETERED SCATTERED LOAD SERVICE CLASSIFICATION</v>
      </c>
      <c r="B326" s="100" t="s">
        <v>121</v>
      </c>
      <c r="C326" s="117"/>
      <c r="D326" s="180" t="s">
        <v>185</v>
      </c>
      <c r="E326" s="158"/>
      <c r="F326" s="174">
        <v>0.08</v>
      </c>
      <c r="G326" s="175"/>
      <c r="H326" s="182">
        <v>0</v>
      </c>
      <c r="I326" s="174">
        <v>0.08</v>
      </c>
      <c r="J326" s="183"/>
      <c r="K326" s="182">
        <v>0</v>
      </c>
      <c r="L326" s="184"/>
      <c r="M326" s="185"/>
    </row>
    <row r="327" spans="1:13" ht="15.75" hidden="1" thickBot="1" x14ac:dyDescent="0.3">
      <c r="A327" s="100" t="str">
        <f t="shared" si="48"/>
        <v>UNMETERED SCATTERED LOAD SERVICE CLASSIFICATION</v>
      </c>
      <c r="B327" s="100" t="s">
        <v>191</v>
      </c>
      <c r="C327" s="117"/>
      <c r="D327" s="301" t="s">
        <v>190</v>
      </c>
      <c r="E327" s="301"/>
      <c r="F327" s="193"/>
      <c r="G327" s="194"/>
      <c r="H327" s="188">
        <f>SUM(H324,H325)</f>
        <v>32.551227480000001</v>
      </c>
      <c r="I327" s="195"/>
      <c r="J327" s="195"/>
      <c r="K327" s="188">
        <f>SUM(K324,K325)</f>
        <v>31.895782279999995</v>
      </c>
      <c r="L327" s="196">
        <f>K327-H327</f>
        <v>-0.65544520000000617</v>
      </c>
      <c r="M327" s="197">
        <f>IF((H327)=0,"",(L327/H327))</f>
        <v>-2.0135805950873043E-2</v>
      </c>
    </row>
    <row r="328" spans="1:13" ht="15.75" hidden="1" thickBot="1" x14ac:dyDescent="0.3">
      <c r="A328" s="100" t="str">
        <f t="shared" si="48"/>
        <v>UNMETERED SCATTERED LOAD SERVICE CLASSIFICATION</v>
      </c>
      <c r="B328" s="100" t="s">
        <v>121</v>
      </c>
      <c r="C328" s="117"/>
      <c r="D328" s="165"/>
      <c r="E328" s="166"/>
      <c r="F328" s="202"/>
      <c r="G328" s="203"/>
      <c r="H328" s="204"/>
      <c r="I328" s="202"/>
      <c r="J328" s="205"/>
      <c r="K328" s="204"/>
      <c r="L328" s="206"/>
      <c r="M328" s="207"/>
    </row>
    <row r="331" spans="1:13" x14ac:dyDescent="0.25">
      <c r="C331" s="100"/>
      <c r="D331" s="101" t="s">
        <v>134</v>
      </c>
      <c r="E331" s="302" t="str">
        <f>D8</f>
        <v>SENTINEL LIGHTING SERVICE CLASSIFICATION</v>
      </c>
      <c r="F331" s="302"/>
      <c r="G331" s="302"/>
      <c r="H331" s="302"/>
      <c r="I331" s="302"/>
      <c r="J331" s="302"/>
      <c r="K331" s="100" t="str">
        <f>IF(N8="DEMAND - INTERVAL","RTSR - INTERVAL METERED","")</f>
        <v/>
      </c>
    </row>
    <row r="332" spans="1:13" x14ac:dyDescent="0.25">
      <c r="C332" s="100"/>
      <c r="D332" s="101" t="s">
        <v>135</v>
      </c>
      <c r="E332" s="303" t="str">
        <f>H8</f>
        <v>RPP</v>
      </c>
      <c r="F332" s="303"/>
      <c r="G332" s="303"/>
      <c r="H332" s="102"/>
      <c r="I332" s="102"/>
    </row>
    <row r="333" spans="1:13" ht="15.75" x14ac:dyDescent="0.25">
      <c r="C333" s="100"/>
      <c r="D333" s="101" t="s">
        <v>136</v>
      </c>
      <c r="E333" s="103">
        <f>K8</f>
        <v>650</v>
      </c>
      <c r="F333" s="104" t="s">
        <v>137</v>
      </c>
      <c r="G333" s="105"/>
      <c r="J333" s="106"/>
      <c r="K333" s="106"/>
      <c r="L333" s="106"/>
      <c r="M333" s="106"/>
    </row>
    <row r="334" spans="1:13" ht="15.75" x14ac:dyDescent="0.25">
      <c r="C334" s="100"/>
      <c r="D334" s="101" t="s">
        <v>138</v>
      </c>
      <c r="E334" s="103">
        <f>L8</f>
        <v>1</v>
      </c>
      <c r="F334" s="107" t="s">
        <v>139</v>
      </c>
      <c r="G334" s="108"/>
      <c r="H334" s="109"/>
      <c r="I334" s="109"/>
      <c r="J334" s="109"/>
    </row>
    <row r="335" spans="1:13" x14ac:dyDescent="0.25">
      <c r="C335" s="100"/>
      <c r="D335" s="101" t="s">
        <v>140</v>
      </c>
      <c r="E335" s="110">
        <f>I8</f>
        <v>1.056</v>
      </c>
    </row>
    <row r="336" spans="1:13" x14ac:dyDescent="0.25">
      <c r="C336" s="100"/>
      <c r="D336" s="101" t="s">
        <v>141</v>
      </c>
      <c r="E336" s="110">
        <f>J8</f>
        <v>1.056</v>
      </c>
    </row>
    <row r="337" spans="1:13" x14ac:dyDescent="0.25">
      <c r="C337" s="100"/>
      <c r="D337" s="105"/>
    </row>
    <row r="338" spans="1:13" x14ac:dyDescent="0.25">
      <c r="C338" s="100"/>
      <c r="D338" s="105"/>
      <c r="E338" s="111"/>
      <c r="F338" s="304" t="s">
        <v>142</v>
      </c>
      <c r="G338" s="305"/>
      <c r="H338" s="306"/>
      <c r="I338" s="304" t="s">
        <v>143</v>
      </c>
      <c r="J338" s="305"/>
      <c r="K338" s="306"/>
      <c r="L338" s="304" t="s">
        <v>144</v>
      </c>
      <c r="M338" s="306"/>
    </row>
    <row r="339" spans="1:13" x14ac:dyDescent="0.25">
      <c r="C339" s="100"/>
      <c r="D339" s="105"/>
      <c r="E339" s="295"/>
      <c r="F339" s="112" t="s">
        <v>145</v>
      </c>
      <c r="G339" s="112" t="s">
        <v>146</v>
      </c>
      <c r="H339" s="113" t="s">
        <v>147</v>
      </c>
      <c r="I339" s="112" t="s">
        <v>145</v>
      </c>
      <c r="J339" s="114" t="s">
        <v>146</v>
      </c>
      <c r="K339" s="113" t="s">
        <v>147</v>
      </c>
      <c r="L339" s="297" t="s">
        <v>148</v>
      </c>
      <c r="M339" s="299" t="s">
        <v>149</v>
      </c>
    </row>
    <row r="340" spans="1:13" x14ac:dyDescent="0.25">
      <c r="C340" s="100"/>
      <c r="D340" s="105"/>
      <c r="E340" s="296"/>
      <c r="F340" s="115" t="s">
        <v>150</v>
      </c>
      <c r="G340" s="115"/>
      <c r="H340" s="116" t="s">
        <v>150</v>
      </c>
      <c r="I340" s="115" t="s">
        <v>150</v>
      </c>
      <c r="J340" s="116"/>
      <c r="K340" s="116" t="s">
        <v>150</v>
      </c>
      <c r="L340" s="298"/>
      <c r="M340" s="300"/>
    </row>
    <row r="341" spans="1:13" x14ac:dyDescent="0.25">
      <c r="A341" s="100" t="str">
        <f>$E331</f>
        <v>SENTINEL LIGHTING SERVICE CLASSIFICATION</v>
      </c>
      <c r="C341" s="117"/>
      <c r="D341" s="118" t="s">
        <v>151</v>
      </c>
      <c r="E341" s="119"/>
      <c r="F341" s="120">
        <v>9.4700000000000006</v>
      </c>
      <c r="G341" s="121">
        <v>1</v>
      </c>
      <c r="H341" s="122">
        <f>G341*F341</f>
        <v>9.4700000000000006</v>
      </c>
      <c r="I341" s="123">
        <v>9.58</v>
      </c>
      <c r="J341" s="124">
        <f>G341</f>
        <v>1</v>
      </c>
      <c r="K341" s="122">
        <f>J341*I341</f>
        <v>9.58</v>
      </c>
      <c r="L341" s="125">
        <f t="shared" ref="L341:L362" si="53">K341-H341</f>
        <v>0.10999999999999943</v>
      </c>
      <c r="M341" s="126">
        <f>IF(ISERROR(L341/H341), "", L341/H341)</f>
        <v>1.1615628299894343E-2</v>
      </c>
    </row>
    <row r="342" spans="1:13" x14ac:dyDescent="0.25">
      <c r="A342" s="100" t="str">
        <f>A341</f>
        <v>SENTINEL LIGHTING SERVICE CLASSIFICATION</v>
      </c>
      <c r="C342" s="117"/>
      <c r="D342" s="118" t="s">
        <v>152</v>
      </c>
      <c r="E342" s="119"/>
      <c r="F342" s="127">
        <v>35.905000000000001</v>
      </c>
      <c r="G342" s="121">
        <f>IF($E334&gt;0, $E334, $E333)</f>
        <v>1</v>
      </c>
      <c r="H342" s="122">
        <f t="shared" ref="H342:H354" si="54">G342*F342</f>
        <v>35.905000000000001</v>
      </c>
      <c r="I342" s="128">
        <v>36.335900000000002</v>
      </c>
      <c r="J342" s="124">
        <f>IF($E334&gt;0, $E334, $E333)</f>
        <v>1</v>
      </c>
      <c r="K342" s="122">
        <f>J342*I342</f>
        <v>36.335900000000002</v>
      </c>
      <c r="L342" s="125">
        <f t="shared" si="53"/>
        <v>0.43090000000000117</v>
      </c>
      <c r="M342" s="126">
        <f t="shared" ref="M342:M352" si="55">IF(ISERROR(L342/H342), "", L342/H342)</f>
        <v>1.2001114050967864E-2</v>
      </c>
    </row>
    <row r="343" spans="1:13" x14ac:dyDescent="0.25">
      <c r="A343" s="100" t="str">
        <f t="shared" ref="A343:A384" si="56">A342</f>
        <v>SENTINEL LIGHTING SERVICE CLASSIFICATION</v>
      </c>
      <c r="C343" s="117"/>
      <c r="D343" s="118" t="s">
        <v>153</v>
      </c>
      <c r="E343" s="119"/>
      <c r="F343" s="127"/>
      <c r="G343" s="121"/>
      <c r="H343" s="122">
        <v>0</v>
      </c>
      <c r="I343" s="128"/>
      <c r="J343" s="124">
        <f>IF($E334&gt;0, $E334, $E333)</f>
        <v>1</v>
      </c>
      <c r="K343" s="122">
        <v>0</v>
      </c>
      <c r="L343" s="125"/>
      <c r="M343" s="126"/>
    </row>
    <row r="344" spans="1:13" x14ac:dyDescent="0.25">
      <c r="A344" s="100" t="str">
        <f t="shared" si="56"/>
        <v>SENTINEL LIGHTING SERVICE CLASSIFICATION</v>
      </c>
      <c r="C344" s="117"/>
      <c r="D344" s="118" t="s">
        <v>154</v>
      </c>
      <c r="E344" s="119"/>
      <c r="F344" s="127"/>
      <c r="G344" s="121">
        <f>IF($E334&gt;0, $E334, $E333)</f>
        <v>1</v>
      </c>
      <c r="H344" s="122">
        <v>0</v>
      </c>
      <c r="I344" s="128"/>
      <c r="J344" s="121">
        <f>IF($E334&gt;0, $E334, $E333)</f>
        <v>1</v>
      </c>
      <c r="K344" s="122">
        <v>0</v>
      </c>
      <c r="L344" s="125">
        <f>K344-H344</f>
        <v>0</v>
      </c>
      <c r="M344" s="126" t="str">
        <f>IF(ISERROR(L344/H344), "", L344/H344)</f>
        <v/>
      </c>
    </row>
    <row r="345" spans="1:13" x14ac:dyDescent="0.25">
      <c r="A345" s="100" t="str">
        <f t="shared" si="56"/>
        <v>SENTINEL LIGHTING SERVICE CLASSIFICATION</v>
      </c>
      <c r="C345" s="117"/>
      <c r="D345" s="129" t="s">
        <v>155</v>
      </c>
      <c r="E345" s="119"/>
      <c r="F345" s="120">
        <v>0</v>
      </c>
      <c r="G345" s="121">
        <v>1</v>
      </c>
      <c r="H345" s="122">
        <f t="shared" si="54"/>
        <v>0</v>
      </c>
      <c r="I345" s="123">
        <v>0</v>
      </c>
      <c r="J345" s="124">
        <f>G345</f>
        <v>1</v>
      </c>
      <c r="K345" s="122">
        <f t="shared" ref="K345:K352" si="57">J345*I345</f>
        <v>0</v>
      </c>
      <c r="L345" s="125">
        <f t="shared" si="53"/>
        <v>0</v>
      </c>
      <c r="M345" s="126" t="str">
        <f t="shared" si="55"/>
        <v/>
      </c>
    </row>
    <row r="346" spans="1:13" x14ac:dyDescent="0.25">
      <c r="A346" s="100" t="str">
        <f t="shared" si="56"/>
        <v>SENTINEL LIGHTING SERVICE CLASSIFICATION</v>
      </c>
      <c r="C346" s="117"/>
      <c r="D346" s="118" t="s">
        <v>156</v>
      </c>
      <c r="E346" s="119"/>
      <c r="F346" s="127">
        <v>0</v>
      </c>
      <c r="G346" s="121">
        <f>IF($E334&gt;0, $E334, $E333)</f>
        <v>1</v>
      </c>
      <c r="H346" s="122">
        <f t="shared" si="54"/>
        <v>0</v>
      </c>
      <c r="I346" s="128">
        <v>0</v>
      </c>
      <c r="J346" s="124">
        <f>IF($E334&gt;0, $E334, $E333)</f>
        <v>1</v>
      </c>
      <c r="K346" s="122">
        <f t="shared" si="57"/>
        <v>0</v>
      </c>
      <c r="L346" s="125">
        <f t="shared" si="53"/>
        <v>0</v>
      </c>
      <c r="M346" s="126" t="str">
        <f t="shared" si="55"/>
        <v/>
      </c>
    </row>
    <row r="347" spans="1:13" x14ac:dyDescent="0.25">
      <c r="A347" s="100" t="str">
        <f t="shared" si="56"/>
        <v>SENTINEL LIGHTING SERVICE CLASSIFICATION</v>
      </c>
      <c r="B347" s="130" t="s">
        <v>157</v>
      </c>
      <c r="C347" s="117">
        <f>B8</f>
        <v>6</v>
      </c>
      <c r="D347" s="131" t="s">
        <v>158</v>
      </c>
      <c r="E347" s="132"/>
      <c r="F347" s="133"/>
      <c r="G347" s="134"/>
      <c r="H347" s="135">
        <f>SUM(H341:H346)</f>
        <v>45.375</v>
      </c>
      <c r="I347" s="136"/>
      <c r="J347" s="137"/>
      <c r="K347" s="135">
        <f>SUM(K341:K346)</f>
        <v>45.915900000000001</v>
      </c>
      <c r="L347" s="138">
        <f t="shared" si="53"/>
        <v>0.5409000000000006</v>
      </c>
      <c r="M347" s="139">
        <f>IF((H347)=0,"",(L347/H347))</f>
        <v>1.1920661157024807E-2</v>
      </c>
    </row>
    <row r="348" spans="1:13" x14ac:dyDescent="0.25">
      <c r="A348" s="100" t="str">
        <f t="shared" si="56"/>
        <v>SENTINEL LIGHTING SERVICE CLASSIFICATION</v>
      </c>
      <c r="C348" s="117"/>
      <c r="D348" s="140" t="s">
        <v>159</v>
      </c>
      <c r="E348" s="119"/>
      <c r="F348" s="127">
        <f>IF((E333*12&gt;=150000), 0, IF(E332="RPP",(F364*0.65+F365*0.17+F366*0.18),IF(E332="Non-RPP (Retailer)",F367,F368)))</f>
        <v>8.1990000000000007E-2</v>
      </c>
      <c r="G348" s="141">
        <f>IF(F348=0, 0, $E333*E335-E333)</f>
        <v>36.399999999999977</v>
      </c>
      <c r="H348" s="122">
        <f>G348*F348</f>
        <v>2.9844359999999983</v>
      </c>
      <c r="I348" s="128">
        <f>IF((E333*12&gt;=150000), 0, IF(E332="RPP",(I364*0.65+I365*0.17+I366*0.18),IF(E332="Non-RPP (Retailer)",I367,I368)))</f>
        <v>8.1990000000000007E-2</v>
      </c>
      <c r="J348" s="141">
        <f>IF(I348=0, 0, E333*E336-E333)</f>
        <v>36.399999999999977</v>
      </c>
      <c r="K348" s="122">
        <f>J348*I348</f>
        <v>2.9844359999999983</v>
      </c>
      <c r="L348" s="125">
        <f>K348-H348</f>
        <v>0</v>
      </c>
      <c r="M348" s="126">
        <f>IF(ISERROR(L348/H348), "", L348/H348)</f>
        <v>0</v>
      </c>
    </row>
    <row r="349" spans="1:13" ht="25.5" x14ac:dyDescent="0.25">
      <c r="A349" s="100" t="str">
        <f t="shared" si="56"/>
        <v>SENTINEL LIGHTING SERVICE CLASSIFICATION</v>
      </c>
      <c r="C349" s="117"/>
      <c r="D349" s="140" t="s">
        <v>160</v>
      </c>
      <c r="E349" s="119"/>
      <c r="F349" s="127">
        <v>-0.47110000000000002</v>
      </c>
      <c r="G349" s="142">
        <f>IF($E334&gt;0, $E334, $E333)</f>
        <v>1</v>
      </c>
      <c r="H349" s="122">
        <f t="shared" si="54"/>
        <v>-0.47110000000000002</v>
      </c>
      <c r="I349" s="128">
        <v>-1.9424999999999999</v>
      </c>
      <c r="J349" s="142">
        <f>IF($E334&gt;0, $E334, $E333)</f>
        <v>1</v>
      </c>
      <c r="K349" s="122">
        <f t="shared" si="57"/>
        <v>-1.9424999999999999</v>
      </c>
      <c r="L349" s="125">
        <f t="shared" si="53"/>
        <v>-1.4713999999999998</v>
      </c>
      <c r="M349" s="126">
        <f t="shared" si="55"/>
        <v>3.1233283803863294</v>
      </c>
    </row>
    <row r="350" spans="1:13" x14ac:dyDescent="0.25">
      <c r="A350" s="100" t="str">
        <f t="shared" si="56"/>
        <v>SENTINEL LIGHTING SERVICE CLASSIFICATION</v>
      </c>
      <c r="C350" s="117"/>
      <c r="D350" s="140" t="s">
        <v>161</v>
      </c>
      <c r="E350" s="119"/>
      <c r="F350" s="127">
        <v>-2.98E-2</v>
      </c>
      <c r="G350" s="142">
        <f>IF($E334&gt;0, $E334, $E333)</f>
        <v>1</v>
      </c>
      <c r="H350" s="122">
        <f>G350*F350</f>
        <v>-2.98E-2</v>
      </c>
      <c r="I350" s="128">
        <v>0</v>
      </c>
      <c r="J350" s="142">
        <f>IF($E334&gt;0, $E334, $E333)</f>
        <v>1</v>
      </c>
      <c r="K350" s="122">
        <f>J350*I350</f>
        <v>0</v>
      </c>
      <c r="L350" s="125">
        <f t="shared" si="53"/>
        <v>2.98E-2</v>
      </c>
      <c r="M350" s="126">
        <f t="shared" si="55"/>
        <v>-1</v>
      </c>
    </row>
    <row r="351" spans="1:13" x14ac:dyDescent="0.25">
      <c r="A351" s="100" t="str">
        <f t="shared" si="56"/>
        <v>SENTINEL LIGHTING SERVICE CLASSIFICATION</v>
      </c>
      <c r="C351" s="117"/>
      <c r="D351" s="140" t="s">
        <v>162</v>
      </c>
      <c r="E351" s="119"/>
      <c r="F351" s="127">
        <v>0</v>
      </c>
      <c r="G351" s="142">
        <f>E333</f>
        <v>650</v>
      </c>
      <c r="H351" s="122">
        <f>G351*F351</f>
        <v>0</v>
      </c>
      <c r="I351" s="128">
        <v>0</v>
      </c>
      <c r="J351" s="142">
        <f>E333</f>
        <v>650</v>
      </c>
      <c r="K351" s="122">
        <f t="shared" si="57"/>
        <v>0</v>
      </c>
      <c r="L351" s="125">
        <f t="shared" si="53"/>
        <v>0</v>
      </c>
      <c r="M351" s="126" t="str">
        <f t="shared" si="55"/>
        <v/>
      </c>
    </row>
    <row r="352" spans="1:13" x14ac:dyDescent="0.25">
      <c r="A352" s="100" t="str">
        <f t="shared" si="56"/>
        <v>SENTINEL LIGHTING SERVICE CLASSIFICATION</v>
      </c>
      <c r="C352" s="117"/>
      <c r="D352" s="143" t="s">
        <v>163</v>
      </c>
      <c r="E352" s="119"/>
      <c r="F352" s="127">
        <v>0.75470000000000004</v>
      </c>
      <c r="G352" s="142">
        <f>IF($E334&gt;0, $E334, $E333)</f>
        <v>1</v>
      </c>
      <c r="H352" s="122">
        <f t="shared" si="54"/>
        <v>0.75470000000000004</v>
      </c>
      <c r="I352" s="128">
        <v>0.75470000000000004</v>
      </c>
      <c r="J352" s="142">
        <f>IF($E334&gt;0, $E334, $E333)</f>
        <v>1</v>
      </c>
      <c r="K352" s="122">
        <f t="shared" si="57"/>
        <v>0.75470000000000004</v>
      </c>
      <c r="L352" s="125">
        <f t="shared" si="53"/>
        <v>0</v>
      </c>
      <c r="M352" s="126">
        <f t="shared" si="55"/>
        <v>0</v>
      </c>
    </row>
    <row r="353" spans="1:13" ht="25.5" x14ac:dyDescent="0.25">
      <c r="A353" s="100" t="str">
        <f t="shared" si="56"/>
        <v>SENTINEL LIGHTING SERVICE CLASSIFICATION</v>
      </c>
      <c r="C353" s="117"/>
      <c r="D353" s="144" t="s">
        <v>164</v>
      </c>
      <c r="E353" s="119"/>
      <c r="F353" s="145">
        <f>IF(OR(ISNUMBER(SEARCH("RESIDENTIAL", E331))=TRUE, ISNUMBER(SEARCH("GENERAL SERVICE LESS THAN 50", E331))=TRUE), SME, 0)</f>
        <v>0</v>
      </c>
      <c r="G353" s="121">
        <v>1</v>
      </c>
      <c r="H353" s="122">
        <f>G353*F353</f>
        <v>0</v>
      </c>
      <c r="I353" s="146">
        <f>IF(OR(ISNUMBER(SEARCH("RESIDENTIAL", E331))=TRUE, ISNUMBER(SEARCH("GENERAL SERVICE LESS THAN 50", E331))=TRUE), SME, 0)</f>
        <v>0</v>
      </c>
      <c r="J353" s="121">
        <v>1</v>
      </c>
      <c r="K353" s="122">
        <f>J353*I353</f>
        <v>0</v>
      </c>
      <c r="L353" s="125">
        <f t="shared" si="53"/>
        <v>0</v>
      </c>
      <c r="M353" s="126" t="str">
        <f>IF(ISERROR(L353/H353), "", L353/H353)</f>
        <v/>
      </c>
    </row>
    <row r="354" spans="1:13" x14ac:dyDescent="0.25">
      <c r="A354" s="100" t="str">
        <f t="shared" si="56"/>
        <v>SENTINEL LIGHTING SERVICE CLASSIFICATION</v>
      </c>
      <c r="C354" s="117"/>
      <c r="D354" s="143" t="s">
        <v>165</v>
      </c>
      <c r="E354" s="119"/>
      <c r="F354" s="120">
        <v>0</v>
      </c>
      <c r="G354" s="121">
        <v>1</v>
      </c>
      <c r="H354" s="122">
        <f t="shared" si="54"/>
        <v>0</v>
      </c>
      <c r="I354" s="123">
        <v>0</v>
      </c>
      <c r="J354" s="121">
        <v>1</v>
      </c>
      <c r="K354" s="122">
        <f>J354*I354</f>
        <v>0</v>
      </c>
      <c r="L354" s="125">
        <f>K354-H354</f>
        <v>0</v>
      </c>
      <c r="M354" s="126" t="str">
        <f>IF(ISERROR(L354/H354), "", L354/H354)</f>
        <v/>
      </c>
    </row>
    <row r="355" spans="1:13" x14ac:dyDescent="0.25">
      <c r="A355" s="100" t="str">
        <f t="shared" si="56"/>
        <v>SENTINEL LIGHTING SERVICE CLASSIFICATION</v>
      </c>
      <c r="C355" s="117"/>
      <c r="D355" s="143" t="s">
        <v>166</v>
      </c>
      <c r="E355" s="119"/>
      <c r="F355" s="127"/>
      <c r="G355" s="142">
        <f>IF($E334&gt;0, $E334, $E333)</f>
        <v>1</v>
      </c>
      <c r="H355" s="122">
        <f>G355*F355</f>
        <v>0</v>
      </c>
      <c r="I355" s="128">
        <v>0</v>
      </c>
      <c r="J355" s="142">
        <f>IF($E334&gt;0, $E334, $E333)</f>
        <v>1</v>
      </c>
      <c r="K355" s="122">
        <f>J355*I355</f>
        <v>0</v>
      </c>
      <c r="L355" s="125">
        <f t="shared" si="53"/>
        <v>0</v>
      </c>
      <c r="M355" s="126" t="str">
        <f>IF(ISERROR(L355/H355), "", L355/H355)</f>
        <v/>
      </c>
    </row>
    <row r="356" spans="1:13" ht="25.5" x14ac:dyDescent="0.25">
      <c r="A356" s="100" t="str">
        <f t="shared" si="56"/>
        <v>SENTINEL LIGHTING SERVICE CLASSIFICATION</v>
      </c>
      <c r="B356" s="105" t="s">
        <v>167</v>
      </c>
      <c r="C356" s="117">
        <f>B8</f>
        <v>6</v>
      </c>
      <c r="D356" s="147" t="s">
        <v>168</v>
      </c>
      <c r="E356" s="148"/>
      <c r="F356" s="149"/>
      <c r="G356" s="150"/>
      <c r="H356" s="151">
        <f>SUM(H347:H355)</f>
        <v>48.613235999999993</v>
      </c>
      <c r="I356" s="152"/>
      <c r="J356" s="153"/>
      <c r="K356" s="151">
        <f>SUM(K347:K355)</f>
        <v>47.712535999999993</v>
      </c>
      <c r="L356" s="138">
        <f t="shared" si="53"/>
        <v>-0.9007000000000005</v>
      </c>
      <c r="M356" s="139">
        <f>IF((H356)=0,"",(L356/H356))</f>
        <v>-1.8527875823777719E-2</v>
      </c>
    </row>
    <row r="357" spans="1:13" x14ac:dyDescent="0.25">
      <c r="A357" s="100" t="str">
        <f t="shared" si="56"/>
        <v>SENTINEL LIGHTING SERVICE CLASSIFICATION</v>
      </c>
      <c r="C357" s="117"/>
      <c r="D357" s="154" t="s">
        <v>169</v>
      </c>
      <c r="E357" s="119"/>
      <c r="F357" s="127">
        <v>1.8704000000000001</v>
      </c>
      <c r="G357" s="141">
        <f>IF($E334&gt;0, $E334, $E333*$E335)</f>
        <v>1</v>
      </c>
      <c r="H357" s="122">
        <f>G357*F357</f>
        <v>1.8704000000000001</v>
      </c>
      <c r="I357" s="128">
        <v>1.7742</v>
      </c>
      <c r="J357" s="141">
        <f>IF($E334&gt;0, $E334, $E333*$E336)</f>
        <v>1</v>
      </c>
      <c r="K357" s="122">
        <f>J357*I357</f>
        <v>1.7742</v>
      </c>
      <c r="L357" s="125">
        <f t="shared" si="53"/>
        <v>-9.6200000000000063E-2</v>
      </c>
      <c r="M357" s="126">
        <f>IF(ISERROR(L357/H357), "", L357/H357)</f>
        <v>-5.1432848588537243E-2</v>
      </c>
    </row>
    <row r="358" spans="1:13" ht="25.5" x14ac:dyDescent="0.25">
      <c r="A358" s="100" t="str">
        <f t="shared" si="56"/>
        <v>SENTINEL LIGHTING SERVICE CLASSIFICATION</v>
      </c>
      <c r="C358" s="117"/>
      <c r="D358" s="155" t="s">
        <v>170</v>
      </c>
      <c r="E358" s="119"/>
      <c r="F358" s="127">
        <v>1.5942000000000001</v>
      </c>
      <c r="G358" s="141">
        <f>IF($E334&gt;0, $E334, $E333*$E335)</f>
        <v>1</v>
      </c>
      <c r="H358" s="122">
        <f>G358*F358</f>
        <v>1.5942000000000001</v>
      </c>
      <c r="I358" s="128">
        <v>1.5068999999999999</v>
      </c>
      <c r="J358" s="141">
        <f>IF($E334&gt;0, $E334, $E333*$E336)</f>
        <v>1</v>
      </c>
      <c r="K358" s="122">
        <f>J358*I358</f>
        <v>1.5068999999999999</v>
      </c>
      <c r="L358" s="125">
        <f t="shared" si="53"/>
        <v>-8.7300000000000155E-2</v>
      </c>
      <c r="M358" s="126">
        <f>IF(ISERROR(L358/H358), "", L358/H358)</f>
        <v>-5.4761008656379472E-2</v>
      </c>
    </row>
    <row r="359" spans="1:13" ht="25.5" x14ac:dyDescent="0.25">
      <c r="A359" s="100" t="str">
        <f t="shared" si="56"/>
        <v>SENTINEL LIGHTING SERVICE CLASSIFICATION</v>
      </c>
      <c r="B359" s="105" t="s">
        <v>171</v>
      </c>
      <c r="C359" s="117">
        <f>B8</f>
        <v>6</v>
      </c>
      <c r="D359" s="147" t="s">
        <v>172</v>
      </c>
      <c r="E359" s="132"/>
      <c r="F359" s="149"/>
      <c r="G359" s="150"/>
      <c r="H359" s="151">
        <f>SUM(H356:H358)</f>
        <v>52.077835999999991</v>
      </c>
      <c r="I359" s="152"/>
      <c r="J359" s="137"/>
      <c r="K359" s="151">
        <f>SUM(K356:K358)</f>
        <v>50.993635999999995</v>
      </c>
      <c r="L359" s="138">
        <f t="shared" si="53"/>
        <v>-1.0841999999999956</v>
      </c>
      <c r="M359" s="139">
        <f>IF((H359)=0,"",(L359/H359))</f>
        <v>-2.0818837403305233E-2</v>
      </c>
    </row>
    <row r="360" spans="1:13" ht="25.5" x14ac:dyDescent="0.25">
      <c r="A360" s="100" t="str">
        <f t="shared" si="56"/>
        <v>SENTINEL LIGHTING SERVICE CLASSIFICATION</v>
      </c>
      <c r="C360" s="117"/>
      <c r="D360" s="156" t="s">
        <v>173</v>
      </c>
      <c r="E360" s="119"/>
      <c r="F360" s="127">
        <v>3.6000000000000003E-3</v>
      </c>
      <c r="G360" s="141">
        <f>E333*E335</f>
        <v>686.4</v>
      </c>
      <c r="H360" s="157">
        <f t="shared" ref="H360:H366" si="58">G360*F360</f>
        <v>2.4710400000000003</v>
      </c>
      <c r="I360" s="128">
        <v>3.6000000000000003E-3</v>
      </c>
      <c r="J360" s="141">
        <f>E333*E336</f>
        <v>686.4</v>
      </c>
      <c r="K360" s="157">
        <f t="shared" ref="K360:K366" si="59">J360*I360</f>
        <v>2.4710400000000003</v>
      </c>
      <c r="L360" s="125">
        <f t="shared" si="53"/>
        <v>0</v>
      </c>
      <c r="M360" s="126">
        <f t="shared" ref="M360:M368" si="60">IF(ISERROR(L360/H360), "", L360/H360)</f>
        <v>0</v>
      </c>
    </row>
    <row r="361" spans="1:13" ht="25.5" x14ac:dyDescent="0.25">
      <c r="A361" s="100" t="str">
        <f t="shared" si="56"/>
        <v>SENTINEL LIGHTING SERVICE CLASSIFICATION</v>
      </c>
      <c r="C361" s="117"/>
      <c r="D361" s="156" t="s">
        <v>174</v>
      </c>
      <c r="E361" s="119"/>
      <c r="F361" s="127">
        <f>'[1]17. Regulatory Charges'!$D$16</f>
        <v>2.9999999999999997E-4</v>
      </c>
      <c r="G361" s="141">
        <f>E333*E335</f>
        <v>686.4</v>
      </c>
      <c r="H361" s="157">
        <f t="shared" si="58"/>
        <v>0.20591999999999996</v>
      </c>
      <c r="I361" s="128">
        <v>2.9999999999999997E-4</v>
      </c>
      <c r="J361" s="141">
        <f>E333*E336</f>
        <v>686.4</v>
      </c>
      <c r="K361" s="157">
        <f t="shared" si="59"/>
        <v>0.20591999999999996</v>
      </c>
      <c r="L361" s="125">
        <f t="shared" si="53"/>
        <v>0</v>
      </c>
      <c r="M361" s="126">
        <f t="shared" si="60"/>
        <v>0</v>
      </c>
    </row>
    <row r="362" spans="1:13" x14ac:dyDescent="0.25">
      <c r="A362" s="100" t="str">
        <f t="shared" si="56"/>
        <v>SENTINEL LIGHTING SERVICE CLASSIFICATION</v>
      </c>
      <c r="C362" s="117"/>
      <c r="D362" s="158" t="s">
        <v>175</v>
      </c>
      <c r="E362" s="119"/>
      <c r="F362" s="145">
        <v>0.25</v>
      </c>
      <c r="G362" s="121">
        <v>1</v>
      </c>
      <c r="H362" s="157">
        <f t="shared" si="58"/>
        <v>0.25</v>
      </c>
      <c r="I362" s="146">
        <f>'[1]17. Regulatory Charges'!$D$17</f>
        <v>0.25</v>
      </c>
      <c r="J362" s="124">
        <v>1</v>
      </c>
      <c r="K362" s="157">
        <f t="shared" si="59"/>
        <v>0.25</v>
      </c>
      <c r="L362" s="125">
        <f t="shared" si="53"/>
        <v>0</v>
      </c>
      <c r="M362" s="126">
        <f t="shared" si="60"/>
        <v>0</v>
      </c>
    </row>
    <row r="363" spans="1:13" ht="25.5" x14ac:dyDescent="0.25">
      <c r="A363" s="100" t="str">
        <f t="shared" si="56"/>
        <v>SENTINEL LIGHTING SERVICE CLASSIFICATION</v>
      </c>
      <c r="C363" s="117"/>
      <c r="D363" s="156" t="s">
        <v>176</v>
      </c>
      <c r="E363" s="119"/>
      <c r="F363" s="127"/>
      <c r="G363" s="141"/>
      <c r="H363" s="157"/>
      <c r="I363" s="128"/>
      <c r="J363" s="141"/>
      <c r="K363" s="157"/>
      <c r="L363" s="125"/>
      <c r="M363" s="126"/>
    </row>
    <row r="364" spans="1:13" x14ac:dyDescent="0.25">
      <c r="A364" s="100" t="str">
        <f t="shared" si="56"/>
        <v>SENTINEL LIGHTING SERVICE CLASSIFICATION</v>
      </c>
      <c r="B364" s="105" t="s">
        <v>117</v>
      </c>
      <c r="C364" s="117"/>
      <c r="D364" s="159" t="s">
        <v>177</v>
      </c>
      <c r="E364" s="119"/>
      <c r="F364" s="160">
        <f>OffPeak</f>
        <v>6.5000000000000002E-2</v>
      </c>
      <c r="G364" s="161">
        <f>IF(AND(E333*12&gt;=150000),0.65*E333*E335,0.65*E333)</f>
        <v>422.5</v>
      </c>
      <c r="H364" s="157">
        <f t="shared" si="58"/>
        <v>27.462500000000002</v>
      </c>
      <c r="I364" s="162">
        <f>OffPeak</f>
        <v>6.5000000000000002E-2</v>
      </c>
      <c r="J364" s="161">
        <f>IF(AND(E333*12&gt;=150000),0.65*E333*E336,0.65*E333)</f>
        <v>422.5</v>
      </c>
      <c r="K364" s="157">
        <f t="shared" si="59"/>
        <v>27.462500000000002</v>
      </c>
      <c r="L364" s="125">
        <f>K364-H364</f>
        <v>0</v>
      </c>
      <c r="M364" s="126">
        <f t="shared" si="60"/>
        <v>0</v>
      </c>
    </row>
    <row r="365" spans="1:13" x14ac:dyDescent="0.25">
      <c r="A365" s="100" t="str">
        <f t="shared" si="56"/>
        <v>SENTINEL LIGHTING SERVICE CLASSIFICATION</v>
      </c>
      <c r="B365" s="105" t="s">
        <v>117</v>
      </c>
      <c r="C365" s="117"/>
      <c r="D365" s="159" t="s">
        <v>178</v>
      </c>
      <c r="E365" s="119"/>
      <c r="F365" s="160">
        <f>MidPeak</f>
        <v>9.4E-2</v>
      </c>
      <c r="G365" s="161">
        <f>IF(AND(E333*12&gt;=150000),0.17*E333*E335,0.17*E333)</f>
        <v>110.50000000000001</v>
      </c>
      <c r="H365" s="157">
        <f t="shared" si="58"/>
        <v>10.387000000000002</v>
      </c>
      <c r="I365" s="162">
        <f>MidPeak</f>
        <v>9.4E-2</v>
      </c>
      <c r="J365" s="161">
        <f>IF(AND(E333*12&gt;=150000),0.17*E333*E336,0.17*E333)</f>
        <v>110.50000000000001</v>
      </c>
      <c r="K365" s="157">
        <f t="shared" si="59"/>
        <v>10.387000000000002</v>
      </c>
      <c r="L365" s="125">
        <f>K365-H365</f>
        <v>0</v>
      </c>
      <c r="M365" s="126">
        <f t="shared" si="60"/>
        <v>0</v>
      </c>
    </row>
    <row r="366" spans="1:13" ht="15.75" thickBot="1" x14ac:dyDescent="0.3">
      <c r="A366" s="100" t="str">
        <f t="shared" si="56"/>
        <v>SENTINEL LIGHTING SERVICE CLASSIFICATION</v>
      </c>
      <c r="B366" s="105" t="s">
        <v>117</v>
      </c>
      <c r="C366" s="117"/>
      <c r="D366" s="105" t="s">
        <v>179</v>
      </c>
      <c r="E366" s="119"/>
      <c r="F366" s="160">
        <f>OnPeak</f>
        <v>0.13200000000000001</v>
      </c>
      <c r="G366" s="161">
        <f>IF(AND(E333*12&gt;=150000),0.18*E333*E335,0.18*E333)</f>
        <v>117</v>
      </c>
      <c r="H366" s="157">
        <f t="shared" si="58"/>
        <v>15.444000000000001</v>
      </c>
      <c r="I366" s="162">
        <f>OnPeak</f>
        <v>0.13200000000000001</v>
      </c>
      <c r="J366" s="161">
        <f>IF(AND(E333*12&gt;=150000),0.18*E333*E336,0.18*E333)</f>
        <v>117</v>
      </c>
      <c r="K366" s="157">
        <f t="shared" si="59"/>
        <v>15.444000000000001</v>
      </c>
      <c r="L366" s="125">
        <f>K366-H366</f>
        <v>0</v>
      </c>
      <c r="M366" s="126">
        <f t="shared" si="60"/>
        <v>0</v>
      </c>
    </row>
    <row r="367" spans="1:13" hidden="1" x14ac:dyDescent="0.25">
      <c r="A367" s="100" t="str">
        <f t="shared" si="56"/>
        <v>SENTINEL LIGHTING SERVICE CLASSIFICATION</v>
      </c>
      <c r="B367" s="100" t="s">
        <v>180</v>
      </c>
      <c r="C367" s="117"/>
      <c r="D367" s="159" t="s">
        <v>181</v>
      </c>
      <c r="E367" s="119"/>
      <c r="F367" s="163">
        <v>0.1101</v>
      </c>
      <c r="G367" s="161">
        <f>IF(AND(E333*12&gt;=150000),E333*E335,E333)</f>
        <v>650</v>
      </c>
      <c r="H367" s="157">
        <f>G367*F367</f>
        <v>71.564999999999998</v>
      </c>
      <c r="I367" s="164">
        <f>F367</f>
        <v>0.1101</v>
      </c>
      <c r="J367" s="161">
        <f>IF(AND(E333*12&gt;=150000),E333*E336,E333)</f>
        <v>650</v>
      </c>
      <c r="K367" s="157">
        <f>J367*I367</f>
        <v>71.564999999999998</v>
      </c>
      <c r="L367" s="125">
        <f>K367-H367</f>
        <v>0</v>
      </c>
      <c r="M367" s="126">
        <f t="shared" si="60"/>
        <v>0</v>
      </c>
    </row>
    <row r="368" spans="1:13" ht="15.75" hidden="1" thickBot="1" x14ac:dyDescent="0.3">
      <c r="A368" s="100" t="str">
        <f t="shared" si="56"/>
        <v>SENTINEL LIGHTING SERVICE CLASSIFICATION</v>
      </c>
      <c r="B368" s="100" t="s">
        <v>121</v>
      </c>
      <c r="C368" s="117"/>
      <c r="D368" s="159" t="s">
        <v>182</v>
      </c>
      <c r="E368" s="119"/>
      <c r="F368" s="163">
        <v>0.1101</v>
      </c>
      <c r="G368" s="161">
        <f>IF(AND(E333*12&gt;=150000),E333*E335,E333)</f>
        <v>650</v>
      </c>
      <c r="H368" s="157">
        <f>G368*F368</f>
        <v>71.564999999999998</v>
      </c>
      <c r="I368" s="164">
        <f>F368</f>
        <v>0.1101</v>
      </c>
      <c r="J368" s="161">
        <f>IF(AND(E333*12&gt;=150000),E333*E336,E333)</f>
        <v>650</v>
      </c>
      <c r="K368" s="157">
        <f>J368*I368</f>
        <v>71.564999999999998</v>
      </c>
      <c r="L368" s="125">
        <f>K368-H368</f>
        <v>0</v>
      </c>
      <c r="M368" s="126">
        <f t="shared" si="60"/>
        <v>0</v>
      </c>
    </row>
    <row r="369" spans="1:13" ht="15.75" thickBot="1" x14ac:dyDescent="0.3">
      <c r="A369" s="100" t="str">
        <f t="shared" si="56"/>
        <v>SENTINEL LIGHTING SERVICE CLASSIFICATION</v>
      </c>
      <c r="B369" s="105"/>
      <c r="C369" s="117"/>
      <c r="D369" s="165"/>
      <c r="E369" s="166"/>
      <c r="F369" s="167"/>
      <c r="G369" s="168"/>
      <c r="H369" s="169"/>
      <c r="I369" s="167"/>
      <c r="J369" s="170"/>
      <c r="K369" s="169"/>
      <c r="L369" s="171"/>
      <c r="M369" s="172"/>
    </row>
    <row r="370" spans="1:13" x14ac:dyDescent="0.25">
      <c r="A370" s="100" t="str">
        <f t="shared" si="56"/>
        <v>SENTINEL LIGHTING SERVICE CLASSIFICATION</v>
      </c>
      <c r="B370" s="105" t="s">
        <v>117</v>
      </c>
      <c r="C370" s="117"/>
      <c r="D370" s="173" t="s">
        <v>183</v>
      </c>
      <c r="E370" s="158"/>
      <c r="F370" s="174"/>
      <c r="G370" s="175"/>
      <c r="H370" s="176">
        <f>SUM(H360:H366,H359)</f>
        <v>108.29829599999999</v>
      </c>
      <c r="I370" s="177"/>
      <c r="J370" s="177"/>
      <c r="K370" s="176">
        <f>SUM(K360:K366,K359)</f>
        <v>107.21409600000001</v>
      </c>
      <c r="L370" s="178">
        <f>K370-H370</f>
        <v>-1.0841999999999814</v>
      </c>
      <c r="M370" s="179">
        <f>IF((H370)=0,"",(L370/H370))</f>
        <v>-1.0011237849947164E-2</v>
      </c>
    </row>
    <row r="371" spans="1:13" x14ac:dyDescent="0.25">
      <c r="A371" s="100" t="str">
        <f t="shared" si="56"/>
        <v>SENTINEL LIGHTING SERVICE CLASSIFICATION</v>
      </c>
      <c r="B371" s="105" t="s">
        <v>117</v>
      </c>
      <c r="C371" s="117"/>
      <c r="D371" s="180" t="s">
        <v>184</v>
      </c>
      <c r="E371" s="158"/>
      <c r="F371" s="174">
        <v>0.13</v>
      </c>
      <c r="G371" s="181"/>
      <c r="H371" s="182">
        <f>H370*F371</f>
        <v>14.07877848</v>
      </c>
      <c r="I371" s="183">
        <v>0.13</v>
      </c>
      <c r="J371" s="121"/>
      <c r="K371" s="182">
        <f>K370*I371</f>
        <v>13.937832480000003</v>
      </c>
      <c r="L371" s="184">
        <f>K371-H371</f>
        <v>-0.1409459999999978</v>
      </c>
      <c r="M371" s="185">
        <f>IF((H371)=0,"",(L371/H371))</f>
        <v>-1.0011237849947178E-2</v>
      </c>
    </row>
    <row r="372" spans="1:13" x14ac:dyDescent="0.25">
      <c r="A372" s="100" t="str">
        <f t="shared" si="56"/>
        <v>SENTINEL LIGHTING SERVICE CLASSIFICATION</v>
      </c>
      <c r="B372" s="105" t="s">
        <v>117</v>
      </c>
      <c r="C372" s="117"/>
      <c r="D372" s="180" t="s">
        <v>185</v>
      </c>
      <c r="E372" s="158"/>
      <c r="F372" s="174">
        <v>0.08</v>
      </c>
      <c r="G372" s="181"/>
      <c r="H372" s="182">
        <v>0</v>
      </c>
      <c r="I372" s="174">
        <v>0.08</v>
      </c>
      <c r="J372" s="121"/>
      <c r="K372" s="182">
        <v>0</v>
      </c>
      <c r="L372" s="184">
        <f>K372-H372</f>
        <v>0</v>
      </c>
      <c r="M372" s="185"/>
    </row>
    <row r="373" spans="1:13" ht="15.75" thickBot="1" x14ac:dyDescent="0.3">
      <c r="A373" s="100" t="str">
        <f t="shared" si="56"/>
        <v>SENTINEL LIGHTING SERVICE CLASSIFICATION</v>
      </c>
      <c r="B373" s="105" t="s">
        <v>186</v>
      </c>
      <c r="C373" s="117">
        <f>B8</f>
        <v>6</v>
      </c>
      <c r="D373" s="301" t="s">
        <v>187</v>
      </c>
      <c r="E373" s="301"/>
      <c r="F373" s="186"/>
      <c r="G373" s="187"/>
      <c r="H373" s="188">
        <f>H370+H371+H372</f>
        <v>122.37707447999999</v>
      </c>
      <c r="I373" s="189"/>
      <c r="J373" s="189"/>
      <c r="K373" s="190">
        <f>K370+K371+K372</f>
        <v>121.15192848000001</v>
      </c>
      <c r="L373" s="191">
        <f>K373-H373</f>
        <v>-1.225145999999981</v>
      </c>
      <c r="M373" s="192">
        <f>IF((H373)=0,"",(L373/H373))</f>
        <v>-1.001123784994718E-2</v>
      </c>
    </row>
    <row r="374" spans="1:13" ht="15.75" thickBot="1" x14ac:dyDescent="0.3">
      <c r="A374" s="100" t="str">
        <f t="shared" si="56"/>
        <v>SENTINEL LIGHTING SERVICE CLASSIFICATION</v>
      </c>
      <c r="B374" s="100" t="s">
        <v>117</v>
      </c>
      <c r="C374" s="117"/>
      <c r="D374" s="165"/>
      <c r="E374" s="166"/>
      <c r="F374" s="167"/>
      <c r="G374" s="168"/>
      <c r="H374" s="169"/>
      <c r="I374" s="167"/>
      <c r="J374" s="170"/>
      <c r="K374" s="169"/>
      <c r="L374" s="171"/>
      <c r="M374" s="172"/>
    </row>
    <row r="375" spans="1:13" hidden="1" x14ac:dyDescent="0.25">
      <c r="A375" s="100" t="str">
        <f t="shared" si="56"/>
        <v>SENTINEL LIGHTING SERVICE CLASSIFICATION</v>
      </c>
      <c r="B375" s="100" t="s">
        <v>180</v>
      </c>
      <c r="C375" s="117"/>
      <c r="D375" s="173" t="s">
        <v>188</v>
      </c>
      <c r="E375" s="158"/>
      <c r="F375" s="174"/>
      <c r="G375" s="175"/>
      <c r="H375" s="176">
        <f>SUM(H367,H360:H363,H359)</f>
        <v>126.569796</v>
      </c>
      <c r="I375" s="177"/>
      <c r="J375" s="177"/>
      <c r="K375" s="176">
        <f>SUM(K367,K360:K363,K359)</f>
        <v>125.485596</v>
      </c>
      <c r="L375" s="178">
        <f>K375-H375</f>
        <v>-1.0841999999999956</v>
      </c>
      <c r="M375" s="179">
        <f>IF((H375)=0,"",(L375/H375))</f>
        <v>-8.5660247094021987E-3</v>
      </c>
    </row>
    <row r="376" spans="1:13" hidden="1" x14ac:dyDescent="0.25">
      <c r="A376" s="100" t="str">
        <f t="shared" si="56"/>
        <v>SENTINEL LIGHTING SERVICE CLASSIFICATION</v>
      </c>
      <c r="B376" s="100" t="s">
        <v>180</v>
      </c>
      <c r="C376" s="117"/>
      <c r="D376" s="180" t="s">
        <v>184</v>
      </c>
      <c r="E376" s="158"/>
      <c r="F376" s="174">
        <v>0.13</v>
      </c>
      <c r="G376" s="175"/>
      <c r="H376" s="182">
        <f>H375*F376</f>
        <v>16.454073480000002</v>
      </c>
      <c r="I376" s="174">
        <v>0.13</v>
      </c>
      <c r="J376" s="183"/>
      <c r="K376" s="182">
        <f>K375*I376</f>
        <v>16.313127480000002</v>
      </c>
      <c r="L376" s="184">
        <f>K376-H376</f>
        <v>-0.14094599999999957</v>
      </c>
      <c r="M376" s="185">
        <f>IF((H376)=0,"",(L376/H376))</f>
        <v>-8.5660247094022073E-3</v>
      </c>
    </row>
    <row r="377" spans="1:13" hidden="1" x14ac:dyDescent="0.25">
      <c r="A377" s="100" t="str">
        <f t="shared" si="56"/>
        <v>SENTINEL LIGHTING SERVICE CLASSIFICATION</v>
      </c>
      <c r="B377" s="100" t="s">
        <v>180</v>
      </c>
      <c r="C377" s="117"/>
      <c r="D377" s="180" t="s">
        <v>185</v>
      </c>
      <c r="E377" s="158"/>
      <c r="F377" s="174">
        <v>0.08</v>
      </c>
      <c r="G377" s="175"/>
      <c r="H377" s="182">
        <v>0</v>
      </c>
      <c r="I377" s="174">
        <v>0.08</v>
      </c>
      <c r="J377" s="183"/>
      <c r="K377" s="182">
        <v>0</v>
      </c>
      <c r="L377" s="184"/>
      <c r="M377" s="185"/>
    </row>
    <row r="378" spans="1:13" ht="15.75" hidden="1" thickBot="1" x14ac:dyDescent="0.3">
      <c r="A378" s="100" t="str">
        <f t="shared" si="56"/>
        <v>SENTINEL LIGHTING SERVICE CLASSIFICATION</v>
      </c>
      <c r="B378" s="100" t="s">
        <v>189</v>
      </c>
      <c r="C378" s="117"/>
      <c r="D378" s="301" t="s">
        <v>188</v>
      </c>
      <c r="E378" s="301"/>
      <c r="F378" s="193"/>
      <c r="G378" s="194"/>
      <c r="H378" s="188">
        <f>SUM(H375,H376)</f>
        <v>143.02386948</v>
      </c>
      <c r="I378" s="195"/>
      <c r="J378" s="195"/>
      <c r="K378" s="188">
        <f>SUM(K375,K376)</f>
        <v>141.79872348000001</v>
      </c>
      <c r="L378" s="196">
        <f>K378-H378</f>
        <v>-1.2251459999999952</v>
      </c>
      <c r="M378" s="197">
        <f>IF((H378)=0,"",(L378/H378))</f>
        <v>-8.5660247094022004E-3</v>
      </c>
    </row>
    <row r="379" spans="1:13" ht="15.75" hidden="1" thickBot="1" x14ac:dyDescent="0.3">
      <c r="A379" s="100" t="str">
        <f t="shared" si="56"/>
        <v>SENTINEL LIGHTING SERVICE CLASSIFICATION</v>
      </c>
      <c r="B379" s="100" t="s">
        <v>180</v>
      </c>
      <c r="C379" s="117"/>
      <c r="D379" s="165"/>
      <c r="E379" s="166"/>
      <c r="F379" s="198"/>
      <c r="G379" s="199"/>
      <c r="H379" s="200"/>
      <c r="I379" s="198"/>
      <c r="J379" s="168"/>
      <c r="K379" s="200"/>
      <c r="L379" s="201"/>
      <c r="M379" s="172"/>
    </row>
    <row r="380" spans="1:13" hidden="1" x14ac:dyDescent="0.25">
      <c r="A380" s="100" t="str">
        <f t="shared" si="56"/>
        <v>SENTINEL LIGHTING SERVICE CLASSIFICATION</v>
      </c>
      <c r="B380" s="100" t="s">
        <v>121</v>
      </c>
      <c r="C380" s="117"/>
      <c r="D380" s="173" t="s">
        <v>190</v>
      </c>
      <c r="E380" s="158"/>
      <c r="F380" s="174"/>
      <c r="G380" s="175"/>
      <c r="H380" s="176">
        <f>SUM(H368,H360:H363,H359)</f>
        <v>126.569796</v>
      </c>
      <c r="I380" s="177"/>
      <c r="J380" s="177"/>
      <c r="K380" s="176">
        <f>SUM(K368,K360:K363,K359)</f>
        <v>125.485596</v>
      </c>
      <c r="L380" s="178">
        <f>K380-H380</f>
        <v>-1.0841999999999956</v>
      </c>
      <c r="M380" s="179">
        <f>IF((H380)=0,"",(L380/H380))</f>
        <v>-8.5660247094021987E-3</v>
      </c>
    </row>
    <row r="381" spans="1:13" hidden="1" x14ac:dyDescent="0.25">
      <c r="A381" s="100" t="str">
        <f t="shared" si="56"/>
        <v>SENTINEL LIGHTING SERVICE CLASSIFICATION</v>
      </c>
      <c r="B381" s="100" t="s">
        <v>121</v>
      </c>
      <c r="C381" s="117"/>
      <c r="D381" s="180" t="s">
        <v>184</v>
      </c>
      <c r="E381" s="158"/>
      <c r="F381" s="174">
        <v>0.13</v>
      </c>
      <c r="G381" s="175"/>
      <c r="H381" s="182">
        <f>H380*F381</f>
        <v>16.454073480000002</v>
      </c>
      <c r="I381" s="174">
        <v>0.13</v>
      </c>
      <c r="J381" s="183"/>
      <c r="K381" s="182">
        <f>K380*I381</f>
        <v>16.313127480000002</v>
      </c>
      <c r="L381" s="184">
        <f>K381-H381</f>
        <v>-0.14094599999999957</v>
      </c>
      <c r="M381" s="185">
        <f>IF((H381)=0,"",(L381/H381))</f>
        <v>-8.5660247094022073E-3</v>
      </c>
    </row>
    <row r="382" spans="1:13" hidden="1" x14ac:dyDescent="0.25">
      <c r="A382" s="100" t="str">
        <f t="shared" si="56"/>
        <v>SENTINEL LIGHTING SERVICE CLASSIFICATION</v>
      </c>
      <c r="B382" s="100" t="s">
        <v>121</v>
      </c>
      <c r="C382" s="117"/>
      <c r="D382" s="180" t="s">
        <v>185</v>
      </c>
      <c r="E382" s="158"/>
      <c r="F382" s="174">
        <v>0.08</v>
      </c>
      <c r="G382" s="175"/>
      <c r="H382" s="182">
        <v>0</v>
      </c>
      <c r="I382" s="174">
        <v>0.08</v>
      </c>
      <c r="J382" s="183"/>
      <c r="K382" s="182">
        <v>0</v>
      </c>
      <c r="L382" s="184"/>
      <c r="M382" s="185"/>
    </row>
    <row r="383" spans="1:13" ht="15.75" hidden="1" thickBot="1" x14ac:dyDescent="0.3">
      <c r="A383" s="100" t="str">
        <f t="shared" si="56"/>
        <v>SENTINEL LIGHTING SERVICE CLASSIFICATION</v>
      </c>
      <c r="B383" s="100" t="s">
        <v>191</v>
      </c>
      <c r="C383" s="117"/>
      <c r="D383" s="301" t="s">
        <v>190</v>
      </c>
      <c r="E383" s="301"/>
      <c r="F383" s="193"/>
      <c r="G383" s="194"/>
      <c r="H383" s="188">
        <f>SUM(H380,H381)</f>
        <v>143.02386948</v>
      </c>
      <c r="I383" s="195"/>
      <c r="J383" s="195"/>
      <c r="K383" s="188">
        <f>SUM(K380,K381)</f>
        <v>141.79872348000001</v>
      </c>
      <c r="L383" s="196">
        <f>K383-H383</f>
        <v>-1.2251459999999952</v>
      </c>
      <c r="M383" s="197">
        <f>IF((H383)=0,"",(L383/H383))</f>
        <v>-8.5660247094022004E-3</v>
      </c>
    </row>
    <row r="384" spans="1:13" ht="15.75" hidden="1" thickBot="1" x14ac:dyDescent="0.3">
      <c r="A384" s="100" t="str">
        <f t="shared" si="56"/>
        <v>SENTINEL LIGHTING SERVICE CLASSIFICATION</v>
      </c>
      <c r="B384" s="100" t="s">
        <v>121</v>
      </c>
      <c r="C384" s="117"/>
      <c r="D384" s="165"/>
      <c r="E384" s="166"/>
      <c r="F384" s="202"/>
      <c r="G384" s="203"/>
      <c r="H384" s="204"/>
      <c r="I384" s="202"/>
      <c r="J384" s="205"/>
      <c r="K384" s="204"/>
      <c r="L384" s="206"/>
      <c r="M384" s="207"/>
    </row>
    <row r="387" spans="1:13" x14ac:dyDescent="0.25">
      <c r="C387" s="100"/>
      <c r="D387" s="101" t="s">
        <v>134</v>
      </c>
      <c r="E387" s="302" t="str">
        <f>D9</f>
        <v>STREET LIGHTING SERVICE CLASSIFICATION</v>
      </c>
      <c r="F387" s="302"/>
      <c r="G387" s="302"/>
      <c r="H387" s="302"/>
      <c r="I387" s="302"/>
      <c r="J387" s="302"/>
      <c r="K387" s="100" t="str">
        <f>IF(N9="DEMAND - INTERVAL","RTSR - INTERVAL METERED","")</f>
        <v/>
      </c>
    </row>
    <row r="388" spans="1:13" x14ac:dyDescent="0.25">
      <c r="C388" s="100"/>
      <c r="D388" s="101" t="s">
        <v>135</v>
      </c>
      <c r="E388" s="303" t="str">
        <f>H9</f>
        <v>Non-RPP (Other)</v>
      </c>
      <c r="F388" s="303"/>
      <c r="G388" s="303"/>
      <c r="H388" s="102"/>
      <c r="I388" s="102"/>
    </row>
    <row r="389" spans="1:13" ht="15.75" x14ac:dyDescent="0.25">
      <c r="C389" s="100"/>
      <c r="D389" s="101" t="s">
        <v>136</v>
      </c>
      <c r="E389" s="103">
        <f>K9</f>
        <v>94033.37</v>
      </c>
      <c r="F389" s="104" t="s">
        <v>137</v>
      </c>
      <c r="G389" s="105"/>
      <c r="J389" s="106"/>
      <c r="K389" s="106"/>
      <c r="L389" s="106"/>
      <c r="M389" s="106"/>
    </row>
    <row r="390" spans="1:13" ht="15.75" x14ac:dyDescent="0.25">
      <c r="C390" s="100"/>
      <c r="D390" s="101" t="s">
        <v>138</v>
      </c>
      <c r="E390" s="103">
        <f>L9</f>
        <v>251</v>
      </c>
      <c r="F390" s="107" t="s">
        <v>139</v>
      </c>
      <c r="G390" s="108"/>
      <c r="H390" s="109"/>
      <c r="I390" s="109"/>
      <c r="J390" s="109"/>
    </row>
    <row r="391" spans="1:13" x14ac:dyDescent="0.25">
      <c r="C391" s="100"/>
      <c r="D391" s="101" t="s">
        <v>140</v>
      </c>
      <c r="E391" s="110">
        <f>I9</f>
        <v>1.056</v>
      </c>
    </row>
    <row r="392" spans="1:13" x14ac:dyDescent="0.25">
      <c r="C392" s="100"/>
      <c r="D392" s="101" t="s">
        <v>141</v>
      </c>
      <c r="E392" s="110">
        <f>J9</f>
        <v>1.056</v>
      </c>
    </row>
    <row r="393" spans="1:13" x14ac:dyDescent="0.25">
      <c r="C393" s="100"/>
      <c r="D393" s="105"/>
    </row>
    <row r="394" spans="1:13" x14ac:dyDescent="0.25">
      <c r="C394" s="100"/>
      <c r="D394" s="105"/>
      <c r="E394" s="111"/>
      <c r="F394" s="304" t="s">
        <v>142</v>
      </c>
      <c r="G394" s="305"/>
      <c r="H394" s="306"/>
      <c r="I394" s="304" t="s">
        <v>143</v>
      </c>
      <c r="J394" s="305"/>
      <c r="K394" s="306"/>
      <c r="L394" s="304" t="s">
        <v>144</v>
      </c>
      <c r="M394" s="306"/>
    </row>
    <row r="395" spans="1:13" x14ac:dyDescent="0.25">
      <c r="C395" s="100"/>
      <c r="D395" s="105"/>
      <c r="E395" s="295"/>
      <c r="F395" s="112" t="s">
        <v>145</v>
      </c>
      <c r="G395" s="112" t="s">
        <v>146</v>
      </c>
      <c r="H395" s="113" t="s">
        <v>147</v>
      </c>
      <c r="I395" s="112" t="s">
        <v>145</v>
      </c>
      <c r="J395" s="114" t="s">
        <v>146</v>
      </c>
      <c r="K395" s="113" t="s">
        <v>147</v>
      </c>
      <c r="L395" s="297" t="s">
        <v>148</v>
      </c>
      <c r="M395" s="299" t="s">
        <v>149</v>
      </c>
    </row>
    <row r="396" spans="1:13" x14ac:dyDescent="0.25">
      <c r="C396" s="100"/>
      <c r="D396" s="105"/>
      <c r="E396" s="296"/>
      <c r="F396" s="115" t="s">
        <v>150</v>
      </c>
      <c r="G396" s="115"/>
      <c r="H396" s="116" t="s">
        <v>150</v>
      </c>
      <c r="I396" s="115" t="s">
        <v>150</v>
      </c>
      <c r="J396" s="116"/>
      <c r="K396" s="116" t="s">
        <v>150</v>
      </c>
      <c r="L396" s="298"/>
      <c r="M396" s="300"/>
    </row>
    <row r="397" spans="1:13" x14ac:dyDescent="0.25">
      <c r="A397" s="100" t="str">
        <f>$E387</f>
        <v>STREET LIGHTING SERVICE CLASSIFICATION</v>
      </c>
      <c r="C397" s="117"/>
      <c r="D397" s="118" t="s">
        <v>151</v>
      </c>
      <c r="E397" s="119"/>
      <c r="F397" s="120">
        <v>2.2999999999999998</v>
      </c>
      <c r="G397" s="121">
        <v>1</v>
      </c>
      <c r="H397" s="122">
        <f>G397*F397</f>
        <v>2.2999999999999998</v>
      </c>
      <c r="I397" s="123">
        <v>2.33</v>
      </c>
      <c r="J397" s="124">
        <f>G397</f>
        <v>1</v>
      </c>
      <c r="K397" s="122">
        <f>J397*I397</f>
        <v>2.33</v>
      </c>
      <c r="L397" s="125">
        <f t="shared" ref="L397:L418" si="61">K397-H397</f>
        <v>3.0000000000000249E-2</v>
      </c>
      <c r="M397" s="126">
        <f>IF(ISERROR(L397/H397), "", L397/H397)</f>
        <v>1.3043478260869674E-2</v>
      </c>
    </row>
    <row r="398" spans="1:13" x14ac:dyDescent="0.25">
      <c r="A398" s="100" t="str">
        <f>A397</f>
        <v>STREET LIGHTING SERVICE CLASSIFICATION</v>
      </c>
      <c r="C398" s="117"/>
      <c r="D398" s="118" t="s">
        <v>152</v>
      </c>
      <c r="E398" s="119"/>
      <c r="F398" s="127">
        <v>1.5523</v>
      </c>
      <c r="G398" s="121">
        <f>IF($E390&gt;0, $E390, $E389)</f>
        <v>251</v>
      </c>
      <c r="H398" s="122">
        <f t="shared" ref="H398:H410" si="62">G398*F398</f>
        <v>389.62729999999999</v>
      </c>
      <c r="I398" s="128">
        <v>1.5709</v>
      </c>
      <c r="J398" s="124">
        <f>IF($E390&gt;0, $E390, $E389)</f>
        <v>251</v>
      </c>
      <c r="K398" s="122">
        <f>J398*I398</f>
        <v>394.29590000000002</v>
      </c>
      <c r="L398" s="125">
        <f t="shared" si="61"/>
        <v>4.6686000000000263</v>
      </c>
      <c r="M398" s="126">
        <f t="shared" ref="M398:M408" si="63">IF(ISERROR(L398/H398), "", L398/H398)</f>
        <v>1.1982219931714298E-2</v>
      </c>
    </row>
    <row r="399" spans="1:13" x14ac:dyDescent="0.25">
      <c r="A399" s="100" t="str">
        <f t="shared" ref="A399:A440" si="64">A398</f>
        <v>STREET LIGHTING SERVICE CLASSIFICATION</v>
      </c>
      <c r="C399" s="117"/>
      <c r="D399" s="118" t="s">
        <v>153</v>
      </c>
      <c r="E399" s="119"/>
      <c r="F399" s="127"/>
      <c r="G399" s="121"/>
      <c r="H399" s="122">
        <v>0</v>
      </c>
      <c r="I399" s="128"/>
      <c r="J399" s="124">
        <f>IF($E390&gt;0, $E390, $E389)</f>
        <v>251</v>
      </c>
      <c r="K399" s="122">
        <v>0</v>
      </c>
      <c r="L399" s="125"/>
      <c r="M399" s="126"/>
    </row>
    <row r="400" spans="1:13" x14ac:dyDescent="0.25">
      <c r="A400" s="100" t="str">
        <f t="shared" si="64"/>
        <v>STREET LIGHTING SERVICE CLASSIFICATION</v>
      </c>
      <c r="C400" s="117"/>
      <c r="D400" s="118" t="s">
        <v>154</v>
      </c>
      <c r="E400" s="119"/>
      <c r="F400" s="127"/>
      <c r="G400" s="121">
        <f>IF($E390&gt;0, $E390, $E389)</f>
        <v>251</v>
      </c>
      <c r="H400" s="122">
        <v>0</v>
      </c>
      <c r="I400" s="128"/>
      <c r="J400" s="121">
        <f>IF($E390&gt;0, $E390, $E389)</f>
        <v>251</v>
      </c>
      <c r="K400" s="122">
        <v>0</v>
      </c>
      <c r="L400" s="125">
        <f>K400-H400</f>
        <v>0</v>
      </c>
      <c r="M400" s="126" t="str">
        <f>IF(ISERROR(L400/H400), "", L400/H400)</f>
        <v/>
      </c>
    </row>
    <row r="401" spans="1:13" x14ac:dyDescent="0.25">
      <c r="A401" s="100" t="str">
        <f t="shared" si="64"/>
        <v>STREET LIGHTING SERVICE CLASSIFICATION</v>
      </c>
      <c r="C401" s="117"/>
      <c r="D401" s="129" t="s">
        <v>155</v>
      </c>
      <c r="E401" s="119"/>
      <c r="F401" s="120">
        <v>0</v>
      </c>
      <c r="G401" s="121">
        <v>1</v>
      </c>
      <c r="H401" s="122">
        <f t="shared" si="62"/>
        <v>0</v>
      </c>
      <c r="I401" s="123">
        <v>0</v>
      </c>
      <c r="J401" s="124">
        <f>G401</f>
        <v>1</v>
      </c>
      <c r="K401" s="122">
        <f t="shared" ref="K401:K408" si="65">J401*I401</f>
        <v>0</v>
      </c>
      <c r="L401" s="125">
        <f t="shared" si="61"/>
        <v>0</v>
      </c>
      <c r="M401" s="126" t="str">
        <f t="shared" si="63"/>
        <v/>
      </c>
    </row>
    <row r="402" spans="1:13" x14ac:dyDescent="0.25">
      <c r="A402" s="100" t="str">
        <f t="shared" si="64"/>
        <v>STREET LIGHTING SERVICE CLASSIFICATION</v>
      </c>
      <c r="C402" s="117"/>
      <c r="D402" s="118" t="s">
        <v>156</v>
      </c>
      <c r="E402" s="119"/>
      <c r="F402" s="127">
        <v>0</v>
      </c>
      <c r="G402" s="121">
        <f>IF($E390&gt;0, $E390, $E389)</f>
        <v>251</v>
      </c>
      <c r="H402" s="122">
        <f t="shared" si="62"/>
        <v>0</v>
      </c>
      <c r="I402" s="128">
        <v>0</v>
      </c>
      <c r="J402" s="124">
        <f>IF($E390&gt;0, $E390, $E389)</f>
        <v>251</v>
      </c>
      <c r="K402" s="122">
        <f t="shared" si="65"/>
        <v>0</v>
      </c>
      <c r="L402" s="125">
        <f t="shared" si="61"/>
        <v>0</v>
      </c>
      <c r="M402" s="126" t="str">
        <f t="shared" si="63"/>
        <v/>
      </c>
    </row>
    <row r="403" spans="1:13" x14ac:dyDescent="0.25">
      <c r="A403" s="100" t="str">
        <f t="shared" si="64"/>
        <v>STREET LIGHTING SERVICE CLASSIFICATION</v>
      </c>
      <c r="B403" s="130" t="s">
        <v>157</v>
      </c>
      <c r="C403" s="117">
        <f>B9</f>
        <v>7</v>
      </c>
      <c r="D403" s="131" t="s">
        <v>158</v>
      </c>
      <c r="E403" s="132"/>
      <c r="F403" s="133"/>
      <c r="G403" s="134"/>
      <c r="H403" s="135">
        <f>SUM(H397:H402)</f>
        <v>391.9273</v>
      </c>
      <c r="I403" s="136"/>
      <c r="J403" s="137"/>
      <c r="K403" s="135">
        <f>SUM(K397:K402)</f>
        <v>396.6259</v>
      </c>
      <c r="L403" s="138">
        <f t="shared" si="61"/>
        <v>4.698599999999999</v>
      </c>
      <c r="M403" s="139">
        <f>IF((H403)=0,"",(L403/H403))</f>
        <v>1.1988447857549088E-2</v>
      </c>
    </row>
    <row r="404" spans="1:13" x14ac:dyDescent="0.25">
      <c r="A404" s="100" t="str">
        <f t="shared" si="64"/>
        <v>STREET LIGHTING SERVICE CLASSIFICATION</v>
      </c>
      <c r="C404" s="117"/>
      <c r="D404" s="140" t="s">
        <v>159</v>
      </c>
      <c r="E404" s="119"/>
      <c r="F404" s="127">
        <f>IF((E389*12&gt;=150000), 0, IF(E388="RPP",(F420*0.65+F421*0.17+F422*0.18),IF(E388="Non-RPP (Retailer)",F423,F424)))</f>
        <v>0</v>
      </c>
      <c r="G404" s="141">
        <f>IF(F404=0, 0, $E389*E391-E389)</f>
        <v>0</v>
      </c>
      <c r="H404" s="122">
        <f>G404*F404</f>
        <v>0</v>
      </c>
      <c r="I404" s="128">
        <f>IF((E389*12&gt;=150000), 0, IF(E388="RPP",(I420*0.65+I421*0.17+I422*0.18),IF(E388="Non-RPP (Retailer)",I423,I424)))</f>
        <v>0</v>
      </c>
      <c r="J404" s="141">
        <f>IF(I404=0, 0, E389*E392-E389)</f>
        <v>0</v>
      </c>
      <c r="K404" s="122">
        <f>J404*I404</f>
        <v>0</v>
      </c>
      <c r="L404" s="125">
        <f>K404-H404</f>
        <v>0</v>
      </c>
      <c r="M404" s="126" t="str">
        <f>IF(ISERROR(L404/H404), "", L404/H404)</f>
        <v/>
      </c>
    </row>
    <row r="405" spans="1:13" ht="25.5" x14ac:dyDescent="0.25">
      <c r="A405" s="100" t="str">
        <f t="shared" si="64"/>
        <v>STREET LIGHTING SERVICE CLASSIFICATION</v>
      </c>
      <c r="C405" s="117"/>
      <c r="D405" s="140" t="s">
        <v>160</v>
      </c>
      <c r="E405" s="119"/>
      <c r="F405" s="127">
        <v>-0.97850000000000004</v>
      </c>
      <c r="G405" s="142">
        <f>IF($E390&gt;0, $E390, $E389)</f>
        <v>251</v>
      </c>
      <c r="H405" s="122">
        <f t="shared" si="62"/>
        <v>-245.6035</v>
      </c>
      <c r="I405" s="128">
        <v>-1.8794</v>
      </c>
      <c r="J405" s="142">
        <f>IF($E390&gt;0, $E390, $E389)</f>
        <v>251</v>
      </c>
      <c r="K405" s="122">
        <f t="shared" si="65"/>
        <v>-471.7294</v>
      </c>
      <c r="L405" s="125">
        <f t="shared" si="61"/>
        <v>-226.1259</v>
      </c>
      <c r="M405" s="126">
        <f t="shared" si="63"/>
        <v>0.92069494123658668</v>
      </c>
    </row>
    <row r="406" spans="1:13" x14ac:dyDescent="0.25">
      <c r="A406" s="100" t="str">
        <f t="shared" si="64"/>
        <v>STREET LIGHTING SERVICE CLASSIFICATION</v>
      </c>
      <c r="C406" s="117"/>
      <c r="D406" s="140" t="s">
        <v>161</v>
      </c>
      <c r="E406" s="119"/>
      <c r="F406" s="127">
        <v>-2.8500000000000001E-2</v>
      </c>
      <c r="G406" s="142">
        <f>IF($E390&gt;0, $E390, $E389)</f>
        <v>251</v>
      </c>
      <c r="H406" s="122">
        <f>G406*F406</f>
        <v>-7.1535000000000002</v>
      </c>
      <c r="I406" s="128">
        <v>0</v>
      </c>
      <c r="J406" s="142">
        <f>IF($E390&gt;0, $E390, $E389)</f>
        <v>251</v>
      </c>
      <c r="K406" s="122">
        <f>J406*I406</f>
        <v>0</v>
      </c>
      <c r="L406" s="125">
        <f t="shared" si="61"/>
        <v>7.1535000000000002</v>
      </c>
      <c r="M406" s="126">
        <f t="shared" si="63"/>
        <v>-1</v>
      </c>
    </row>
    <row r="407" spans="1:13" x14ac:dyDescent="0.25">
      <c r="A407" s="100" t="str">
        <f t="shared" si="64"/>
        <v>STREET LIGHTING SERVICE CLASSIFICATION</v>
      </c>
      <c r="C407" s="117"/>
      <c r="D407" s="140" t="s">
        <v>162</v>
      </c>
      <c r="E407" s="119"/>
      <c r="F407" s="127">
        <v>-1E-3</v>
      </c>
      <c r="G407" s="142">
        <f>E389</f>
        <v>94033.37</v>
      </c>
      <c r="H407" s="122">
        <f>G407*F407</f>
        <v>-94.033369999999991</v>
      </c>
      <c r="I407" s="128">
        <v>1.37E-2</v>
      </c>
      <c r="J407" s="142">
        <f>E389</f>
        <v>94033.37</v>
      </c>
      <c r="K407" s="122">
        <f t="shared" si="65"/>
        <v>1288.257169</v>
      </c>
      <c r="L407" s="125">
        <f t="shared" si="61"/>
        <v>1382.2905390000001</v>
      </c>
      <c r="M407" s="126">
        <f t="shared" si="63"/>
        <v>-14.700000000000003</v>
      </c>
    </row>
    <row r="408" spans="1:13" x14ac:dyDescent="0.25">
      <c r="A408" s="100" t="str">
        <f t="shared" si="64"/>
        <v>STREET LIGHTING SERVICE CLASSIFICATION</v>
      </c>
      <c r="C408" s="117"/>
      <c r="D408" s="143" t="s">
        <v>163</v>
      </c>
      <c r="E408" s="119"/>
      <c r="F408" s="127">
        <v>0.73929999999999996</v>
      </c>
      <c r="G408" s="142">
        <f>IF($E390&gt;0, $E390, $E389)</f>
        <v>251</v>
      </c>
      <c r="H408" s="122">
        <f t="shared" si="62"/>
        <v>185.5643</v>
      </c>
      <c r="I408" s="128">
        <v>0.73929999999999996</v>
      </c>
      <c r="J408" s="142">
        <f>IF($E390&gt;0, $E390, $E389)</f>
        <v>251</v>
      </c>
      <c r="K408" s="122">
        <f t="shared" si="65"/>
        <v>185.5643</v>
      </c>
      <c r="L408" s="125">
        <f t="shared" si="61"/>
        <v>0</v>
      </c>
      <c r="M408" s="126">
        <f t="shared" si="63"/>
        <v>0</v>
      </c>
    </row>
    <row r="409" spans="1:13" ht="25.5" x14ac:dyDescent="0.25">
      <c r="A409" s="100" t="str">
        <f t="shared" si="64"/>
        <v>STREET LIGHTING SERVICE CLASSIFICATION</v>
      </c>
      <c r="C409" s="117"/>
      <c r="D409" s="144" t="s">
        <v>164</v>
      </c>
      <c r="E409" s="119"/>
      <c r="F409" s="145">
        <f>IF(OR(ISNUMBER(SEARCH("RESIDENTIAL", E387))=TRUE, ISNUMBER(SEARCH("GENERAL SERVICE LESS THAN 50", E387))=TRUE), SME, 0)</f>
        <v>0</v>
      </c>
      <c r="G409" s="121">
        <v>1</v>
      </c>
      <c r="H409" s="122">
        <f>G409*F409</f>
        <v>0</v>
      </c>
      <c r="I409" s="146">
        <f>IF(OR(ISNUMBER(SEARCH("RESIDENTIAL", E387))=TRUE, ISNUMBER(SEARCH("GENERAL SERVICE LESS THAN 50", E387))=TRUE), SME, 0)</f>
        <v>0</v>
      </c>
      <c r="J409" s="121">
        <v>1</v>
      </c>
      <c r="K409" s="122">
        <f>J409*I409</f>
        <v>0</v>
      </c>
      <c r="L409" s="125">
        <f t="shared" si="61"/>
        <v>0</v>
      </c>
      <c r="M409" s="126" t="str">
        <f>IF(ISERROR(L409/H409), "", L409/H409)</f>
        <v/>
      </c>
    </row>
    <row r="410" spans="1:13" x14ac:dyDescent="0.25">
      <c r="A410" s="100" t="str">
        <f t="shared" si="64"/>
        <v>STREET LIGHTING SERVICE CLASSIFICATION</v>
      </c>
      <c r="C410" s="117"/>
      <c r="D410" s="143" t="s">
        <v>165</v>
      </c>
      <c r="E410" s="119"/>
      <c r="F410" s="120">
        <v>0</v>
      </c>
      <c r="G410" s="121">
        <v>1</v>
      </c>
      <c r="H410" s="122">
        <f t="shared" si="62"/>
        <v>0</v>
      </c>
      <c r="I410" s="123">
        <v>0</v>
      </c>
      <c r="J410" s="121">
        <v>1</v>
      </c>
      <c r="K410" s="122">
        <f>J410*I410</f>
        <v>0</v>
      </c>
      <c r="L410" s="125">
        <f>K410-H410</f>
        <v>0</v>
      </c>
      <c r="M410" s="126" t="str">
        <f>IF(ISERROR(L410/H410), "", L410/H410)</f>
        <v/>
      </c>
    </row>
    <row r="411" spans="1:13" x14ac:dyDescent="0.25">
      <c r="A411" s="100" t="str">
        <f t="shared" si="64"/>
        <v>STREET LIGHTING SERVICE CLASSIFICATION</v>
      </c>
      <c r="C411" s="117"/>
      <c r="D411" s="143" t="s">
        <v>166</v>
      </c>
      <c r="E411" s="119"/>
      <c r="F411" s="127"/>
      <c r="G411" s="142">
        <f>IF($E390&gt;0, $E390, $E389)</f>
        <v>251</v>
      </c>
      <c r="H411" s="122">
        <f>G411*F411</f>
        <v>0</v>
      </c>
      <c r="I411" s="128">
        <v>0</v>
      </c>
      <c r="J411" s="142">
        <f>IF($E390&gt;0, $E390, $E389)</f>
        <v>251</v>
      </c>
      <c r="K411" s="122">
        <f>J411*I411</f>
        <v>0</v>
      </c>
      <c r="L411" s="125">
        <f t="shared" si="61"/>
        <v>0</v>
      </c>
      <c r="M411" s="126" t="str">
        <f>IF(ISERROR(L411/H411), "", L411/H411)</f>
        <v/>
      </c>
    </row>
    <row r="412" spans="1:13" ht="25.5" x14ac:dyDescent="0.25">
      <c r="A412" s="100" t="str">
        <f t="shared" si="64"/>
        <v>STREET LIGHTING SERVICE CLASSIFICATION</v>
      </c>
      <c r="B412" s="105" t="s">
        <v>167</v>
      </c>
      <c r="C412" s="117">
        <f>B9</f>
        <v>7</v>
      </c>
      <c r="D412" s="147" t="s">
        <v>168</v>
      </c>
      <c r="E412" s="148"/>
      <c r="F412" s="149"/>
      <c r="G412" s="150"/>
      <c r="H412" s="151">
        <f>SUM(H403:H411)</f>
        <v>230.70123000000001</v>
      </c>
      <c r="I412" s="152"/>
      <c r="J412" s="153"/>
      <c r="K412" s="151">
        <f>SUM(K403:K411)</f>
        <v>1398.717969</v>
      </c>
      <c r="L412" s="138">
        <f t="shared" si="61"/>
        <v>1168.0167390000001</v>
      </c>
      <c r="M412" s="139">
        <f>IF((H412)=0,"",(L412/H412))</f>
        <v>5.0628977530809012</v>
      </c>
    </row>
    <row r="413" spans="1:13" x14ac:dyDescent="0.25">
      <c r="A413" s="100" t="str">
        <f t="shared" si="64"/>
        <v>STREET LIGHTING SERVICE CLASSIFICATION</v>
      </c>
      <c r="C413" s="117"/>
      <c r="D413" s="154" t="s">
        <v>169</v>
      </c>
      <c r="E413" s="119"/>
      <c r="F413" s="127">
        <v>1.8616999999999999</v>
      </c>
      <c r="G413" s="141">
        <f>IF($E390&gt;0, $E390, $E389*$E391)</f>
        <v>251</v>
      </c>
      <c r="H413" s="122">
        <f>G413*F413</f>
        <v>467.2867</v>
      </c>
      <c r="I413" s="128">
        <v>1.766</v>
      </c>
      <c r="J413" s="141">
        <f>IF($E390&gt;0, $E390, $E389*$E392)</f>
        <v>251</v>
      </c>
      <c r="K413" s="122">
        <f>J413*I413</f>
        <v>443.26600000000002</v>
      </c>
      <c r="L413" s="125">
        <f t="shared" si="61"/>
        <v>-24.020699999999977</v>
      </c>
      <c r="M413" s="126">
        <f>IF(ISERROR(L413/H413), "", L413/H413)</f>
        <v>-5.1404630176720152E-2</v>
      </c>
    </row>
    <row r="414" spans="1:13" ht="25.5" x14ac:dyDescent="0.25">
      <c r="A414" s="100" t="str">
        <f t="shared" si="64"/>
        <v>STREET LIGHTING SERVICE CLASSIFICATION</v>
      </c>
      <c r="C414" s="117"/>
      <c r="D414" s="155" t="s">
        <v>170</v>
      </c>
      <c r="E414" s="119"/>
      <c r="F414" s="127">
        <v>1.5617000000000001</v>
      </c>
      <c r="G414" s="141">
        <f>IF($E390&gt;0, $E390, $E389*$E391)</f>
        <v>251</v>
      </c>
      <c r="H414" s="122">
        <f>G414*F414</f>
        <v>391.98670000000004</v>
      </c>
      <c r="I414" s="128">
        <v>1.4761</v>
      </c>
      <c r="J414" s="141">
        <f>IF($E390&gt;0, $E390, $E389*$E392)</f>
        <v>251</v>
      </c>
      <c r="K414" s="122">
        <f>J414*I414</f>
        <v>370.50110000000001</v>
      </c>
      <c r="L414" s="125">
        <f t="shared" si="61"/>
        <v>-21.485600000000034</v>
      </c>
      <c r="M414" s="126">
        <f>IF(ISERROR(L414/H414), "", L414/H414)</f>
        <v>-5.4812063776653729E-2</v>
      </c>
    </row>
    <row r="415" spans="1:13" ht="25.5" x14ac:dyDescent="0.25">
      <c r="A415" s="100" t="str">
        <f t="shared" si="64"/>
        <v>STREET LIGHTING SERVICE CLASSIFICATION</v>
      </c>
      <c r="B415" s="105" t="s">
        <v>171</v>
      </c>
      <c r="C415" s="117">
        <f>B9</f>
        <v>7</v>
      </c>
      <c r="D415" s="147" t="s">
        <v>172</v>
      </c>
      <c r="E415" s="132"/>
      <c r="F415" s="149"/>
      <c r="G415" s="150"/>
      <c r="H415" s="151">
        <f>SUM(H412:H414)</f>
        <v>1089.9746300000002</v>
      </c>
      <c r="I415" s="152"/>
      <c r="J415" s="137"/>
      <c r="K415" s="151">
        <f>SUM(K412:K414)</f>
        <v>2212.4850690000003</v>
      </c>
      <c r="L415" s="138">
        <f t="shared" si="61"/>
        <v>1122.5104390000001</v>
      </c>
      <c r="M415" s="139">
        <f>IF((H415)=0,"",(L415/H415))</f>
        <v>1.0298500608220578</v>
      </c>
    </row>
    <row r="416" spans="1:13" ht="25.5" x14ac:dyDescent="0.25">
      <c r="A416" s="100" t="str">
        <f t="shared" si="64"/>
        <v>STREET LIGHTING SERVICE CLASSIFICATION</v>
      </c>
      <c r="C416" s="117"/>
      <c r="D416" s="156" t="s">
        <v>173</v>
      </c>
      <c r="E416" s="119"/>
      <c r="F416" s="127">
        <v>3.6000000000000003E-3</v>
      </c>
      <c r="G416" s="141">
        <f>E389*E391</f>
        <v>99299.238719999994</v>
      </c>
      <c r="H416" s="157">
        <f t="shared" ref="H416:H422" si="66">G416*F416</f>
        <v>357.47725939200001</v>
      </c>
      <c r="I416" s="128">
        <v>3.6000000000000003E-3</v>
      </c>
      <c r="J416" s="141">
        <f>E389*E392</f>
        <v>99299.238719999994</v>
      </c>
      <c r="K416" s="157">
        <f t="shared" ref="K416:K422" si="67">J416*I416</f>
        <v>357.47725939200001</v>
      </c>
      <c r="L416" s="125">
        <f t="shared" si="61"/>
        <v>0</v>
      </c>
      <c r="M416" s="126">
        <f t="shared" ref="M416:M424" si="68">IF(ISERROR(L416/H416), "", L416/H416)</f>
        <v>0</v>
      </c>
    </row>
    <row r="417" spans="1:13" ht="25.5" x14ac:dyDescent="0.25">
      <c r="A417" s="100" t="str">
        <f t="shared" si="64"/>
        <v>STREET LIGHTING SERVICE CLASSIFICATION</v>
      </c>
      <c r="C417" s="117"/>
      <c r="D417" s="156" t="s">
        <v>174</v>
      </c>
      <c r="E417" s="119"/>
      <c r="F417" s="127">
        <f>'[1]17. Regulatory Charges'!$D$16</f>
        <v>2.9999999999999997E-4</v>
      </c>
      <c r="G417" s="141">
        <f>E389*E391</f>
        <v>99299.238719999994</v>
      </c>
      <c r="H417" s="157">
        <f t="shared" si="66"/>
        <v>29.789771615999996</v>
      </c>
      <c r="I417" s="128">
        <v>2.9999999999999997E-4</v>
      </c>
      <c r="J417" s="141">
        <f>E389*E392</f>
        <v>99299.238719999994</v>
      </c>
      <c r="K417" s="157">
        <f t="shared" si="67"/>
        <v>29.789771615999996</v>
      </c>
      <c r="L417" s="125">
        <f t="shared" si="61"/>
        <v>0</v>
      </c>
      <c r="M417" s="126">
        <f t="shared" si="68"/>
        <v>0</v>
      </c>
    </row>
    <row r="418" spans="1:13" x14ac:dyDescent="0.25">
      <c r="A418" s="100" t="str">
        <f t="shared" si="64"/>
        <v>STREET LIGHTING SERVICE CLASSIFICATION</v>
      </c>
      <c r="C418" s="117"/>
      <c r="D418" s="158" t="s">
        <v>175</v>
      </c>
      <c r="E418" s="119"/>
      <c r="F418" s="145">
        <v>0.25</v>
      </c>
      <c r="G418" s="121">
        <v>1</v>
      </c>
      <c r="H418" s="157">
        <f t="shared" si="66"/>
        <v>0.25</v>
      </c>
      <c r="I418" s="146">
        <f>'[1]17. Regulatory Charges'!$D$17</f>
        <v>0.25</v>
      </c>
      <c r="J418" s="124">
        <v>1</v>
      </c>
      <c r="K418" s="157">
        <f t="shared" si="67"/>
        <v>0.25</v>
      </c>
      <c r="L418" s="125">
        <f t="shared" si="61"/>
        <v>0</v>
      </c>
      <c r="M418" s="126">
        <f t="shared" si="68"/>
        <v>0</v>
      </c>
    </row>
    <row r="419" spans="1:13" ht="25.5" x14ac:dyDescent="0.25">
      <c r="A419" s="100" t="str">
        <f t="shared" si="64"/>
        <v>STREET LIGHTING SERVICE CLASSIFICATION</v>
      </c>
      <c r="C419" s="117"/>
      <c r="D419" s="156" t="s">
        <v>176</v>
      </c>
      <c r="E419" s="119"/>
      <c r="F419" s="127"/>
      <c r="G419" s="141"/>
      <c r="H419" s="157"/>
      <c r="I419" s="128"/>
      <c r="J419" s="141"/>
      <c r="K419" s="157"/>
      <c r="L419" s="125"/>
      <c r="M419" s="126"/>
    </row>
    <row r="420" spans="1:13" hidden="1" x14ac:dyDescent="0.25">
      <c r="A420" s="100" t="str">
        <f t="shared" si="64"/>
        <v>STREET LIGHTING SERVICE CLASSIFICATION</v>
      </c>
      <c r="B420" s="105" t="s">
        <v>117</v>
      </c>
      <c r="C420" s="117"/>
      <c r="D420" s="159" t="s">
        <v>177</v>
      </c>
      <c r="E420" s="119"/>
      <c r="F420" s="160">
        <f>OffPeak</f>
        <v>6.5000000000000002E-2</v>
      </c>
      <c r="G420" s="161">
        <f>IF(AND(E389*12&gt;=150000),0.65*E389*E391,0.65*E389)</f>
        <v>64544.505168000003</v>
      </c>
      <c r="H420" s="157">
        <f t="shared" si="66"/>
        <v>4195.3928359199999</v>
      </c>
      <c r="I420" s="162">
        <f>OffPeak</f>
        <v>6.5000000000000002E-2</v>
      </c>
      <c r="J420" s="161">
        <f>IF(AND(E389*12&gt;=150000),0.65*E389*E392,0.65*E389)</f>
        <v>64544.505168000003</v>
      </c>
      <c r="K420" s="157">
        <f t="shared" si="67"/>
        <v>4195.3928359199999</v>
      </c>
      <c r="L420" s="125">
        <f>K420-H420</f>
        <v>0</v>
      </c>
      <c r="M420" s="126">
        <f t="shared" si="68"/>
        <v>0</v>
      </c>
    </row>
    <row r="421" spans="1:13" hidden="1" x14ac:dyDescent="0.25">
      <c r="A421" s="100" t="str">
        <f t="shared" si="64"/>
        <v>STREET LIGHTING SERVICE CLASSIFICATION</v>
      </c>
      <c r="B421" s="105" t="s">
        <v>117</v>
      </c>
      <c r="C421" s="117"/>
      <c r="D421" s="159" t="s">
        <v>178</v>
      </c>
      <c r="E421" s="119"/>
      <c r="F421" s="160">
        <f>MidPeak</f>
        <v>9.4E-2</v>
      </c>
      <c r="G421" s="161">
        <f>IF(AND(E389*12&gt;=150000),0.17*E389*E391,0.17*E389)</f>
        <v>16880.870582399999</v>
      </c>
      <c r="H421" s="157">
        <f t="shared" si="66"/>
        <v>1586.8018347456</v>
      </c>
      <c r="I421" s="162">
        <f>MidPeak</f>
        <v>9.4E-2</v>
      </c>
      <c r="J421" s="161">
        <f>IF(AND(E389*12&gt;=150000),0.17*E389*E392,0.17*E389)</f>
        <v>16880.870582399999</v>
      </c>
      <c r="K421" s="157">
        <f t="shared" si="67"/>
        <v>1586.8018347456</v>
      </c>
      <c r="L421" s="125">
        <f>K421-H421</f>
        <v>0</v>
      </c>
      <c r="M421" s="126">
        <f t="shared" si="68"/>
        <v>0</v>
      </c>
    </row>
    <row r="422" spans="1:13" hidden="1" x14ac:dyDescent="0.25">
      <c r="A422" s="100" t="str">
        <f t="shared" si="64"/>
        <v>STREET LIGHTING SERVICE CLASSIFICATION</v>
      </c>
      <c r="B422" s="105" t="s">
        <v>117</v>
      </c>
      <c r="C422" s="117"/>
      <c r="D422" s="105" t="s">
        <v>179</v>
      </c>
      <c r="E422" s="119"/>
      <c r="F422" s="160">
        <f>OnPeak</f>
        <v>0.13200000000000001</v>
      </c>
      <c r="G422" s="161">
        <f>IF(AND(E389*12&gt;=150000),0.18*E389*E391,0.18*E389)</f>
        <v>17873.862969599999</v>
      </c>
      <c r="H422" s="157">
        <f t="shared" si="66"/>
        <v>2359.3499119871999</v>
      </c>
      <c r="I422" s="162">
        <f>OnPeak</f>
        <v>0.13200000000000001</v>
      </c>
      <c r="J422" s="161">
        <f>IF(AND(E389*12&gt;=150000),0.18*E389*E392,0.18*E389)</f>
        <v>17873.862969599999</v>
      </c>
      <c r="K422" s="157">
        <f t="shared" si="67"/>
        <v>2359.3499119871999</v>
      </c>
      <c r="L422" s="125">
        <f>K422-H422</f>
        <v>0</v>
      </c>
      <c r="M422" s="126">
        <f t="shared" si="68"/>
        <v>0</v>
      </c>
    </row>
    <row r="423" spans="1:13" hidden="1" x14ac:dyDescent="0.25">
      <c r="A423" s="100" t="str">
        <f t="shared" si="64"/>
        <v>STREET LIGHTING SERVICE CLASSIFICATION</v>
      </c>
      <c r="B423" s="100" t="s">
        <v>180</v>
      </c>
      <c r="C423" s="117"/>
      <c r="D423" s="159" t="s">
        <v>181</v>
      </c>
      <c r="E423" s="119"/>
      <c r="F423" s="163">
        <v>0.1101</v>
      </c>
      <c r="G423" s="161">
        <f>IF(AND(E389*12&gt;=150000),E389*E391,E389)</f>
        <v>99299.238719999994</v>
      </c>
      <c r="H423" s="157">
        <f>G423*F423</f>
        <v>10932.846183071999</v>
      </c>
      <c r="I423" s="164">
        <f>F423</f>
        <v>0.1101</v>
      </c>
      <c r="J423" s="161">
        <f>IF(AND(E389*12&gt;=150000),E389*E392,E389)</f>
        <v>99299.238719999994</v>
      </c>
      <c r="K423" s="157">
        <f>J423*I423</f>
        <v>10932.846183071999</v>
      </c>
      <c r="L423" s="125">
        <f>K423-H423</f>
        <v>0</v>
      </c>
      <c r="M423" s="126">
        <f t="shared" si="68"/>
        <v>0</v>
      </c>
    </row>
    <row r="424" spans="1:13" ht="15.75" thickBot="1" x14ac:dyDescent="0.3">
      <c r="A424" s="100" t="str">
        <f t="shared" si="64"/>
        <v>STREET LIGHTING SERVICE CLASSIFICATION</v>
      </c>
      <c r="B424" s="100" t="s">
        <v>121</v>
      </c>
      <c r="C424" s="117"/>
      <c r="D424" s="159" t="s">
        <v>182</v>
      </c>
      <c r="E424" s="119"/>
      <c r="F424" s="163">
        <v>0.1101</v>
      </c>
      <c r="G424" s="161">
        <f>IF(AND(E389*12&gt;=150000),E389*E391,E389)</f>
        <v>99299.238719999994</v>
      </c>
      <c r="H424" s="157">
        <f>G424*F424</f>
        <v>10932.846183071999</v>
      </c>
      <c r="I424" s="164">
        <f>F424</f>
        <v>0.1101</v>
      </c>
      <c r="J424" s="161">
        <f>IF(AND(E389*12&gt;=150000),E389*E392,E389)</f>
        <v>99299.238719999994</v>
      </c>
      <c r="K424" s="157">
        <f>J424*I424</f>
        <v>10932.846183071999</v>
      </c>
      <c r="L424" s="125">
        <f>K424-H424</f>
        <v>0</v>
      </c>
      <c r="M424" s="126">
        <f t="shared" si="68"/>
        <v>0</v>
      </c>
    </row>
    <row r="425" spans="1:13" ht="15.75" thickBot="1" x14ac:dyDescent="0.3">
      <c r="A425" s="100" t="str">
        <f t="shared" si="64"/>
        <v>STREET LIGHTING SERVICE CLASSIFICATION</v>
      </c>
      <c r="B425" s="105"/>
      <c r="C425" s="117"/>
      <c r="D425" s="165"/>
      <c r="E425" s="166"/>
      <c r="F425" s="167"/>
      <c r="G425" s="168"/>
      <c r="H425" s="169"/>
      <c r="I425" s="167"/>
      <c r="J425" s="170"/>
      <c r="K425" s="169"/>
      <c r="L425" s="171"/>
      <c r="M425" s="172"/>
    </row>
    <row r="426" spans="1:13" hidden="1" x14ac:dyDescent="0.25">
      <c r="A426" s="100" t="str">
        <f t="shared" si="64"/>
        <v>STREET LIGHTING SERVICE CLASSIFICATION</v>
      </c>
      <c r="B426" s="105" t="s">
        <v>117</v>
      </c>
      <c r="C426" s="117"/>
      <c r="D426" s="173" t="s">
        <v>183</v>
      </c>
      <c r="E426" s="158"/>
      <c r="F426" s="174"/>
      <c r="G426" s="175"/>
      <c r="H426" s="176">
        <f>SUM(H416:H422,H415)</f>
        <v>9619.0362436608011</v>
      </c>
      <c r="I426" s="177"/>
      <c r="J426" s="177"/>
      <c r="K426" s="176">
        <f>SUM(K416:K422,K415)</f>
        <v>10741.546682660801</v>
      </c>
      <c r="L426" s="178">
        <f>K426-H426</f>
        <v>1122.5104389999997</v>
      </c>
      <c r="M426" s="179">
        <f>IF((H426)=0,"",(L426/H426))</f>
        <v>0.11669676780142747</v>
      </c>
    </row>
    <row r="427" spans="1:13" hidden="1" x14ac:dyDescent="0.25">
      <c r="A427" s="100" t="str">
        <f t="shared" si="64"/>
        <v>STREET LIGHTING SERVICE CLASSIFICATION</v>
      </c>
      <c r="B427" s="105" t="s">
        <v>117</v>
      </c>
      <c r="C427" s="117"/>
      <c r="D427" s="180" t="s">
        <v>184</v>
      </c>
      <c r="E427" s="158"/>
      <c r="F427" s="174">
        <v>0.13</v>
      </c>
      <c r="G427" s="181"/>
      <c r="H427" s="182">
        <f>H426*F427</f>
        <v>1250.4747116759042</v>
      </c>
      <c r="I427" s="183">
        <v>0.13</v>
      </c>
      <c r="J427" s="121"/>
      <c r="K427" s="182">
        <f>K426*I427</f>
        <v>1396.4010687459042</v>
      </c>
      <c r="L427" s="184">
        <f>K427-H427</f>
        <v>145.92635706999999</v>
      </c>
      <c r="M427" s="185">
        <f>IF((H427)=0,"",(L427/H427))</f>
        <v>0.1166967678014275</v>
      </c>
    </row>
    <row r="428" spans="1:13" hidden="1" x14ac:dyDescent="0.25">
      <c r="A428" s="100" t="str">
        <f t="shared" si="64"/>
        <v>STREET LIGHTING SERVICE CLASSIFICATION</v>
      </c>
      <c r="B428" s="105" t="s">
        <v>117</v>
      </c>
      <c r="C428" s="117"/>
      <c r="D428" s="180" t="s">
        <v>185</v>
      </c>
      <c r="E428" s="158"/>
      <c r="F428" s="174">
        <v>0.08</v>
      </c>
      <c r="G428" s="181"/>
      <c r="H428" s="182">
        <v>0</v>
      </c>
      <c r="I428" s="174">
        <v>0.08</v>
      </c>
      <c r="J428" s="121"/>
      <c r="K428" s="182">
        <v>0</v>
      </c>
      <c r="L428" s="184">
        <f>K428-H428</f>
        <v>0</v>
      </c>
      <c r="M428" s="185"/>
    </row>
    <row r="429" spans="1:13" ht="15.75" hidden="1" thickBot="1" x14ac:dyDescent="0.3">
      <c r="A429" s="100" t="str">
        <f t="shared" si="64"/>
        <v>STREET LIGHTING SERVICE CLASSIFICATION</v>
      </c>
      <c r="B429" s="105" t="s">
        <v>186</v>
      </c>
      <c r="C429" s="117"/>
      <c r="D429" s="301" t="s">
        <v>187</v>
      </c>
      <c r="E429" s="301"/>
      <c r="F429" s="186"/>
      <c r="G429" s="187"/>
      <c r="H429" s="188">
        <f>H426+H427+H428</f>
        <v>10869.510955336706</v>
      </c>
      <c r="I429" s="189"/>
      <c r="J429" s="189"/>
      <c r="K429" s="190">
        <f>K426+K427+K428</f>
        <v>12137.947751406706</v>
      </c>
      <c r="L429" s="191">
        <f>K429-H429</f>
        <v>1268.4367960700001</v>
      </c>
      <c r="M429" s="192">
        <f>IF((H429)=0,"",(L429/H429))</f>
        <v>0.11669676780142751</v>
      </c>
    </row>
    <row r="430" spans="1:13" ht="15.75" hidden="1" thickBot="1" x14ac:dyDescent="0.3">
      <c r="A430" s="100" t="str">
        <f t="shared" si="64"/>
        <v>STREET LIGHTING SERVICE CLASSIFICATION</v>
      </c>
      <c r="B430" s="100" t="s">
        <v>117</v>
      </c>
      <c r="C430" s="117"/>
      <c r="D430" s="165"/>
      <c r="E430" s="166"/>
      <c r="F430" s="167"/>
      <c r="G430" s="168"/>
      <c r="H430" s="169"/>
      <c r="I430" s="167"/>
      <c r="J430" s="170"/>
      <c r="K430" s="169"/>
      <c r="L430" s="171"/>
      <c r="M430" s="172"/>
    </row>
    <row r="431" spans="1:13" hidden="1" x14ac:dyDescent="0.25">
      <c r="A431" s="100" t="str">
        <f t="shared" si="64"/>
        <v>STREET LIGHTING SERVICE CLASSIFICATION</v>
      </c>
      <c r="B431" s="100" t="s">
        <v>180</v>
      </c>
      <c r="C431" s="117"/>
      <c r="D431" s="173" t="s">
        <v>188</v>
      </c>
      <c r="E431" s="158"/>
      <c r="F431" s="174"/>
      <c r="G431" s="175"/>
      <c r="H431" s="176">
        <f>SUM(H423,H416:H419,H415)</f>
        <v>12410.337844080001</v>
      </c>
      <c r="I431" s="177"/>
      <c r="J431" s="177"/>
      <c r="K431" s="176">
        <f>SUM(K423,K416:K419,K415)</f>
        <v>13532.84828308</v>
      </c>
      <c r="L431" s="178">
        <f>K431-H431</f>
        <v>1122.5104389999997</v>
      </c>
      <c r="M431" s="179">
        <f>IF((H431)=0,"",(L431/H431))</f>
        <v>9.0449627810532285E-2</v>
      </c>
    </row>
    <row r="432" spans="1:13" hidden="1" x14ac:dyDescent="0.25">
      <c r="A432" s="100" t="str">
        <f t="shared" si="64"/>
        <v>STREET LIGHTING SERVICE CLASSIFICATION</v>
      </c>
      <c r="B432" s="100" t="s">
        <v>180</v>
      </c>
      <c r="C432" s="117"/>
      <c r="D432" s="180" t="s">
        <v>184</v>
      </c>
      <c r="E432" s="158"/>
      <c r="F432" s="174">
        <v>0.13</v>
      </c>
      <c r="G432" s="175"/>
      <c r="H432" s="182">
        <f>H431*F432</f>
        <v>1613.3439197304001</v>
      </c>
      <c r="I432" s="174">
        <v>0.13</v>
      </c>
      <c r="J432" s="183"/>
      <c r="K432" s="182">
        <f>K431*I432</f>
        <v>1759.2702768004001</v>
      </c>
      <c r="L432" s="184">
        <f>K432-H432</f>
        <v>145.92635706999999</v>
      </c>
      <c r="M432" s="185">
        <f>IF((H432)=0,"",(L432/H432))</f>
        <v>9.0449627810532299E-2</v>
      </c>
    </row>
    <row r="433" spans="1:13" hidden="1" x14ac:dyDescent="0.25">
      <c r="A433" s="100" t="str">
        <f t="shared" si="64"/>
        <v>STREET LIGHTING SERVICE CLASSIFICATION</v>
      </c>
      <c r="B433" s="100" t="s">
        <v>180</v>
      </c>
      <c r="C433" s="117"/>
      <c r="D433" s="180" t="s">
        <v>185</v>
      </c>
      <c r="E433" s="158"/>
      <c r="F433" s="174">
        <v>0.08</v>
      </c>
      <c r="G433" s="175"/>
      <c r="H433" s="182">
        <v>0</v>
      </c>
      <c r="I433" s="174">
        <v>0.08</v>
      </c>
      <c r="J433" s="183"/>
      <c r="K433" s="182">
        <v>0</v>
      </c>
      <c r="L433" s="184"/>
      <c r="M433" s="185"/>
    </row>
    <row r="434" spans="1:13" ht="15.75" hidden="1" thickBot="1" x14ac:dyDescent="0.3">
      <c r="A434" s="100" t="str">
        <f t="shared" si="64"/>
        <v>STREET LIGHTING SERVICE CLASSIFICATION</v>
      </c>
      <c r="B434" s="100" t="s">
        <v>189</v>
      </c>
      <c r="C434" s="117"/>
      <c r="D434" s="301" t="s">
        <v>188</v>
      </c>
      <c r="E434" s="301"/>
      <c r="F434" s="193"/>
      <c r="G434" s="194"/>
      <c r="H434" s="188">
        <f>SUM(H431,H432)</f>
        <v>14023.6817638104</v>
      </c>
      <c r="I434" s="195"/>
      <c r="J434" s="195"/>
      <c r="K434" s="188">
        <f>SUM(K431,K432)</f>
        <v>15292.1185598804</v>
      </c>
      <c r="L434" s="196">
        <f>K434-H434</f>
        <v>1268.4367960700001</v>
      </c>
      <c r="M434" s="197">
        <f>IF((H434)=0,"",(L434/H434))</f>
        <v>9.0449627810532326E-2</v>
      </c>
    </row>
    <row r="435" spans="1:13" ht="15.75" hidden="1" thickBot="1" x14ac:dyDescent="0.3">
      <c r="A435" s="100" t="str">
        <f t="shared" si="64"/>
        <v>STREET LIGHTING SERVICE CLASSIFICATION</v>
      </c>
      <c r="B435" s="100" t="s">
        <v>180</v>
      </c>
      <c r="C435" s="117"/>
      <c r="D435" s="165"/>
      <c r="E435" s="166"/>
      <c r="F435" s="198"/>
      <c r="G435" s="199"/>
      <c r="H435" s="200"/>
      <c r="I435" s="198"/>
      <c r="J435" s="168"/>
      <c r="K435" s="200"/>
      <c r="L435" s="201"/>
      <c r="M435" s="172"/>
    </row>
    <row r="436" spans="1:13" x14ac:dyDescent="0.25">
      <c r="A436" s="100" t="str">
        <f t="shared" si="64"/>
        <v>STREET LIGHTING SERVICE CLASSIFICATION</v>
      </c>
      <c r="B436" s="100" t="s">
        <v>121</v>
      </c>
      <c r="C436" s="117"/>
      <c r="D436" s="173" t="s">
        <v>190</v>
      </c>
      <c r="E436" s="158"/>
      <c r="F436" s="174"/>
      <c r="G436" s="175"/>
      <c r="H436" s="176">
        <f>SUM(H424,H416:H419,H415)</f>
        <v>12410.337844080001</v>
      </c>
      <c r="I436" s="177"/>
      <c r="J436" s="177"/>
      <c r="K436" s="176">
        <f>SUM(K424,K416:K419,K415)</f>
        <v>13532.84828308</v>
      </c>
      <c r="L436" s="178">
        <f>K436-H436</f>
        <v>1122.5104389999997</v>
      </c>
      <c r="M436" s="179">
        <f>IF((H436)=0,"",(L436/H436))</f>
        <v>9.0449627810532285E-2</v>
      </c>
    </row>
    <row r="437" spans="1:13" x14ac:dyDescent="0.25">
      <c r="A437" s="100" t="str">
        <f t="shared" si="64"/>
        <v>STREET LIGHTING SERVICE CLASSIFICATION</v>
      </c>
      <c r="B437" s="100" t="s">
        <v>121</v>
      </c>
      <c r="C437" s="117"/>
      <c r="D437" s="180" t="s">
        <v>184</v>
      </c>
      <c r="E437" s="158"/>
      <c r="F437" s="174">
        <v>0.13</v>
      </c>
      <c r="G437" s="175"/>
      <c r="H437" s="182">
        <f>H436*F437</f>
        <v>1613.3439197304001</v>
      </c>
      <c r="I437" s="174">
        <v>0.13</v>
      </c>
      <c r="J437" s="183"/>
      <c r="K437" s="182">
        <f>K436*I437</f>
        <v>1759.2702768004001</v>
      </c>
      <c r="L437" s="184">
        <f>K437-H437</f>
        <v>145.92635706999999</v>
      </c>
      <c r="M437" s="185">
        <f>IF((H437)=0,"",(L437/H437))</f>
        <v>9.0449627810532299E-2</v>
      </c>
    </row>
    <row r="438" spans="1:13" x14ac:dyDescent="0.25">
      <c r="A438" s="100" t="str">
        <f t="shared" si="64"/>
        <v>STREET LIGHTING SERVICE CLASSIFICATION</v>
      </c>
      <c r="B438" s="100" t="s">
        <v>121</v>
      </c>
      <c r="C438" s="117"/>
      <c r="D438" s="180" t="s">
        <v>185</v>
      </c>
      <c r="E438" s="158"/>
      <c r="F438" s="174">
        <v>0.08</v>
      </c>
      <c r="G438" s="175"/>
      <c r="H438" s="182">
        <v>0</v>
      </c>
      <c r="I438" s="174">
        <v>0.08</v>
      </c>
      <c r="J438" s="183"/>
      <c r="K438" s="182">
        <v>0</v>
      </c>
      <c r="L438" s="184"/>
      <c r="M438" s="185"/>
    </row>
    <row r="439" spans="1:13" ht="15.75" thickBot="1" x14ac:dyDescent="0.3">
      <c r="A439" s="100" t="str">
        <f t="shared" si="64"/>
        <v>STREET LIGHTING SERVICE CLASSIFICATION</v>
      </c>
      <c r="B439" s="100" t="s">
        <v>191</v>
      </c>
      <c r="C439" s="117">
        <f>B9</f>
        <v>7</v>
      </c>
      <c r="D439" s="301" t="s">
        <v>190</v>
      </c>
      <c r="E439" s="301"/>
      <c r="F439" s="193"/>
      <c r="G439" s="194"/>
      <c r="H439" s="188">
        <f>SUM(H436,H437)</f>
        <v>14023.6817638104</v>
      </c>
      <c r="I439" s="195"/>
      <c r="J439" s="195"/>
      <c r="K439" s="188">
        <f>SUM(K436,K437)</f>
        <v>15292.1185598804</v>
      </c>
      <c r="L439" s="196">
        <f>K439-H439</f>
        <v>1268.4367960700001</v>
      </c>
      <c r="M439" s="197">
        <f>IF((H439)=0,"",(L439/H439))</f>
        <v>9.0449627810532326E-2</v>
      </c>
    </row>
    <row r="440" spans="1:13" ht="15.75" thickBot="1" x14ac:dyDescent="0.3">
      <c r="A440" s="100" t="str">
        <f t="shared" si="64"/>
        <v>STREET LIGHTING SERVICE CLASSIFICATION</v>
      </c>
      <c r="B440" s="100" t="s">
        <v>121</v>
      </c>
      <c r="C440" s="117"/>
      <c r="D440" s="165"/>
      <c r="E440" s="166"/>
      <c r="F440" s="202"/>
      <c r="G440" s="203"/>
      <c r="H440" s="204"/>
      <c r="I440" s="202"/>
      <c r="J440" s="205"/>
      <c r="K440" s="204"/>
      <c r="L440" s="206"/>
      <c r="M440" s="207"/>
    </row>
    <row r="443" spans="1:13" x14ac:dyDescent="0.25">
      <c r="C443" s="100"/>
      <c r="D443" s="101" t="s">
        <v>134</v>
      </c>
      <c r="E443" s="302" t="str">
        <f>D10</f>
        <v>RESIDENTIAL SERVICE CLASSIFICATION</v>
      </c>
      <c r="F443" s="302"/>
      <c r="G443" s="302"/>
      <c r="H443" s="302"/>
      <c r="I443" s="302"/>
      <c r="J443" s="302"/>
      <c r="K443" s="100" t="str">
        <f>IF(N10="DEMAND - INTERVAL","RTSR - INTERVAL METERED","")</f>
        <v/>
      </c>
    </row>
    <row r="444" spans="1:13" x14ac:dyDescent="0.25">
      <c r="C444" s="100"/>
      <c r="D444" s="101" t="s">
        <v>135</v>
      </c>
      <c r="E444" s="303" t="str">
        <f>H10</f>
        <v>RPP</v>
      </c>
      <c r="F444" s="303"/>
      <c r="G444" s="303"/>
      <c r="H444" s="102"/>
      <c r="I444" s="102"/>
    </row>
    <row r="445" spans="1:13" ht="15.75" x14ac:dyDescent="0.25">
      <c r="C445" s="100"/>
      <c r="D445" s="101" t="s">
        <v>136</v>
      </c>
      <c r="E445" s="103">
        <f>K10</f>
        <v>342</v>
      </c>
      <c r="F445" s="104" t="s">
        <v>137</v>
      </c>
      <c r="G445" s="105"/>
      <c r="J445" s="106"/>
      <c r="K445" s="106"/>
      <c r="L445" s="106"/>
      <c r="M445" s="106"/>
    </row>
    <row r="446" spans="1:13" ht="15.75" x14ac:dyDescent="0.25">
      <c r="C446" s="100"/>
      <c r="D446" s="101" t="s">
        <v>138</v>
      </c>
      <c r="E446" s="103">
        <f>L10</f>
        <v>0</v>
      </c>
      <c r="F446" s="107" t="s">
        <v>139</v>
      </c>
      <c r="G446" s="108"/>
      <c r="H446" s="109"/>
      <c r="I446" s="109"/>
      <c r="J446" s="109"/>
    </row>
    <row r="447" spans="1:13" x14ac:dyDescent="0.25">
      <c r="C447" s="100"/>
      <c r="D447" s="101" t="s">
        <v>140</v>
      </c>
      <c r="E447" s="110">
        <f>I10</f>
        <v>1.056</v>
      </c>
    </row>
    <row r="448" spans="1:13" x14ac:dyDescent="0.25">
      <c r="C448" s="100"/>
      <c r="D448" s="101" t="s">
        <v>141</v>
      </c>
      <c r="E448" s="110">
        <f>J10</f>
        <v>1.056</v>
      </c>
    </row>
    <row r="449" spans="1:13" x14ac:dyDescent="0.25">
      <c r="C449" s="100"/>
      <c r="D449" s="105"/>
    </row>
    <row r="450" spans="1:13" x14ac:dyDescent="0.25">
      <c r="C450" s="100"/>
      <c r="D450" s="105"/>
      <c r="E450" s="111"/>
      <c r="F450" s="304" t="s">
        <v>142</v>
      </c>
      <c r="G450" s="305"/>
      <c r="H450" s="306"/>
      <c r="I450" s="304" t="s">
        <v>143</v>
      </c>
      <c r="J450" s="305"/>
      <c r="K450" s="306"/>
      <c r="L450" s="304" t="s">
        <v>144</v>
      </c>
      <c r="M450" s="306"/>
    </row>
    <row r="451" spans="1:13" x14ac:dyDescent="0.25">
      <c r="C451" s="100"/>
      <c r="D451" s="105"/>
      <c r="E451" s="295"/>
      <c r="F451" s="112" t="s">
        <v>145</v>
      </c>
      <c r="G451" s="112" t="s">
        <v>146</v>
      </c>
      <c r="H451" s="113" t="s">
        <v>147</v>
      </c>
      <c r="I451" s="112" t="s">
        <v>145</v>
      </c>
      <c r="J451" s="114" t="s">
        <v>146</v>
      </c>
      <c r="K451" s="113" t="s">
        <v>147</v>
      </c>
      <c r="L451" s="297" t="s">
        <v>148</v>
      </c>
      <c r="M451" s="299" t="s">
        <v>149</v>
      </c>
    </row>
    <row r="452" spans="1:13" x14ac:dyDescent="0.25">
      <c r="C452" s="100"/>
      <c r="D452" s="105"/>
      <c r="E452" s="296"/>
      <c r="F452" s="115" t="s">
        <v>150</v>
      </c>
      <c r="G452" s="115"/>
      <c r="H452" s="116" t="s">
        <v>150</v>
      </c>
      <c r="I452" s="115" t="s">
        <v>150</v>
      </c>
      <c r="J452" s="116"/>
      <c r="K452" s="116" t="s">
        <v>150</v>
      </c>
      <c r="L452" s="298"/>
      <c r="M452" s="300"/>
    </row>
    <row r="453" spans="1:13" x14ac:dyDescent="0.25">
      <c r="A453" s="100" t="str">
        <f>$E443</f>
        <v>RESIDENTIAL SERVICE CLASSIFICATION</v>
      </c>
      <c r="C453" s="117"/>
      <c r="D453" s="118" t="s">
        <v>151</v>
      </c>
      <c r="E453" s="119"/>
      <c r="F453" s="120">
        <v>23.48</v>
      </c>
      <c r="G453" s="121">
        <v>1</v>
      </c>
      <c r="H453" s="122">
        <f>G453*F453</f>
        <v>23.48</v>
      </c>
      <c r="I453" s="123">
        <v>26.72</v>
      </c>
      <c r="J453" s="124">
        <f>G453</f>
        <v>1</v>
      </c>
      <c r="K453" s="122">
        <f>J453*I453</f>
        <v>26.72</v>
      </c>
      <c r="L453" s="125">
        <f t="shared" ref="L453:L474" si="69">K453-H453</f>
        <v>3.2399999999999984</v>
      </c>
      <c r="M453" s="126">
        <f>IF(ISERROR(L453/H453), "", L453/H453)</f>
        <v>0.13798977853492328</v>
      </c>
    </row>
    <row r="454" spans="1:13" x14ac:dyDescent="0.25">
      <c r="A454" s="100" t="str">
        <f>A453</f>
        <v>RESIDENTIAL SERVICE CLASSIFICATION</v>
      </c>
      <c r="C454" s="117"/>
      <c r="D454" s="118" t="s">
        <v>152</v>
      </c>
      <c r="E454" s="119"/>
      <c r="F454" s="127">
        <v>3.3999999999999998E-3</v>
      </c>
      <c r="G454" s="121">
        <f>IF($E446&gt;0, $E446, $E445)</f>
        <v>342</v>
      </c>
      <c r="H454" s="122">
        <f t="shared" ref="H454:H466" si="70">G454*F454</f>
        <v>1.1627999999999998</v>
      </c>
      <c r="I454" s="128">
        <v>0</v>
      </c>
      <c r="J454" s="124">
        <f>IF($E446&gt;0, $E446, $E445)</f>
        <v>342</v>
      </c>
      <c r="K454" s="122">
        <f>J454*I454</f>
        <v>0</v>
      </c>
      <c r="L454" s="125">
        <f t="shared" si="69"/>
        <v>-1.1627999999999998</v>
      </c>
      <c r="M454" s="126">
        <f t="shared" ref="M454:M464" si="71">IF(ISERROR(L454/H454), "", L454/H454)</f>
        <v>-1</v>
      </c>
    </row>
    <row r="455" spans="1:13" x14ac:dyDescent="0.25">
      <c r="A455" s="100" t="str">
        <f t="shared" ref="A455:A496" si="72">A454</f>
        <v>RESIDENTIAL SERVICE CLASSIFICATION</v>
      </c>
      <c r="C455" s="117"/>
      <c r="D455" s="118" t="s">
        <v>153</v>
      </c>
      <c r="E455" s="119"/>
      <c r="F455" s="127"/>
      <c r="G455" s="121">
        <f>IF($E446&gt;0, $E446, $E445)</f>
        <v>342</v>
      </c>
      <c r="H455" s="122">
        <v>0</v>
      </c>
      <c r="I455" s="128"/>
      <c r="J455" s="124">
        <f>IF($E446&gt;0, $E446, $E445)</f>
        <v>342</v>
      </c>
      <c r="K455" s="122">
        <v>0</v>
      </c>
      <c r="L455" s="125"/>
      <c r="M455" s="126"/>
    </row>
    <row r="456" spans="1:13" x14ac:dyDescent="0.25">
      <c r="A456" s="100" t="str">
        <f t="shared" si="72"/>
        <v>RESIDENTIAL SERVICE CLASSIFICATION</v>
      </c>
      <c r="C456" s="117"/>
      <c r="D456" s="118" t="s">
        <v>154</v>
      </c>
      <c r="E456" s="119"/>
      <c r="F456" s="127"/>
      <c r="G456" s="121">
        <f>IF($E446&gt;0, $E446, $E445)</f>
        <v>342</v>
      </c>
      <c r="H456" s="122">
        <v>0</v>
      </c>
      <c r="I456" s="128"/>
      <c r="J456" s="121">
        <f>IF($E446&gt;0, $E446, $E445)</f>
        <v>342</v>
      </c>
      <c r="K456" s="122">
        <v>0</v>
      </c>
      <c r="L456" s="125">
        <f>K456-H456</f>
        <v>0</v>
      </c>
      <c r="M456" s="126" t="str">
        <f>IF(ISERROR(L456/H456), "", L456/H456)</f>
        <v/>
      </c>
    </row>
    <row r="457" spans="1:13" x14ac:dyDescent="0.25">
      <c r="A457" s="100" t="str">
        <f t="shared" si="72"/>
        <v>RESIDENTIAL SERVICE CLASSIFICATION</v>
      </c>
      <c r="C457" s="117"/>
      <c r="D457" s="129" t="s">
        <v>155</v>
      </c>
      <c r="E457" s="119"/>
      <c r="F457" s="120">
        <v>0</v>
      </c>
      <c r="G457" s="121">
        <v>1</v>
      </c>
      <c r="H457" s="122">
        <f t="shared" si="70"/>
        <v>0</v>
      </c>
      <c r="I457" s="123">
        <v>0</v>
      </c>
      <c r="J457" s="124">
        <f>G457</f>
        <v>1</v>
      </c>
      <c r="K457" s="122">
        <f t="shared" ref="K457:K464" si="73">J457*I457</f>
        <v>0</v>
      </c>
      <c r="L457" s="125">
        <f t="shared" si="69"/>
        <v>0</v>
      </c>
      <c r="M457" s="126" t="str">
        <f t="shared" si="71"/>
        <v/>
      </c>
    </row>
    <row r="458" spans="1:13" x14ac:dyDescent="0.25">
      <c r="A458" s="100" t="str">
        <f t="shared" si="72"/>
        <v>RESIDENTIAL SERVICE CLASSIFICATION</v>
      </c>
      <c r="C458" s="117"/>
      <c r="D458" s="118" t="s">
        <v>156</v>
      </c>
      <c r="E458" s="119"/>
      <c r="F458" s="127">
        <v>0</v>
      </c>
      <c r="G458" s="121">
        <f>IF($E446&gt;0, $E446, $E445)</f>
        <v>342</v>
      </c>
      <c r="H458" s="122">
        <f t="shared" si="70"/>
        <v>0</v>
      </c>
      <c r="I458" s="128">
        <v>0</v>
      </c>
      <c r="J458" s="124">
        <f>IF($E446&gt;0, $E446, $E445)</f>
        <v>342</v>
      </c>
      <c r="K458" s="122">
        <f t="shared" si="73"/>
        <v>0</v>
      </c>
      <c r="L458" s="125">
        <f t="shared" si="69"/>
        <v>0</v>
      </c>
      <c r="M458" s="126" t="str">
        <f t="shared" si="71"/>
        <v/>
      </c>
    </row>
    <row r="459" spans="1:13" x14ac:dyDescent="0.25">
      <c r="A459" s="100" t="str">
        <f t="shared" si="72"/>
        <v>RESIDENTIAL SERVICE CLASSIFICATION</v>
      </c>
      <c r="B459" s="130" t="s">
        <v>157</v>
      </c>
      <c r="C459" s="117">
        <f>B10</f>
        <v>8</v>
      </c>
      <c r="D459" s="131" t="s">
        <v>158</v>
      </c>
      <c r="E459" s="132"/>
      <c r="F459" s="133"/>
      <c r="G459" s="134"/>
      <c r="H459" s="135">
        <f>SUM(H453:H458)</f>
        <v>24.642800000000001</v>
      </c>
      <c r="I459" s="136"/>
      <c r="J459" s="137"/>
      <c r="K459" s="135">
        <f>SUM(K453:K458)</f>
        <v>26.72</v>
      </c>
      <c r="L459" s="138">
        <f t="shared" si="69"/>
        <v>2.0771999999999977</v>
      </c>
      <c r="M459" s="139">
        <f>IF((H459)=0,"",(L459/H459))</f>
        <v>8.4292369373610052E-2</v>
      </c>
    </row>
    <row r="460" spans="1:13" x14ac:dyDescent="0.25">
      <c r="A460" s="100" t="str">
        <f t="shared" si="72"/>
        <v>RESIDENTIAL SERVICE CLASSIFICATION</v>
      </c>
      <c r="C460" s="117"/>
      <c r="D460" s="140" t="s">
        <v>159</v>
      </c>
      <c r="E460" s="119"/>
      <c r="F460" s="127">
        <f>IF((E445*12&gt;=150000), 0, IF(E444="RPP",(F476*0.65+F477*0.17+F478*0.18),IF(E444="Non-RPP (Retailer)",F479,F480)))</f>
        <v>8.1990000000000007E-2</v>
      </c>
      <c r="G460" s="141">
        <f>IF(F460=0, 0, $E445*E447-E445)</f>
        <v>19.152000000000044</v>
      </c>
      <c r="H460" s="122">
        <f>G460*F460</f>
        <v>1.5702724800000036</v>
      </c>
      <c r="I460" s="128">
        <f>IF((E445*12&gt;=150000), 0, IF(E444="RPP",(I476*0.65+I477*0.17+I478*0.18),IF(E444="Non-RPP (Retailer)",I479,I480)))</f>
        <v>8.1990000000000007E-2</v>
      </c>
      <c r="J460" s="141">
        <f>IF(I460=0, 0, E445*E448-E445)</f>
        <v>19.152000000000044</v>
      </c>
      <c r="K460" s="122">
        <f>J460*I460</f>
        <v>1.5702724800000036</v>
      </c>
      <c r="L460" s="125">
        <f>K460-H460</f>
        <v>0</v>
      </c>
      <c r="M460" s="126">
        <f>IF(ISERROR(L460/H460), "", L460/H460)</f>
        <v>0</v>
      </c>
    </row>
    <row r="461" spans="1:13" ht="25.5" x14ac:dyDescent="0.25">
      <c r="A461" s="100" t="str">
        <f t="shared" si="72"/>
        <v>RESIDENTIAL SERVICE CLASSIFICATION</v>
      </c>
      <c r="C461" s="117"/>
      <c r="D461" s="140" t="s">
        <v>160</v>
      </c>
      <c r="E461" s="119"/>
      <c r="F461" s="127">
        <v>-1.4E-3</v>
      </c>
      <c r="G461" s="142">
        <f>IF($E446&gt;0, $E446, $E445)</f>
        <v>342</v>
      </c>
      <c r="H461" s="122">
        <f t="shared" si="70"/>
        <v>-0.4788</v>
      </c>
      <c r="I461" s="128">
        <v>-5.3E-3</v>
      </c>
      <c r="J461" s="142">
        <f>IF($E446&gt;0, $E446, $E445)</f>
        <v>342</v>
      </c>
      <c r="K461" s="122">
        <f t="shared" si="73"/>
        <v>-1.8126</v>
      </c>
      <c r="L461" s="125">
        <f t="shared" si="69"/>
        <v>-1.3338000000000001</v>
      </c>
      <c r="M461" s="126">
        <f t="shared" si="71"/>
        <v>2.785714285714286</v>
      </c>
    </row>
    <row r="462" spans="1:13" x14ac:dyDescent="0.25">
      <c r="A462" s="100" t="str">
        <f t="shared" si="72"/>
        <v>RESIDENTIAL SERVICE CLASSIFICATION</v>
      </c>
      <c r="C462" s="117"/>
      <c r="D462" s="140" t="s">
        <v>161</v>
      </c>
      <c r="E462" s="119"/>
      <c r="F462" s="127">
        <v>-1E-4</v>
      </c>
      <c r="G462" s="142">
        <f>IF($E446&gt;0, $E446, $E445)</f>
        <v>342</v>
      </c>
      <c r="H462" s="122">
        <f>G462*F462</f>
        <v>-3.4200000000000001E-2</v>
      </c>
      <c r="I462" s="128">
        <v>0</v>
      </c>
      <c r="J462" s="142">
        <f>IF($E446&gt;0, $E446, $E445)</f>
        <v>342</v>
      </c>
      <c r="K462" s="122">
        <f>J462*I462</f>
        <v>0</v>
      </c>
      <c r="L462" s="125">
        <f t="shared" si="69"/>
        <v>3.4200000000000001E-2</v>
      </c>
      <c r="M462" s="126">
        <f t="shared" si="71"/>
        <v>-1</v>
      </c>
    </row>
    <row r="463" spans="1:13" x14ac:dyDescent="0.25">
      <c r="A463" s="100" t="str">
        <f t="shared" si="72"/>
        <v>RESIDENTIAL SERVICE CLASSIFICATION</v>
      </c>
      <c r="C463" s="117"/>
      <c r="D463" s="140" t="s">
        <v>162</v>
      </c>
      <c r="E463" s="119"/>
      <c r="F463" s="127">
        <v>0</v>
      </c>
      <c r="G463" s="142">
        <f>E445</f>
        <v>342</v>
      </c>
      <c r="H463" s="122">
        <f>G463*F463</f>
        <v>0</v>
      </c>
      <c r="I463" s="128">
        <v>0</v>
      </c>
      <c r="J463" s="142">
        <f>E445</f>
        <v>342</v>
      </c>
      <c r="K463" s="122">
        <f t="shared" si="73"/>
        <v>0</v>
      </c>
      <c r="L463" s="125">
        <f t="shared" si="69"/>
        <v>0</v>
      </c>
      <c r="M463" s="126" t="str">
        <f t="shared" si="71"/>
        <v/>
      </c>
    </row>
    <row r="464" spans="1:13" x14ac:dyDescent="0.25">
      <c r="A464" s="100" t="str">
        <f t="shared" si="72"/>
        <v>RESIDENTIAL SERVICE CLASSIFICATION</v>
      </c>
      <c r="C464" s="117"/>
      <c r="D464" s="143" t="s">
        <v>163</v>
      </c>
      <c r="E464" s="119"/>
      <c r="F464" s="127">
        <v>2.5999999999999999E-3</v>
      </c>
      <c r="G464" s="142">
        <f>IF($E446&gt;0, $E446, $E445)</f>
        <v>342</v>
      </c>
      <c r="H464" s="122">
        <f t="shared" si="70"/>
        <v>0.88919999999999999</v>
      </c>
      <c r="I464" s="128">
        <v>2.5999999999999999E-3</v>
      </c>
      <c r="J464" s="142">
        <f>IF($E446&gt;0, $E446, $E445)</f>
        <v>342</v>
      </c>
      <c r="K464" s="122">
        <f t="shared" si="73"/>
        <v>0.88919999999999999</v>
      </c>
      <c r="L464" s="125">
        <f t="shared" si="69"/>
        <v>0</v>
      </c>
      <c r="M464" s="126">
        <f t="shared" si="71"/>
        <v>0</v>
      </c>
    </row>
    <row r="465" spans="1:13" ht="25.5" x14ac:dyDescent="0.25">
      <c r="A465" s="100" t="str">
        <f t="shared" si="72"/>
        <v>RESIDENTIAL SERVICE CLASSIFICATION</v>
      </c>
      <c r="C465" s="117"/>
      <c r="D465" s="144" t="s">
        <v>164</v>
      </c>
      <c r="E465" s="119"/>
      <c r="F465" s="145">
        <f>IF(OR(ISNUMBER(SEARCH("RESIDENTIAL", E443))=TRUE, ISNUMBER(SEARCH("GENERAL SERVICE LESS THAN 50", E443))=TRUE), SME, 0)</f>
        <v>0.56999999999999995</v>
      </c>
      <c r="G465" s="121">
        <v>1</v>
      </c>
      <c r="H465" s="122">
        <f>G465*F465</f>
        <v>0.56999999999999995</v>
      </c>
      <c r="I465" s="146">
        <f>IF(OR(ISNUMBER(SEARCH("RESIDENTIAL", E443))=TRUE, ISNUMBER(SEARCH("GENERAL SERVICE LESS THAN 50", E443))=TRUE), SME, 0)</f>
        <v>0.56999999999999995</v>
      </c>
      <c r="J465" s="121">
        <v>1</v>
      </c>
      <c r="K465" s="122">
        <f>J465*I465</f>
        <v>0.56999999999999995</v>
      </c>
      <c r="L465" s="125">
        <f t="shared" si="69"/>
        <v>0</v>
      </c>
      <c r="M465" s="126">
        <f>IF(ISERROR(L465/H465), "", L465/H465)</f>
        <v>0</v>
      </c>
    </row>
    <row r="466" spans="1:13" x14ac:dyDescent="0.25">
      <c r="A466" s="100" t="str">
        <f t="shared" si="72"/>
        <v>RESIDENTIAL SERVICE CLASSIFICATION</v>
      </c>
      <c r="C466" s="117"/>
      <c r="D466" s="143" t="s">
        <v>165</v>
      </c>
      <c r="E466" s="119"/>
      <c r="F466" s="120">
        <v>0</v>
      </c>
      <c r="G466" s="121">
        <v>1</v>
      </c>
      <c r="H466" s="122">
        <f t="shared" si="70"/>
        <v>0</v>
      </c>
      <c r="I466" s="123">
        <v>0</v>
      </c>
      <c r="J466" s="121">
        <v>1</v>
      </c>
      <c r="K466" s="122">
        <f>J466*I466</f>
        <v>0</v>
      </c>
      <c r="L466" s="125">
        <f>K466-H466</f>
        <v>0</v>
      </c>
      <c r="M466" s="126" t="str">
        <f>IF(ISERROR(L466/H466), "", L466/H466)</f>
        <v/>
      </c>
    </row>
    <row r="467" spans="1:13" x14ac:dyDescent="0.25">
      <c r="A467" s="100" t="str">
        <f t="shared" si="72"/>
        <v>RESIDENTIAL SERVICE CLASSIFICATION</v>
      </c>
      <c r="C467" s="117"/>
      <c r="D467" s="143" t="s">
        <v>166</v>
      </c>
      <c r="E467" s="119"/>
      <c r="F467" s="127"/>
      <c r="G467" s="142">
        <f>IF($E446&gt;0, $E446, $E445)</f>
        <v>342</v>
      </c>
      <c r="H467" s="122">
        <f>G467*F467</f>
        <v>0</v>
      </c>
      <c r="I467" s="128">
        <v>0</v>
      </c>
      <c r="J467" s="142">
        <f>IF($E446&gt;0, $E446, $E445)</f>
        <v>342</v>
      </c>
      <c r="K467" s="122">
        <f>J467*I467</f>
        <v>0</v>
      </c>
      <c r="L467" s="125">
        <f t="shared" si="69"/>
        <v>0</v>
      </c>
      <c r="M467" s="126" t="str">
        <f>IF(ISERROR(L467/H467), "", L467/H467)</f>
        <v/>
      </c>
    </row>
    <row r="468" spans="1:13" ht="25.5" x14ac:dyDescent="0.25">
      <c r="A468" s="100" t="str">
        <f t="shared" si="72"/>
        <v>RESIDENTIAL SERVICE CLASSIFICATION</v>
      </c>
      <c r="B468" s="105" t="s">
        <v>167</v>
      </c>
      <c r="C468" s="117">
        <f>B10</f>
        <v>8</v>
      </c>
      <c r="D468" s="147" t="s">
        <v>168</v>
      </c>
      <c r="E468" s="148"/>
      <c r="F468" s="149"/>
      <c r="G468" s="150"/>
      <c r="H468" s="151">
        <f>SUM(H459:H467)</f>
        <v>27.159272480000006</v>
      </c>
      <c r="I468" s="152"/>
      <c r="J468" s="153"/>
      <c r="K468" s="151">
        <f>SUM(K459:K467)</f>
        <v>27.936872480000002</v>
      </c>
      <c r="L468" s="138">
        <f t="shared" si="69"/>
        <v>0.77759999999999607</v>
      </c>
      <c r="M468" s="139">
        <f>IF((H468)=0,"",(L468/H468))</f>
        <v>2.8631105659130525E-2</v>
      </c>
    </row>
    <row r="469" spans="1:13" x14ac:dyDescent="0.25">
      <c r="A469" s="100" t="str">
        <f t="shared" si="72"/>
        <v>RESIDENTIAL SERVICE CLASSIFICATION</v>
      </c>
      <c r="C469" s="117"/>
      <c r="D469" s="154" t="s">
        <v>169</v>
      </c>
      <c r="E469" s="119"/>
      <c r="F469" s="127">
        <v>6.7999999999999996E-3</v>
      </c>
      <c r="G469" s="141">
        <f>IF($E446&gt;0, $E446, $E445*$E447)</f>
        <v>361.15200000000004</v>
      </c>
      <c r="H469" s="122">
        <f>G469*F469</f>
        <v>2.4558336000000001</v>
      </c>
      <c r="I469" s="128">
        <v>6.4999999999999997E-3</v>
      </c>
      <c r="J469" s="141">
        <f>IF($E446&gt;0, $E446, $E445*$E448)</f>
        <v>361.15200000000004</v>
      </c>
      <c r="K469" s="122">
        <f>J469*I469</f>
        <v>2.3474880000000002</v>
      </c>
      <c r="L469" s="125">
        <f t="shared" si="69"/>
        <v>-0.10834559999999982</v>
      </c>
      <c r="M469" s="126">
        <f>IF(ISERROR(L469/H469), "", L469/H469)</f>
        <v>-4.4117647058823456E-2</v>
      </c>
    </row>
    <row r="470" spans="1:13" ht="25.5" x14ac:dyDescent="0.25">
      <c r="A470" s="100" t="str">
        <f t="shared" si="72"/>
        <v>RESIDENTIAL SERVICE CLASSIFICATION</v>
      </c>
      <c r="C470" s="117"/>
      <c r="D470" s="155" t="s">
        <v>170</v>
      </c>
      <c r="E470" s="119"/>
      <c r="F470" s="127">
        <v>5.5999999999999999E-3</v>
      </c>
      <c r="G470" s="141">
        <f>IF($E446&gt;0, $E446, $E445*$E447)</f>
        <v>361.15200000000004</v>
      </c>
      <c r="H470" s="122">
        <f>G470*F470</f>
        <v>2.0224512000000003</v>
      </c>
      <c r="I470" s="128">
        <v>5.3E-3</v>
      </c>
      <c r="J470" s="141">
        <f>IF($E446&gt;0, $E446, $E445*$E448)</f>
        <v>361.15200000000004</v>
      </c>
      <c r="K470" s="122">
        <f>J470*I470</f>
        <v>1.9141056000000003</v>
      </c>
      <c r="L470" s="125">
        <f t="shared" si="69"/>
        <v>-0.10834560000000004</v>
      </c>
      <c r="M470" s="126">
        <f>IF(ISERROR(L470/H470), "", L470/H470)</f>
        <v>-5.3571428571428582E-2</v>
      </c>
    </row>
    <row r="471" spans="1:13" ht="25.5" x14ac:dyDescent="0.25">
      <c r="A471" s="100" t="str">
        <f t="shared" si="72"/>
        <v>RESIDENTIAL SERVICE CLASSIFICATION</v>
      </c>
      <c r="B471" s="105" t="s">
        <v>171</v>
      </c>
      <c r="C471" s="117">
        <f>B10</f>
        <v>8</v>
      </c>
      <c r="D471" s="147" t="s">
        <v>172</v>
      </c>
      <c r="E471" s="132"/>
      <c r="F471" s="149"/>
      <c r="G471" s="150"/>
      <c r="H471" s="151">
        <f>SUM(H468:H470)</f>
        <v>31.637557280000003</v>
      </c>
      <c r="I471" s="152"/>
      <c r="J471" s="137"/>
      <c r="K471" s="151">
        <f>SUM(K468:K470)</f>
        <v>32.198466080000003</v>
      </c>
      <c r="L471" s="138">
        <f t="shared" si="69"/>
        <v>0.56090879999999999</v>
      </c>
      <c r="M471" s="139">
        <f>IF((H471)=0,"",(L471/H471))</f>
        <v>1.7729206937053387E-2</v>
      </c>
    </row>
    <row r="472" spans="1:13" ht="25.5" x14ac:dyDescent="0.25">
      <c r="A472" s="100" t="str">
        <f t="shared" si="72"/>
        <v>RESIDENTIAL SERVICE CLASSIFICATION</v>
      </c>
      <c r="C472" s="117"/>
      <c r="D472" s="156" t="s">
        <v>173</v>
      </c>
      <c r="E472" s="119"/>
      <c r="F472" s="127">
        <v>3.6000000000000003E-3</v>
      </c>
      <c r="G472" s="141">
        <f>E445*E447</f>
        <v>361.15200000000004</v>
      </c>
      <c r="H472" s="157">
        <f t="shared" ref="H472:H478" si="74">G472*F472</f>
        <v>1.3001472000000003</v>
      </c>
      <c r="I472" s="128">
        <v>3.6000000000000003E-3</v>
      </c>
      <c r="J472" s="141">
        <f>E445*E448</f>
        <v>361.15200000000004</v>
      </c>
      <c r="K472" s="157">
        <f t="shared" ref="K472:K478" si="75">J472*I472</f>
        <v>1.3001472000000003</v>
      </c>
      <c r="L472" s="125">
        <f t="shared" si="69"/>
        <v>0</v>
      </c>
      <c r="M472" s="126">
        <f t="shared" ref="M472:M480" si="76">IF(ISERROR(L472/H472), "", L472/H472)</f>
        <v>0</v>
      </c>
    </row>
    <row r="473" spans="1:13" ht="25.5" x14ac:dyDescent="0.25">
      <c r="A473" s="100" t="str">
        <f t="shared" si="72"/>
        <v>RESIDENTIAL SERVICE CLASSIFICATION</v>
      </c>
      <c r="C473" s="117"/>
      <c r="D473" s="156" t="s">
        <v>174</v>
      </c>
      <c r="E473" s="119"/>
      <c r="F473" s="127">
        <f>'[1]17. Regulatory Charges'!$D$16</f>
        <v>2.9999999999999997E-4</v>
      </c>
      <c r="G473" s="141">
        <f>E445*E447</f>
        <v>361.15200000000004</v>
      </c>
      <c r="H473" s="157">
        <f t="shared" si="74"/>
        <v>0.1083456</v>
      </c>
      <c r="I473" s="128">
        <v>2.9999999999999997E-4</v>
      </c>
      <c r="J473" s="141">
        <f>E445*E448</f>
        <v>361.15200000000004</v>
      </c>
      <c r="K473" s="157">
        <f t="shared" si="75"/>
        <v>0.1083456</v>
      </c>
      <c r="L473" s="125">
        <f t="shared" si="69"/>
        <v>0</v>
      </c>
      <c r="M473" s="126">
        <f t="shared" si="76"/>
        <v>0</v>
      </c>
    </row>
    <row r="474" spans="1:13" x14ac:dyDescent="0.25">
      <c r="A474" s="100" t="str">
        <f t="shared" si="72"/>
        <v>RESIDENTIAL SERVICE CLASSIFICATION</v>
      </c>
      <c r="C474" s="117"/>
      <c r="D474" s="158" t="s">
        <v>175</v>
      </c>
      <c r="E474" s="119"/>
      <c r="F474" s="145">
        <v>0.25</v>
      </c>
      <c r="G474" s="121">
        <v>1</v>
      </c>
      <c r="H474" s="157">
        <f t="shared" si="74"/>
        <v>0.25</v>
      </c>
      <c r="I474" s="146">
        <f>'[1]17. Regulatory Charges'!$D$17</f>
        <v>0.25</v>
      </c>
      <c r="J474" s="124">
        <v>1</v>
      </c>
      <c r="K474" s="157">
        <f t="shared" si="75"/>
        <v>0.25</v>
      </c>
      <c r="L474" s="125">
        <f t="shared" si="69"/>
        <v>0</v>
      </c>
      <c r="M474" s="126">
        <f t="shared" si="76"/>
        <v>0</v>
      </c>
    </row>
    <row r="475" spans="1:13" ht="25.5" x14ac:dyDescent="0.25">
      <c r="A475" s="100" t="str">
        <f t="shared" si="72"/>
        <v>RESIDENTIAL SERVICE CLASSIFICATION</v>
      </c>
      <c r="C475" s="117"/>
      <c r="D475" s="156" t="s">
        <v>176</v>
      </c>
      <c r="E475" s="119"/>
      <c r="F475" s="127"/>
      <c r="G475" s="141"/>
      <c r="H475" s="157"/>
      <c r="I475" s="128"/>
      <c r="J475" s="141"/>
      <c r="K475" s="157"/>
      <c r="L475" s="125"/>
      <c r="M475" s="126"/>
    </row>
    <row r="476" spans="1:13" x14ac:dyDescent="0.25">
      <c r="A476" s="100" t="str">
        <f t="shared" si="72"/>
        <v>RESIDENTIAL SERVICE CLASSIFICATION</v>
      </c>
      <c r="B476" s="105" t="s">
        <v>117</v>
      </c>
      <c r="C476" s="117"/>
      <c r="D476" s="159" t="s">
        <v>177</v>
      </c>
      <c r="E476" s="119"/>
      <c r="F476" s="160">
        <f>OffPeak</f>
        <v>6.5000000000000002E-2</v>
      </c>
      <c r="G476" s="161">
        <f>IF(AND(E445*12&gt;=150000),0.65*E445*E447,0.65*E445)</f>
        <v>222.3</v>
      </c>
      <c r="H476" s="157">
        <f t="shared" si="74"/>
        <v>14.4495</v>
      </c>
      <c r="I476" s="162">
        <f>OffPeak</f>
        <v>6.5000000000000002E-2</v>
      </c>
      <c r="J476" s="161">
        <f>IF(AND(E445*12&gt;=150000),0.65*E445*E448,0.65*E445)</f>
        <v>222.3</v>
      </c>
      <c r="K476" s="157">
        <f t="shared" si="75"/>
        <v>14.4495</v>
      </c>
      <c r="L476" s="125">
        <f>K476-H476</f>
        <v>0</v>
      </c>
      <c r="M476" s="126">
        <f t="shared" si="76"/>
        <v>0</v>
      </c>
    </row>
    <row r="477" spans="1:13" x14ac:dyDescent="0.25">
      <c r="A477" s="100" t="str">
        <f t="shared" si="72"/>
        <v>RESIDENTIAL SERVICE CLASSIFICATION</v>
      </c>
      <c r="B477" s="105" t="s">
        <v>117</v>
      </c>
      <c r="C477" s="117"/>
      <c r="D477" s="159" t="s">
        <v>178</v>
      </c>
      <c r="E477" s="119"/>
      <c r="F477" s="160">
        <f>MidPeak</f>
        <v>9.4E-2</v>
      </c>
      <c r="G477" s="161">
        <f>IF(AND(E445*12&gt;=150000),0.17*E445*E447,0.17*E445)</f>
        <v>58.140000000000008</v>
      </c>
      <c r="H477" s="157">
        <f t="shared" si="74"/>
        <v>5.4651600000000009</v>
      </c>
      <c r="I477" s="162">
        <f>MidPeak</f>
        <v>9.4E-2</v>
      </c>
      <c r="J477" s="161">
        <f>IF(AND(E445*12&gt;=150000),0.17*E445*E448,0.17*E445)</f>
        <v>58.140000000000008</v>
      </c>
      <c r="K477" s="157">
        <f t="shared" si="75"/>
        <v>5.4651600000000009</v>
      </c>
      <c r="L477" s="125">
        <f>K477-H477</f>
        <v>0</v>
      </c>
      <c r="M477" s="126">
        <f t="shared" si="76"/>
        <v>0</v>
      </c>
    </row>
    <row r="478" spans="1:13" ht="15.75" thickBot="1" x14ac:dyDescent="0.3">
      <c r="A478" s="100" t="str">
        <f t="shared" si="72"/>
        <v>RESIDENTIAL SERVICE CLASSIFICATION</v>
      </c>
      <c r="B478" s="105" t="s">
        <v>117</v>
      </c>
      <c r="C478" s="117"/>
      <c r="D478" s="105" t="s">
        <v>179</v>
      </c>
      <c r="E478" s="119"/>
      <c r="F478" s="160">
        <f>OnPeak</f>
        <v>0.13200000000000001</v>
      </c>
      <c r="G478" s="161">
        <f>IF(AND(E445*12&gt;=150000),0.18*E445*E447,0.18*E445)</f>
        <v>61.559999999999995</v>
      </c>
      <c r="H478" s="157">
        <f t="shared" si="74"/>
        <v>8.1259199999999989</v>
      </c>
      <c r="I478" s="162">
        <f>OnPeak</f>
        <v>0.13200000000000001</v>
      </c>
      <c r="J478" s="161">
        <f>IF(AND(E445*12&gt;=150000),0.18*E445*E448,0.18*E445)</f>
        <v>61.559999999999995</v>
      </c>
      <c r="K478" s="157">
        <f t="shared" si="75"/>
        <v>8.1259199999999989</v>
      </c>
      <c r="L478" s="125">
        <f>K478-H478</f>
        <v>0</v>
      </c>
      <c r="M478" s="126">
        <f t="shared" si="76"/>
        <v>0</v>
      </c>
    </row>
    <row r="479" spans="1:13" hidden="1" x14ac:dyDescent="0.25">
      <c r="A479" s="100" t="str">
        <f t="shared" si="72"/>
        <v>RESIDENTIAL SERVICE CLASSIFICATION</v>
      </c>
      <c r="B479" s="100" t="s">
        <v>180</v>
      </c>
      <c r="C479" s="117"/>
      <c r="D479" s="159" t="s">
        <v>181</v>
      </c>
      <c r="E479" s="119"/>
      <c r="F479" s="163">
        <v>0.1101</v>
      </c>
      <c r="G479" s="161">
        <f>IF(AND(E445*12&gt;=150000),E445*E447,E445)</f>
        <v>342</v>
      </c>
      <c r="H479" s="157">
        <f>G479*F479</f>
        <v>37.654200000000003</v>
      </c>
      <c r="I479" s="164">
        <f>F479</f>
        <v>0.1101</v>
      </c>
      <c r="J479" s="161">
        <f>IF(AND(E445*12&gt;=150000),E445*E448,E445)</f>
        <v>342</v>
      </c>
      <c r="K479" s="157">
        <f>J479*I479</f>
        <v>37.654200000000003</v>
      </c>
      <c r="L479" s="125">
        <f>K479-H479</f>
        <v>0</v>
      </c>
      <c r="M479" s="126">
        <f t="shared" si="76"/>
        <v>0</v>
      </c>
    </row>
    <row r="480" spans="1:13" ht="15.75" hidden="1" thickBot="1" x14ac:dyDescent="0.3">
      <c r="A480" s="100" t="str">
        <f t="shared" si="72"/>
        <v>RESIDENTIAL SERVICE CLASSIFICATION</v>
      </c>
      <c r="B480" s="100" t="s">
        <v>121</v>
      </c>
      <c r="C480" s="117"/>
      <c r="D480" s="159" t="s">
        <v>182</v>
      </c>
      <c r="E480" s="119"/>
      <c r="F480" s="163">
        <v>0.1101</v>
      </c>
      <c r="G480" s="161">
        <f>IF(AND(E445*12&gt;=150000),E445*E447,E445)</f>
        <v>342</v>
      </c>
      <c r="H480" s="157">
        <f>G480*F480</f>
        <v>37.654200000000003</v>
      </c>
      <c r="I480" s="164">
        <f>F480</f>
        <v>0.1101</v>
      </c>
      <c r="J480" s="161">
        <f>IF(AND(E445*12&gt;=150000),E445*E448,E445)</f>
        <v>342</v>
      </c>
      <c r="K480" s="157">
        <f>J480*I480</f>
        <v>37.654200000000003</v>
      </c>
      <c r="L480" s="125">
        <f>K480-H480</f>
        <v>0</v>
      </c>
      <c r="M480" s="126">
        <f t="shared" si="76"/>
        <v>0</v>
      </c>
    </row>
    <row r="481" spans="1:13" ht="15.75" thickBot="1" x14ac:dyDescent="0.3">
      <c r="A481" s="100" t="str">
        <f t="shared" si="72"/>
        <v>RESIDENTIAL SERVICE CLASSIFICATION</v>
      </c>
      <c r="B481" s="105"/>
      <c r="C481" s="117"/>
      <c r="D481" s="165"/>
      <c r="E481" s="166"/>
      <c r="F481" s="167"/>
      <c r="G481" s="168"/>
      <c r="H481" s="169"/>
      <c r="I481" s="167"/>
      <c r="J481" s="170"/>
      <c r="K481" s="169"/>
      <c r="L481" s="171"/>
      <c r="M481" s="172"/>
    </row>
    <row r="482" spans="1:13" x14ac:dyDescent="0.25">
      <c r="A482" s="100" t="str">
        <f t="shared" si="72"/>
        <v>RESIDENTIAL SERVICE CLASSIFICATION</v>
      </c>
      <c r="B482" s="105" t="s">
        <v>117</v>
      </c>
      <c r="C482" s="117"/>
      <c r="D482" s="173" t="s">
        <v>183</v>
      </c>
      <c r="E482" s="158"/>
      <c r="F482" s="174"/>
      <c r="G482" s="175"/>
      <c r="H482" s="176">
        <f>SUM(H472:H478,H471)</f>
        <v>61.336630080000006</v>
      </c>
      <c r="I482" s="177"/>
      <c r="J482" s="177"/>
      <c r="K482" s="176">
        <f>SUM(K472:K478,K471)</f>
        <v>61.897538880000006</v>
      </c>
      <c r="L482" s="178">
        <f>K482-H482</f>
        <v>0.56090879999999999</v>
      </c>
      <c r="M482" s="179">
        <f>IF((H482)=0,"",(L482/H482))</f>
        <v>9.1447606311011714E-3</v>
      </c>
    </row>
    <row r="483" spans="1:13" x14ac:dyDescent="0.25">
      <c r="A483" s="100" t="str">
        <f t="shared" si="72"/>
        <v>RESIDENTIAL SERVICE CLASSIFICATION</v>
      </c>
      <c r="B483" s="105" t="s">
        <v>117</v>
      </c>
      <c r="C483" s="117"/>
      <c r="D483" s="180" t="s">
        <v>184</v>
      </c>
      <c r="E483" s="158"/>
      <c r="F483" s="174">
        <v>0.13</v>
      </c>
      <c r="G483" s="181"/>
      <c r="H483" s="182">
        <f>H482*F483</f>
        <v>7.9737619104000013</v>
      </c>
      <c r="I483" s="183">
        <v>0.13</v>
      </c>
      <c r="J483" s="121"/>
      <c r="K483" s="182">
        <f>K482*I483</f>
        <v>8.0466800544000012</v>
      </c>
      <c r="L483" s="184">
        <f>K483-H483</f>
        <v>7.2918143999999963E-2</v>
      </c>
      <c r="M483" s="185">
        <f>IF((H483)=0,"",(L483/H483))</f>
        <v>9.1447606311011662E-3</v>
      </c>
    </row>
    <row r="484" spans="1:13" x14ac:dyDescent="0.25">
      <c r="A484" s="100" t="str">
        <f t="shared" si="72"/>
        <v>RESIDENTIAL SERVICE CLASSIFICATION</v>
      </c>
      <c r="B484" s="105" t="s">
        <v>117</v>
      </c>
      <c r="C484" s="117"/>
      <c r="D484" s="180" t="s">
        <v>185</v>
      </c>
      <c r="E484" s="158"/>
      <c r="F484" s="174">
        <v>0.08</v>
      </c>
      <c r="G484" s="181"/>
      <c r="H484" s="182">
        <f>H482*-F484</f>
        <v>-4.9069304064000008</v>
      </c>
      <c r="I484" s="174">
        <v>0.08</v>
      </c>
      <c r="J484" s="121"/>
      <c r="K484" s="182">
        <f>K482*-I484</f>
        <v>-4.9518031104000002</v>
      </c>
      <c r="L484" s="184">
        <f>K484-H484</f>
        <v>-4.487270399999943E-2</v>
      </c>
      <c r="M484" s="185"/>
    </row>
    <row r="485" spans="1:13" ht="15.75" thickBot="1" x14ac:dyDescent="0.3">
      <c r="A485" s="100" t="str">
        <f t="shared" si="72"/>
        <v>RESIDENTIAL SERVICE CLASSIFICATION</v>
      </c>
      <c r="B485" s="105" t="s">
        <v>186</v>
      </c>
      <c r="C485" s="117">
        <f>B10</f>
        <v>8</v>
      </c>
      <c r="D485" s="301" t="s">
        <v>187</v>
      </c>
      <c r="E485" s="301"/>
      <c r="F485" s="186"/>
      <c r="G485" s="187"/>
      <c r="H485" s="188">
        <f>H482+H483+H484</f>
        <v>64.403461584000013</v>
      </c>
      <c r="I485" s="189"/>
      <c r="J485" s="189"/>
      <c r="K485" s="190">
        <f>K482+K483+K484</f>
        <v>64.992415824000005</v>
      </c>
      <c r="L485" s="191">
        <f>K485-H485</f>
        <v>0.58895423999999252</v>
      </c>
      <c r="M485" s="192">
        <f>IF((H485)=0,"",(L485/H485))</f>
        <v>9.1447606311010551E-3</v>
      </c>
    </row>
    <row r="486" spans="1:13" ht="15.75" hidden="1" thickBot="1" x14ac:dyDescent="0.3">
      <c r="A486" s="100" t="str">
        <f t="shared" si="72"/>
        <v>RESIDENTIAL SERVICE CLASSIFICATION</v>
      </c>
      <c r="B486" s="100" t="s">
        <v>117</v>
      </c>
      <c r="C486" s="117"/>
      <c r="D486" s="165"/>
      <c r="E486" s="166"/>
      <c r="F486" s="167"/>
      <c r="G486" s="168"/>
      <c r="H486" s="169"/>
      <c r="I486" s="167"/>
      <c r="J486" s="170"/>
      <c r="K486" s="169"/>
      <c r="L486" s="171"/>
      <c r="M486" s="172"/>
    </row>
    <row r="487" spans="1:13" hidden="1" x14ac:dyDescent="0.25">
      <c r="A487" s="100" t="str">
        <f t="shared" si="72"/>
        <v>RESIDENTIAL SERVICE CLASSIFICATION</v>
      </c>
      <c r="B487" s="100" t="s">
        <v>180</v>
      </c>
      <c r="C487" s="117"/>
      <c r="D487" s="173" t="s">
        <v>188</v>
      </c>
      <c r="E487" s="158"/>
      <c r="F487" s="174"/>
      <c r="G487" s="175"/>
      <c r="H487" s="176">
        <f>SUM(H479,H472:H475,H471)</f>
        <v>70.950250080000004</v>
      </c>
      <c r="I487" s="177"/>
      <c r="J487" s="177"/>
      <c r="K487" s="176">
        <f>SUM(K479,K472:K475,K471)</f>
        <v>71.511158880000011</v>
      </c>
      <c r="L487" s="178">
        <f>K487-H487</f>
        <v>0.56090880000000709</v>
      </c>
      <c r="M487" s="179">
        <f>IF((H487)=0,"",(L487/H487))</f>
        <v>7.9056634665495042E-3</v>
      </c>
    </row>
    <row r="488" spans="1:13" hidden="1" x14ac:dyDescent="0.25">
      <c r="A488" s="100" t="str">
        <f t="shared" si="72"/>
        <v>RESIDENTIAL SERVICE CLASSIFICATION</v>
      </c>
      <c r="B488" s="100" t="s">
        <v>180</v>
      </c>
      <c r="C488" s="117"/>
      <c r="D488" s="180" t="s">
        <v>184</v>
      </c>
      <c r="E488" s="158"/>
      <c r="F488" s="174">
        <v>0.13</v>
      </c>
      <c r="G488" s="175"/>
      <c r="H488" s="182">
        <f>H487*F488</f>
        <v>9.2235325104000001</v>
      </c>
      <c r="I488" s="174">
        <v>0.13</v>
      </c>
      <c r="J488" s="183"/>
      <c r="K488" s="182">
        <f>K487*I488</f>
        <v>9.296450654400001</v>
      </c>
      <c r="L488" s="184">
        <f>K488-H488</f>
        <v>7.2918144000000851E-2</v>
      </c>
      <c r="M488" s="185">
        <f>IF((H488)=0,"",(L488/H488))</f>
        <v>7.9056634665494972E-3</v>
      </c>
    </row>
    <row r="489" spans="1:13" hidden="1" x14ac:dyDescent="0.25">
      <c r="A489" s="100" t="str">
        <f t="shared" si="72"/>
        <v>RESIDENTIAL SERVICE CLASSIFICATION</v>
      </c>
      <c r="B489" s="100" t="s">
        <v>180</v>
      </c>
      <c r="C489" s="117"/>
      <c r="D489" s="180" t="s">
        <v>185</v>
      </c>
      <c r="E489" s="158"/>
      <c r="F489" s="174">
        <v>0.08</v>
      </c>
      <c r="G489" s="175"/>
      <c r="H489" s="182"/>
      <c r="I489" s="174">
        <v>0.08</v>
      </c>
      <c r="J489" s="183"/>
      <c r="K489" s="182"/>
      <c r="L489" s="184"/>
      <c r="M489" s="185"/>
    </row>
    <row r="490" spans="1:13" ht="15.75" hidden="1" thickBot="1" x14ac:dyDescent="0.3">
      <c r="A490" s="100" t="str">
        <f t="shared" si="72"/>
        <v>RESIDENTIAL SERVICE CLASSIFICATION</v>
      </c>
      <c r="B490" s="100" t="s">
        <v>189</v>
      </c>
      <c r="C490" s="117"/>
      <c r="D490" s="301" t="s">
        <v>188</v>
      </c>
      <c r="E490" s="301"/>
      <c r="F490" s="193"/>
      <c r="G490" s="194"/>
      <c r="H490" s="188">
        <f>SUM(H487,H488)</f>
        <v>80.173782590400009</v>
      </c>
      <c r="I490" s="195"/>
      <c r="J490" s="195"/>
      <c r="K490" s="188">
        <f>SUM(K487,K488)</f>
        <v>80.807609534400015</v>
      </c>
      <c r="L490" s="196">
        <f>K490-H490</f>
        <v>0.63382694400000616</v>
      </c>
      <c r="M490" s="197">
        <f>IF((H490)=0,"",(L490/H490))</f>
        <v>7.9056634665494816E-3</v>
      </c>
    </row>
    <row r="491" spans="1:13" ht="15.75" hidden="1" thickBot="1" x14ac:dyDescent="0.3">
      <c r="A491" s="100" t="str">
        <f t="shared" si="72"/>
        <v>RESIDENTIAL SERVICE CLASSIFICATION</v>
      </c>
      <c r="B491" s="100" t="s">
        <v>180</v>
      </c>
      <c r="C491" s="117"/>
      <c r="D491" s="165"/>
      <c r="E491" s="166"/>
      <c r="F491" s="198"/>
      <c r="G491" s="199"/>
      <c r="H491" s="200"/>
      <c r="I491" s="198"/>
      <c r="J491" s="168"/>
      <c r="K491" s="200"/>
      <c r="L491" s="201"/>
      <c r="M491" s="172"/>
    </row>
    <row r="492" spans="1:13" hidden="1" x14ac:dyDescent="0.25">
      <c r="A492" s="100" t="str">
        <f t="shared" si="72"/>
        <v>RESIDENTIAL SERVICE CLASSIFICATION</v>
      </c>
      <c r="B492" s="100" t="s">
        <v>121</v>
      </c>
      <c r="C492" s="117"/>
      <c r="D492" s="173" t="s">
        <v>190</v>
      </c>
      <c r="E492" s="158"/>
      <c r="F492" s="174"/>
      <c r="G492" s="175"/>
      <c r="H492" s="176">
        <f>SUM(H480,H472:H475,H471)</f>
        <v>70.950250080000004</v>
      </c>
      <c r="I492" s="177"/>
      <c r="J492" s="177"/>
      <c r="K492" s="176">
        <f>SUM(K480,K472:K475,K471)</f>
        <v>71.511158880000011</v>
      </c>
      <c r="L492" s="178">
        <f>K492-H492</f>
        <v>0.56090880000000709</v>
      </c>
      <c r="M492" s="179">
        <f>IF((H492)=0,"",(L492/H492))</f>
        <v>7.9056634665495042E-3</v>
      </c>
    </row>
    <row r="493" spans="1:13" hidden="1" x14ac:dyDescent="0.25">
      <c r="A493" s="100" t="str">
        <f t="shared" si="72"/>
        <v>RESIDENTIAL SERVICE CLASSIFICATION</v>
      </c>
      <c r="B493" s="100" t="s">
        <v>121</v>
      </c>
      <c r="C493" s="117"/>
      <c r="D493" s="180" t="s">
        <v>184</v>
      </c>
      <c r="E493" s="158"/>
      <c r="F493" s="174">
        <v>0.13</v>
      </c>
      <c r="G493" s="175"/>
      <c r="H493" s="182">
        <f>H492*F493</f>
        <v>9.2235325104000001</v>
      </c>
      <c r="I493" s="174">
        <v>0.13</v>
      </c>
      <c r="J493" s="183"/>
      <c r="K493" s="182">
        <f>K492*I493</f>
        <v>9.296450654400001</v>
      </c>
      <c r="L493" s="184">
        <f>K493-H493</f>
        <v>7.2918144000000851E-2</v>
      </c>
      <c r="M493" s="185">
        <f>IF((H493)=0,"",(L493/H493))</f>
        <v>7.9056634665494972E-3</v>
      </c>
    </row>
    <row r="494" spans="1:13" hidden="1" x14ac:dyDescent="0.25">
      <c r="A494" s="100" t="str">
        <f t="shared" si="72"/>
        <v>RESIDENTIAL SERVICE CLASSIFICATION</v>
      </c>
      <c r="B494" s="100" t="s">
        <v>121</v>
      </c>
      <c r="C494" s="117"/>
      <c r="D494" s="180" t="s">
        <v>185</v>
      </c>
      <c r="E494" s="158"/>
      <c r="F494" s="174">
        <v>0.08</v>
      </c>
      <c r="G494" s="175"/>
      <c r="H494" s="182"/>
      <c r="I494" s="174">
        <v>0.08</v>
      </c>
      <c r="J494" s="183"/>
      <c r="K494" s="182"/>
      <c r="L494" s="184"/>
      <c r="M494" s="185"/>
    </row>
    <row r="495" spans="1:13" ht="15.75" hidden="1" thickBot="1" x14ac:dyDescent="0.3">
      <c r="A495" s="100" t="str">
        <f t="shared" si="72"/>
        <v>RESIDENTIAL SERVICE CLASSIFICATION</v>
      </c>
      <c r="B495" s="100" t="s">
        <v>191</v>
      </c>
      <c r="C495" s="117"/>
      <c r="D495" s="301" t="s">
        <v>190</v>
      </c>
      <c r="E495" s="301"/>
      <c r="F495" s="193"/>
      <c r="G495" s="194"/>
      <c r="H495" s="188">
        <f>SUM(H492,H493)</f>
        <v>80.173782590400009</v>
      </c>
      <c r="I495" s="195"/>
      <c r="J495" s="195"/>
      <c r="K495" s="188">
        <f>SUM(K492,K493)</f>
        <v>80.807609534400015</v>
      </c>
      <c r="L495" s="196">
        <f>K495-H495</f>
        <v>0.63382694400000616</v>
      </c>
      <c r="M495" s="197">
        <f>IF((H495)=0,"",(L495/H495))</f>
        <v>7.9056634665494816E-3</v>
      </c>
    </row>
    <row r="496" spans="1:13" ht="15.75" thickBot="1" x14ac:dyDescent="0.3">
      <c r="A496" s="100" t="str">
        <f t="shared" si="72"/>
        <v>RESIDENTIAL SERVICE CLASSIFICATION</v>
      </c>
      <c r="B496" s="100" t="s">
        <v>121</v>
      </c>
      <c r="C496" s="117"/>
      <c r="D496" s="165"/>
      <c r="E496" s="166"/>
      <c r="F496" s="202"/>
      <c r="G496" s="203"/>
      <c r="H496" s="204"/>
      <c r="I496" s="202"/>
      <c r="J496" s="205"/>
      <c r="K496" s="204"/>
      <c r="L496" s="206"/>
      <c r="M496" s="207"/>
    </row>
    <row r="499" spans="1:13" x14ac:dyDescent="0.25">
      <c r="C499" s="100"/>
      <c r="D499" s="101" t="s">
        <v>134</v>
      </c>
      <c r="E499" s="302" t="str">
        <f>D11</f>
        <v>RESIDENTIAL SERVICE CLASSIFICATION</v>
      </c>
      <c r="F499" s="302"/>
      <c r="G499" s="302"/>
      <c r="H499" s="302"/>
      <c r="I499" s="302"/>
      <c r="J499" s="302"/>
      <c r="K499" s="100" t="str">
        <f>IF(N11="DEMAND - INTERVAL","RTSR - INTERVAL METERED","")</f>
        <v/>
      </c>
    </row>
    <row r="500" spans="1:13" x14ac:dyDescent="0.25">
      <c r="C500" s="100"/>
      <c r="D500" s="101" t="s">
        <v>135</v>
      </c>
      <c r="E500" s="303" t="str">
        <f>H11</f>
        <v>RPP</v>
      </c>
      <c r="F500" s="303"/>
      <c r="G500" s="303"/>
      <c r="H500" s="102"/>
      <c r="I500" s="102"/>
    </row>
    <row r="501" spans="1:13" ht="15.75" x14ac:dyDescent="0.25">
      <c r="C501" s="100"/>
      <c r="D501" s="101" t="s">
        <v>136</v>
      </c>
      <c r="E501" s="103">
        <f>K11</f>
        <v>1000</v>
      </c>
      <c r="F501" s="104" t="s">
        <v>137</v>
      </c>
      <c r="G501" s="105"/>
      <c r="J501" s="106"/>
      <c r="K501" s="106"/>
      <c r="L501" s="106"/>
      <c r="M501" s="106"/>
    </row>
    <row r="502" spans="1:13" ht="15.75" x14ac:dyDescent="0.25">
      <c r="C502" s="100"/>
      <c r="D502" s="101" t="s">
        <v>138</v>
      </c>
      <c r="E502" s="103">
        <f>L11</f>
        <v>0</v>
      </c>
      <c r="F502" s="107" t="s">
        <v>139</v>
      </c>
      <c r="G502" s="108"/>
      <c r="H502" s="109"/>
      <c r="I502" s="109"/>
      <c r="J502" s="109"/>
    </row>
    <row r="503" spans="1:13" x14ac:dyDescent="0.25">
      <c r="C503" s="100"/>
      <c r="D503" s="101" t="s">
        <v>140</v>
      </c>
      <c r="E503" s="110">
        <f>I11</f>
        <v>1.056</v>
      </c>
    </row>
    <row r="504" spans="1:13" x14ac:dyDescent="0.25">
      <c r="C504" s="100"/>
      <c r="D504" s="101" t="s">
        <v>141</v>
      </c>
      <c r="E504" s="110">
        <f>J11</f>
        <v>1.056</v>
      </c>
    </row>
    <row r="505" spans="1:13" x14ac:dyDescent="0.25">
      <c r="C505" s="100"/>
      <c r="D505" s="105"/>
    </row>
    <row r="506" spans="1:13" x14ac:dyDescent="0.25">
      <c r="C506" s="100"/>
      <c r="D506" s="105"/>
      <c r="E506" s="111"/>
      <c r="F506" s="304" t="s">
        <v>142</v>
      </c>
      <c r="G506" s="305"/>
      <c r="H506" s="306"/>
      <c r="I506" s="304" t="s">
        <v>143</v>
      </c>
      <c r="J506" s="305"/>
      <c r="K506" s="306"/>
      <c r="L506" s="304" t="s">
        <v>144</v>
      </c>
      <c r="M506" s="306"/>
    </row>
    <row r="507" spans="1:13" x14ac:dyDescent="0.25">
      <c r="C507" s="100"/>
      <c r="D507" s="105"/>
      <c r="E507" s="295"/>
      <c r="F507" s="112" t="s">
        <v>145</v>
      </c>
      <c r="G507" s="112" t="s">
        <v>146</v>
      </c>
      <c r="H507" s="113" t="s">
        <v>147</v>
      </c>
      <c r="I507" s="112" t="s">
        <v>145</v>
      </c>
      <c r="J507" s="114" t="s">
        <v>146</v>
      </c>
      <c r="K507" s="113" t="s">
        <v>147</v>
      </c>
      <c r="L507" s="297" t="s">
        <v>148</v>
      </c>
      <c r="M507" s="299" t="s">
        <v>149</v>
      </c>
    </row>
    <row r="508" spans="1:13" x14ac:dyDescent="0.25">
      <c r="C508" s="100"/>
      <c r="D508" s="105"/>
      <c r="E508" s="296"/>
      <c r="F508" s="115" t="s">
        <v>150</v>
      </c>
      <c r="G508" s="115"/>
      <c r="H508" s="116" t="s">
        <v>150</v>
      </c>
      <c r="I508" s="115" t="s">
        <v>150</v>
      </c>
      <c r="J508" s="116"/>
      <c r="K508" s="116" t="s">
        <v>150</v>
      </c>
      <c r="L508" s="298"/>
      <c r="M508" s="300"/>
    </row>
    <row r="509" spans="1:13" x14ac:dyDescent="0.25">
      <c r="A509" s="100" t="str">
        <f>$E499</f>
        <v>RESIDENTIAL SERVICE CLASSIFICATION</v>
      </c>
      <c r="C509" s="117"/>
      <c r="D509" s="118" t="s">
        <v>151</v>
      </c>
      <c r="E509" s="119"/>
      <c r="F509" s="120">
        <v>23.48</v>
      </c>
      <c r="G509" s="121">
        <v>1</v>
      </c>
      <c r="H509" s="122">
        <f>G509*F509</f>
        <v>23.48</v>
      </c>
      <c r="I509" s="123">
        <v>26.72</v>
      </c>
      <c r="J509" s="124">
        <f>G509</f>
        <v>1</v>
      </c>
      <c r="K509" s="122">
        <f>J509*I509</f>
        <v>26.72</v>
      </c>
      <c r="L509" s="125">
        <f t="shared" ref="L509:L530" si="77">K509-H509</f>
        <v>3.2399999999999984</v>
      </c>
      <c r="M509" s="126">
        <f>IF(ISERROR(L509/H509), "", L509/H509)</f>
        <v>0.13798977853492328</v>
      </c>
    </row>
    <row r="510" spans="1:13" x14ac:dyDescent="0.25">
      <c r="A510" s="100" t="str">
        <f>A509</f>
        <v>RESIDENTIAL SERVICE CLASSIFICATION</v>
      </c>
      <c r="C510" s="117"/>
      <c r="D510" s="118" t="s">
        <v>152</v>
      </c>
      <c r="E510" s="119"/>
      <c r="F510" s="127">
        <v>3.3999999999999998E-3</v>
      </c>
      <c r="G510" s="121">
        <f>IF($E502&gt;0, $E502, $E501)</f>
        <v>1000</v>
      </c>
      <c r="H510" s="122">
        <f t="shared" ref="H510:H522" si="78">G510*F510</f>
        <v>3.4</v>
      </c>
      <c r="I510" s="128">
        <v>0</v>
      </c>
      <c r="J510" s="124">
        <f>IF($E502&gt;0, $E502, $E501)</f>
        <v>1000</v>
      </c>
      <c r="K510" s="122">
        <f>J510*I510</f>
        <v>0</v>
      </c>
      <c r="L510" s="125">
        <f t="shared" si="77"/>
        <v>-3.4</v>
      </c>
      <c r="M510" s="126">
        <f t="shared" ref="M510:M520" si="79">IF(ISERROR(L510/H510), "", L510/H510)</f>
        <v>-1</v>
      </c>
    </row>
    <row r="511" spans="1:13" x14ac:dyDescent="0.25">
      <c r="A511" s="100" t="str">
        <f t="shared" ref="A511:A552" si="80">A510</f>
        <v>RESIDENTIAL SERVICE CLASSIFICATION</v>
      </c>
      <c r="C511" s="117"/>
      <c r="D511" s="118" t="s">
        <v>153</v>
      </c>
      <c r="E511" s="119"/>
      <c r="F511" s="127"/>
      <c r="G511" s="121">
        <f>IF($E502&gt;0, $E502, $E501)</f>
        <v>1000</v>
      </c>
      <c r="H511" s="122">
        <v>0</v>
      </c>
      <c r="I511" s="128"/>
      <c r="J511" s="124">
        <f>IF($E502&gt;0, $E502, $E501)</f>
        <v>1000</v>
      </c>
      <c r="K511" s="122">
        <v>0</v>
      </c>
      <c r="L511" s="125"/>
      <c r="M511" s="126"/>
    </row>
    <row r="512" spans="1:13" x14ac:dyDescent="0.25">
      <c r="A512" s="100" t="str">
        <f t="shared" si="80"/>
        <v>RESIDENTIAL SERVICE CLASSIFICATION</v>
      </c>
      <c r="C512" s="117"/>
      <c r="D512" s="118" t="s">
        <v>154</v>
      </c>
      <c r="E512" s="119"/>
      <c r="F512" s="127"/>
      <c r="G512" s="121">
        <f>IF($E502&gt;0, $E502, $E501)</f>
        <v>1000</v>
      </c>
      <c r="H512" s="122">
        <v>0</v>
      </c>
      <c r="I512" s="128"/>
      <c r="J512" s="121">
        <f>IF($E502&gt;0, $E502, $E501)</f>
        <v>1000</v>
      </c>
      <c r="K512" s="122">
        <v>0</v>
      </c>
      <c r="L512" s="125">
        <f>K512-H512</f>
        <v>0</v>
      </c>
      <c r="M512" s="126" t="str">
        <f>IF(ISERROR(L512/H512), "", L512/H512)</f>
        <v/>
      </c>
    </row>
    <row r="513" spans="1:13" x14ac:dyDescent="0.25">
      <c r="A513" s="100" t="str">
        <f t="shared" si="80"/>
        <v>RESIDENTIAL SERVICE CLASSIFICATION</v>
      </c>
      <c r="C513" s="117"/>
      <c r="D513" s="129" t="s">
        <v>155</v>
      </c>
      <c r="E513" s="119"/>
      <c r="F513" s="120">
        <v>0</v>
      </c>
      <c r="G513" s="121">
        <v>1</v>
      </c>
      <c r="H513" s="122">
        <f t="shared" si="78"/>
        <v>0</v>
      </c>
      <c r="I513" s="123">
        <v>0</v>
      </c>
      <c r="J513" s="124">
        <f>G513</f>
        <v>1</v>
      </c>
      <c r="K513" s="122">
        <f t="shared" ref="K513:K520" si="81">J513*I513</f>
        <v>0</v>
      </c>
      <c r="L513" s="125">
        <f t="shared" si="77"/>
        <v>0</v>
      </c>
      <c r="M513" s="126" t="str">
        <f t="shared" si="79"/>
        <v/>
      </c>
    </row>
    <row r="514" spans="1:13" x14ac:dyDescent="0.25">
      <c r="A514" s="100" t="str">
        <f t="shared" si="80"/>
        <v>RESIDENTIAL SERVICE CLASSIFICATION</v>
      </c>
      <c r="C514" s="117"/>
      <c r="D514" s="118" t="s">
        <v>156</v>
      </c>
      <c r="E514" s="119"/>
      <c r="F514" s="127">
        <v>0</v>
      </c>
      <c r="G514" s="121">
        <f>IF($E502&gt;0, $E502, $E501)</f>
        <v>1000</v>
      </c>
      <c r="H514" s="122">
        <f t="shared" si="78"/>
        <v>0</v>
      </c>
      <c r="I514" s="128">
        <v>0</v>
      </c>
      <c r="J514" s="124">
        <f>IF($E502&gt;0, $E502, $E501)</f>
        <v>1000</v>
      </c>
      <c r="K514" s="122">
        <f t="shared" si="81"/>
        <v>0</v>
      </c>
      <c r="L514" s="125">
        <f t="shared" si="77"/>
        <v>0</v>
      </c>
      <c r="M514" s="126" t="str">
        <f t="shared" si="79"/>
        <v/>
      </c>
    </row>
    <row r="515" spans="1:13" x14ac:dyDescent="0.25">
      <c r="A515" s="100" t="str">
        <f t="shared" si="80"/>
        <v>RESIDENTIAL SERVICE CLASSIFICATION</v>
      </c>
      <c r="B515" s="130" t="s">
        <v>157</v>
      </c>
      <c r="C515" s="117">
        <f>B11</f>
        <v>9</v>
      </c>
      <c r="D515" s="131" t="s">
        <v>158</v>
      </c>
      <c r="E515" s="132"/>
      <c r="F515" s="133"/>
      <c r="G515" s="134"/>
      <c r="H515" s="135">
        <f>SUM(H509:H514)</f>
        <v>26.88</v>
      </c>
      <c r="I515" s="136"/>
      <c r="J515" s="137"/>
      <c r="K515" s="135">
        <f>SUM(K509:K514)</f>
        <v>26.72</v>
      </c>
      <c r="L515" s="138">
        <f t="shared" si="77"/>
        <v>-0.16000000000000014</v>
      </c>
      <c r="M515" s="139">
        <f>IF((H515)=0,"",(L515/H515))</f>
        <v>-5.9523809523809581E-3</v>
      </c>
    </row>
    <row r="516" spans="1:13" x14ac:dyDescent="0.25">
      <c r="A516" s="100" t="str">
        <f t="shared" si="80"/>
        <v>RESIDENTIAL SERVICE CLASSIFICATION</v>
      </c>
      <c r="C516" s="117"/>
      <c r="D516" s="140" t="s">
        <v>159</v>
      </c>
      <c r="E516" s="119"/>
      <c r="F516" s="127">
        <f>IF((E501*12&gt;=150000), 0, IF(E500="RPP",(F532*0.65+F533*0.17+F534*0.18),IF(E500="Non-RPP (Retailer)",F535,F536)))</f>
        <v>8.1990000000000007E-2</v>
      </c>
      <c r="G516" s="141">
        <f>IF(F516=0, 0, $E501*E503-E501)</f>
        <v>56</v>
      </c>
      <c r="H516" s="122">
        <f>G516*F516</f>
        <v>4.5914400000000004</v>
      </c>
      <c r="I516" s="128">
        <f>IF((E501*12&gt;=150000), 0, IF(E500="RPP",(I532*0.65+I533*0.17+I534*0.18),IF(E500="Non-RPP (Retailer)",I535,I536)))</f>
        <v>8.1990000000000007E-2</v>
      </c>
      <c r="J516" s="141">
        <f>IF(I516=0, 0, E501*E504-E501)</f>
        <v>56</v>
      </c>
      <c r="K516" s="122">
        <f>J516*I516</f>
        <v>4.5914400000000004</v>
      </c>
      <c r="L516" s="125">
        <f>K516-H516</f>
        <v>0</v>
      </c>
      <c r="M516" s="126">
        <f>IF(ISERROR(L516/H516), "", L516/H516)</f>
        <v>0</v>
      </c>
    </row>
    <row r="517" spans="1:13" ht="25.5" x14ac:dyDescent="0.25">
      <c r="A517" s="100" t="str">
        <f t="shared" si="80"/>
        <v>RESIDENTIAL SERVICE CLASSIFICATION</v>
      </c>
      <c r="C517" s="117"/>
      <c r="D517" s="140" t="s">
        <v>160</v>
      </c>
      <c r="E517" s="119"/>
      <c r="F517" s="127">
        <v>-1.4E-3</v>
      </c>
      <c r="G517" s="142">
        <f>IF($E502&gt;0, $E502, $E501)</f>
        <v>1000</v>
      </c>
      <c r="H517" s="122">
        <f t="shared" si="78"/>
        <v>-1.4</v>
      </c>
      <c r="I517" s="128">
        <v>-5.3E-3</v>
      </c>
      <c r="J517" s="142">
        <f>IF($E502&gt;0, $E502, $E501)</f>
        <v>1000</v>
      </c>
      <c r="K517" s="122">
        <f t="shared" si="81"/>
        <v>-5.3</v>
      </c>
      <c r="L517" s="125">
        <f t="shared" si="77"/>
        <v>-3.9</v>
      </c>
      <c r="M517" s="126">
        <f t="shared" si="79"/>
        <v>2.785714285714286</v>
      </c>
    </row>
    <row r="518" spans="1:13" x14ac:dyDescent="0.25">
      <c r="A518" s="100" t="str">
        <f t="shared" si="80"/>
        <v>RESIDENTIAL SERVICE CLASSIFICATION</v>
      </c>
      <c r="C518" s="117"/>
      <c r="D518" s="140" t="s">
        <v>161</v>
      </c>
      <c r="E518" s="119"/>
      <c r="F518" s="127">
        <v>-1E-4</v>
      </c>
      <c r="G518" s="142">
        <f>IF($E502&gt;0, $E502, $E501)</f>
        <v>1000</v>
      </c>
      <c r="H518" s="122">
        <f>G518*F518</f>
        <v>-0.1</v>
      </c>
      <c r="I518" s="128">
        <v>0</v>
      </c>
      <c r="J518" s="142">
        <f>IF($E502&gt;0, $E502, $E501)</f>
        <v>1000</v>
      </c>
      <c r="K518" s="122">
        <f>J518*I518</f>
        <v>0</v>
      </c>
      <c r="L518" s="125">
        <f t="shared" si="77"/>
        <v>0.1</v>
      </c>
      <c r="M518" s="126">
        <f t="shared" si="79"/>
        <v>-1</v>
      </c>
    </row>
    <row r="519" spans="1:13" x14ac:dyDescent="0.25">
      <c r="A519" s="100" t="str">
        <f t="shared" si="80"/>
        <v>RESIDENTIAL SERVICE CLASSIFICATION</v>
      </c>
      <c r="C519" s="117"/>
      <c r="D519" s="140" t="s">
        <v>162</v>
      </c>
      <c r="E519" s="119"/>
      <c r="F519" s="127">
        <v>0</v>
      </c>
      <c r="G519" s="142">
        <f>E501</f>
        <v>1000</v>
      </c>
      <c r="H519" s="122">
        <f>G519*F519</f>
        <v>0</v>
      </c>
      <c r="I519" s="128">
        <v>0</v>
      </c>
      <c r="J519" s="142">
        <f>E501</f>
        <v>1000</v>
      </c>
      <c r="K519" s="122">
        <f t="shared" si="81"/>
        <v>0</v>
      </c>
      <c r="L519" s="125">
        <f t="shared" si="77"/>
        <v>0</v>
      </c>
      <c r="M519" s="126" t="str">
        <f t="shared" si="79"/>
        <v/>
      </c>
    </row>
    <row r="520" spans="1:13" x14ac:dyDescent="0.25">
      <c r="A520" s="100" t="str">
        <f t="shared" si="80"/>
        <v>RESIDENTIAL SERVICE CLASSIFICATION</v>
      </c>
      <c r="C520" s="117"/>
      <c r="D520" s="143" t="s">
        <v>163</v>
      </c>
      <c r="E520" s="119"/>
      <c r="F520" s="127">
        <v>2.5999999999999999E-3</v>
      </c>
      <c r="G520" s="142">
        <f>IF($E502&gt;0, $E502, $E501)</f>
        <v>1000</v>
      </c>
      <c r="H520" s="122">
        <f t="shared" si="78"/>
        <v>2.6</v>
      </c>
      <c r="I520" s="128">
        <v>2.5999999999999999E-3</v>
      </c>
      <c r="J520" s="142">
        <f>IF($E502&gt;0, $E502, $E501)</f>
        <v>1000</v>
      </c>
      <c r="K520" s="122">
        <f t="shared" si="81"/>
        <v>2.6</v>
      </c>
      <c r="L520" s="125">
        <f t="shared" si="77"/>
        <v>0</v>
      </c>
      <c r="M520" s="126">
        <f t="shared" si="79"/>
        <v>0</v>
      </c>
    </row>
    <row r="521" spans="1:13" ht="25.5" x14ac:dyDescent="0.25">
      <c r="A521" s="100" t="str">
        <f t="shared" si="80"/>
        <v>RESIDENTIAL SERVICE CLASSIFICATION</v>
      </c>
      <c r="C521" s="117"/>
      <c r="D521" s="144" t="s">
        <v>164</v>
      </c>
      <c r="E521" s="119"/>
      <c r="F521" s="145">
        <f>IF(OR(ISNUMBER(SEARCH("RESIDENTIAL", E499))=TRUE, ISNUMBER(SEARCH("GENERAL SERVICE LESS THAN 50", E499))=TRUE), SME, 0)</f>
        <v>0.56999999999999995</v>
      </c>
      <c r="G521" s="121">
        <v>1</v>
      </c>
      <c r="H521" s="122">
        <f>G521*F521</f>
        <v>0.56999999999999995</v>
      </c>
      <c r="I521" s="146">
        <f>IF(OR(ISNUMBER(SEARCH("RESIDENTIAL", E499))=TRUE, ISNUMBER(SEARCH("GENERAL SERVICE LESS THAN 50", E499))=TRUE), SME, 0)</f>
        <v>0.56999999999999995</v>
      </c>
      <c r="J521" s="121">
        <v>1</v>
      </c>
      <c r="K521" s="122">
        <f>J521*I521</f>
        <v>0.56999999999999995</v>
      </c>
      <c r="L521" s="125">
        <f t="shared" si="77"/>
        <v>0</v>
      </c>
      <c r="M521" s="126">
        <f>IF(ISERROR(L521/H521), "", L521/H521)</f>
        <v>0</v>
      </c>
    </row>
    <row r="522" spans="1:13" x14ac:dyDescent="0.25">
      <c r="A522" s="100" t="str">
        <f t="shared" si="80"/>
        <v>RESIDENTIAL SERVICE CLASSIFICATION</v>
      </c>
      <c r="C522" s="117"/>
      <c r="D522" s="143" t="s">
        <v>165</v>
      </c>
      <c r="E522" s="119"/>
      <c r="F522" s="120">
        <v>0</v>
      </c>
      <c r="G522" s="121">
        <v>1</v>
      </c>
      <c r="H522" s="122">
        <f t="shared" si="78"/>
        <v>0</v>
      </c>
      <c r="I522" s="123">
        <v>0</v>
      </c>
      <c r="J522" s="121">
        <v>1</v>
      </c>
      <c r="K522" s="122">
        <f>J522*I522</f>
        <v>0</v>
      </c>
      <c r="L522" s="125">
        <f>K522-H522</f>
        <v>0</v>
      </c>
      <c r="M522" s="126" t="str">
        <f>IF(ISERROR(L522/H522), "", L522/H522)</f>
        <v/>
      </c>
    </row>
    <row r="523" spans="1:13" x14ac:dyDescent="0.25">
      <c r="A523" s="100" t="str">
        <f t="shared" si="80"/>
        <v>RESIDENTIAL SERVICE CLASSIFICATION</v>
      </c>
      <c r="C523" s="117"/>
      <c r="D523" s="143" t="s">
        <v>166</v>
      </c>
      <c r="E523" s="119"/>
      <c r="F523" s="127"/>
      <c r="G523" s="142">
        <f>IF($E502&gt;0, $E502, $E501)</f>
        <v>1000</v>
      </c>
      <c r="H523" s="122">
        <f>G523*F523</f>
        <v>0</v>
      </c>
      <c r="I523" s="128">
        <v>0</v>
      </c>
      <c r="J523" s="142">
        <f>IF($E502&gt;0, $E502, $E501)</f>
        <v>1000</v>
      </c>
      <c r="K523" s="122">
        <f>J523*I523</f>
        <v>0</v>
      </c>
      <c r="L523" s="125">
        <f t="shared" si="77"/>
        <v>0</v>
      </c>
      <c r="M523" s="126" t="str">
        <f>IF(ISERROR(L523/H523), "", L523/H523)</f>
        <v/>
      </c>
    </row>
    <row r="524" spans="1:13" ht="25.5" x14ac:dyDescent="0.25">
      <c r="A524" s="100" t="str">
        <f t="shared" si="80"/>
        <v>RESIDENTIAL SERVICE CLASSIFICATION</v>
      </c>
      <c r="B524" s="105" t="s">
        <v>167</v>
      </c>
      <c r="C524" s="117">
        <f>B11</f>
        <v>9</v>
      </c>
      <c r="D524" s="147" t="s">
        <v>168</v>
      </c>
      <c r="E524" s="148"/>
      <c r="F524" s="149"/>
      <c r="G524" s="150"/>
      <c r="H524" s="151">
        <f>SUM(H515:H523)</f>
        <v>33.141440000000003</v>
      </c>
      <c r="I524" s="152"/>
      <c r="J524" s="153"/>
      <c r="K524" s="151">
        <f>SUM(K515:K523)</f>
        <v>29.181439999999998</v>
      </c>
      <c r="L524" s="138">
        <f t="shared" si="77"/>
        <v>-3.9600000000000044</v>
      </c>
      <c r="M524" s="139">
        <f>IF((H524)=0,"",(L524/H524))</f>
        <v>-0.11948786775710422</v>
      </c>
    </row>
    <row r="525" spans="1:13" x14ac:dyDescent="0.25">
      <c r="A525" s="100" t="str">
        <f t="shared" si="80"/>
        <v>RESIDENTIAL SERVICE CLASSIFICATION</v>
      </c>
      <c r="C525" s="117"/>
      <c r="D525" s="154" t="s">
        <v>169</v>
      </c>
      <c r="E525" s="119"/>
      <c r="F525" s="127">
        <v>6.7999999999999996E-3</v>
      </c>
      <c r="G525" s="141">
        <f>IF($E502&gt;0, $E502, $E501*$E503)</f>
        <v>1056</v>
      </c>
      <c r="H525" s="122">
        <f>G525*F525</f>
        <v>7.1807999999999996</v>
      </c>
      <c r="I525" s="128">
        <v>6.4999999999999997E-3</v>
      </c>
      <c r="J525" s="141">
        <f>IF($E502&gt;0, $E502, $E501*$E504)</f>
        <v>1056</v>
      </c>
      <c r="K525" s="122">
        <f>J525*I525</f>
        <v>6.8639999999999999</v>
      </c>
      <c r="L525" s="125">
        <f t="shared" si="77"/>
        <v>-0.31679999999999975</v>
      </c>
      <c r="M525" s="126">
        <f>IF(ISERROR(L525/H525), "", L525/H525)</f>
        <v>-4.4117647058823498E-2</v>
      </c>
    </row>
    <row r="526" spans="1:13" ht="25.5" x14ac:dyDescent="0.25">
      <c r="A526" s="100" t="str">
        <f t="shared" si="80"/>
        <v>RESIDENTIAL SERVICE CLASSIFICATION</v>
      </c>
      <c r="C526" s="117"/>
      <c r="D526" s="155" t="s">
        <v>170</v>
      </c>
      <c r="E526" s="119"/>
      <c r="F526" s="127">
        <v>5.5999999999999999E-3</v>
      </c>
      <c r="G526" s="141">
        <f>IF($E502&gt;0, $E502, $E501*$E503)</f>
        <v>1056</v>
      </c>
      <c r="H526" s="122">
        <f>G526*F526</f>
        <v>5.9135999999999997</v>
      </c>
      <c r="I526" s="128">
        <v>5.3E-3</v>
      </c>
      <c r="J526" s="141">
        <f>IF($E502&gt;0, $E502, $E501*$E504)</f>
        <v>1056</v>
      </c>
      <c r="K526" s="122">
        <f>J526*I526</f>
        <v>5.5968</v>
      </c>
      <c r="L526" s="125">
        <f t="shared" si="77"/>
        <v>-0.31679999999999975</v>
      </c>
      <c r="M526" s="126">
        <f>IF(ISERROR(L526/H526), "", L526/H526)</f>
        <v>-5.3571428571428534E-2</v>
      </c>
    </row>
    <row r="527" spans="1:13" ht="25.5" x14ac:dyDescent="0.25">
      <c r="A527" s="100" t="str">
        <f t="shared" si="80"/>
        <v>RESIDENTIAL SERVICE CLASSIFICATION</v>
      </c>
      <c r="B527" s="105" t="s">
        <v>171</v>
      </c>
      <c r="C527" s="117">
        <f>B11</f>
        <v>9</v>
      </c>
      <c r="D527" s="147" t="s">
        <v>172</v>
      </c>
      <c r="E527" s="132"/>
      <c r="F527" s="149"/>
      <c r="G527" s="150"/>
      <c r="H527" s="151">
        <f>SUM(H524:H526)</f>
        <v>46.235840000000003</v>
      </c>
      <c r="I527" s="152"/>
      <c r="J527" s="137"/>
      <c r="K527" s="151">
        <f>SUM(K524:K526)</f>
        <v>41.642240000000001</v>
      </c>
      <c r="L527" s="138">
        <f t="shared" si="77"/>
        <v>-4.5936000000000021</v>
      </c>
      <c r="M527" s="139">
        <f>IF((H527)=0,"",(L527/H527))</f>
        <v>-9.9351498750752706E-2</v>
      </c>
    </row>
    <row r="528" spans="1:13" ht="25.5" x14ac:dyDescent="0.25">
      <c r="A528" s="100" t="str">
        <f t="shared" si="80"/>
        <v>RESIDENTIAL SERVICE CLASSIFICATION</v>
      </c>
      <c r="C528" s="117"/>
      <c r="D528" s="156" t="s">
        <v>173</v>
      </c>
      <c r="E528" s="119"/>
      <c r="F528" s="127">
        <v>3.6000000000000003E-3</v>
      </c>
      <c r="G528" s="141">
        <f>E501*E503</f>
        <v>1056</v>
      </c>
      <c r="H528" s="157">
        <f t="shared" ref="H528:H534" si="82">G528*F528</f>
        <v>3.8016000000000005</v>
      </c>
      <c r="I528" s="128">
        <v>3.6000000000000003E-3</v>
      </c>
      <c r="J528" s="141">
        <f>E501*E504</f>
        <v>1056</v>
      </c>
      <c r="K528" s="157">
        <f t="shared" ref="K528:K534" si="83">J528*I528</f>
        <v>3.8016000000000005</v>
      </c>
      <c r="L528" s="125">
        <f t="shared" si="77"/>
        <v>0</v>
      </c>
      <c r="M528" s="126">
        <f t="shared" ref="M528:M536" si="84">IF(ISERROR(L528/H528), "", L528/H528)</f>
        <v>0</v>
      </c>
    </row>
    <row r="529" spans="1:13" ht="25.5" x14ac:dyDescent="0.25">
      <c r="A529" s="100" t="str">
        <f t="shared" si="80"/>
        <v>RESIDENTIAL SERVICE CLASSIFICATION</v>
      </c>
      <c r="C529" s="117"/>
      <c r="D529" s="156" t="s">
        <v>174</v>
      </c>
      <c r="E529" s="119"/>
      <c r="F529" s="127">
        <f>'[1]17. Regulatory Charges'!$D$16</f>
        <v>2.9999999999999997E-4</v>
      </c>
      <c r="G529" s="141">
        <f>E501*E503</f>
        <v>1056</v>
      </c>
      <c r="H529" s="157">
        <f t="shared" si="82"/>
        <v>0.31679999999999997</v>
      </c>
      <c r="I529" s="128">
        <v>2.9999999999999997E-4</v>
      </c>
      <c r="J529" s="141">
        <f>E501*E504</f>
        <v>1056</v>
      </c>
      <c r="K529" s="157">
        <f t="shared" si="83"/>
        <v>0.31679999999999997</v>
      </c>
      <c r="L529" s="125">
        <f t="shared" si="77"/>
        <v>0</v>
      </c>
      <c r="M529" s="126">
        <f t="shared" si="84"/>
        <v>0</v>
      </c>
    </row>
    <row r="530" spans="1:13" x14ac:dyDescent="0.25">
      <c r="A530" s="100" t="str">
        <f t="shared" si="80"/>
        <v>RESIDENTIAL SERVICE CLASSIFICATION</v>
      </c>
      <c r="C530" s="117"/>
      <c r="D530" s="158" t="s">
        <v>175</v>
      </c>
      <c r="E530" s="119"/>
      <c r="F530" s="145">
        <v>0.25</v>
      </c>
      <c r="G530" s="121">
        <v>1</v>
      </c>
      <c r="H530" s="157">
        <f t="shared" si="82"/>
        <v>0.25</v>
      </c>
      <c r="I530" s="146">
        <f>'[1]17. Regulatory Charges'!$D$17</f>
        <v>0.25</v>
      </c>
      <c r="J530" s="124">
        <v>1</v>
      </c>
      <c r="K530" s="157">
        <f t="shared" si="83"/>
        <v>0.25</v>
      </c>
      <c r="L530" s="125">
        <f t="shared" si="77"/>
        <v>0</v>
      </c>
      <c r="M530" s="126">
        <f t="shared" si="84"/>
        <v>0</v>
      </c>
    </row>
    <row r="531" spans="1:13" ht="25.5" x14ac:dyDescent="0.25">
      <c r="A531" s="100" t="str">
        <f t="shared" si="80"/>
        <v>RESIDENTIAL SERVICE CLASSIFICATION</v>
      </c>
      <c r="C531" s="117"/>
      <c r="D531" s="156" t="s">
        <v>176</v>
      </c>
      <c r="E531" s="119"/>
      <c r="F531" s="127"/>
      <c r="G531" s="141"/>
      <c r="H531" s="157"/>
      <c r="I531" s="128"/>
      <c r="J531" s="141"/>
      <c r="K531" s="157"/>
      <c r="L531" s="125"/>
      <c r="M531" s="126"/>
    </row>
    <row r="532" spans="1:13" x14ac:dyDescent="0.25">
      <c r="A532" s="100" t="str">
        <f t="shared" si="80"/>
        <v>RESIDENTIAL SERVICE CLASSIFICATION</v>
      </c>
      <c r="B532" s="105" t="s">
        <v>117</v>
      </c>
      <c r="C532" s="117"/>
      <c r="D532" s="159" t="s">
        <v>177</v>
      </c>
      <c r="E532" s="119"/>
      <c r="F532" s="160">
        <f>OffPeak</f>
        <v>6.5000000000000002E-2</v>
      </c>
      <c r="G532" s="161">
        <f>IF(AND(E501*12&gt;=150000),0.65*E501*E503,0.65*E501)</f>
        <v>650</v>
      </c>
      <c r="H532" s="157">
        <f t="shared" si="82"/>
        <v>42.25</v>
      </c>
      <c r="I532" s="162">
        <f>OffPeak</f>
        <v>6.5000000000000002E-2</v>
      </c>
      <c r="J532" s="161">
        <f>IF(AND(E501*12&gt;=150000),0.65*E501*E504,0.65*E501)</f>
        <v>650</v>
      </c>
      <c r="K532" s="157">
        <f t="shared" si="83"/>
        <v>42.25</v>
      </c>
      <c r="L532" s="125">
        <f>K532-H532</f>
        <v>0</v>
      </c>
      <c r="M532" s="126">
        <f t="shared" si="84"/>
        <v>0</v>
      </c>
    </row>
    <row r="533" spans="1:13" x14ac:dyDescent="0.25">
      <c r="A533" s="100" t="str">
        <f t="shared" si="80"/>
        <v>RESIDENTIAL SERVICE CLASSIFICATION</v>
      </c>
      <c r="B533" s="105" t="s">
        <v>117</v>
      </c>
      <c r="C533" s="117"/>
      <c r="D533" s="159" t="s">
        <v>178</v>
      </c>
      <c r="E533" s="119"/>
      <c r="F533" s="160">
        <f>MidPeak</f>
        <v>9.4E-2</v>
      </c>
      <c r="G533" s="161">
        <f>IF(AND(E501*12&gt;=150000),0.17*E501*E503,0.17*E501)</f>
        <v>170</v>
      </c>
      <c r="H533" s="157">
        <f t="shared" si="82"/>
        <v>15.98</v>
      </c>
      <c r="I533" s="162">
        <f>MidPeak</f>
        <v>9.4E-2</v>
      </c>
      <c r="J533" s="161">
        <f>IF(AND(E501*12&gt;=150000),0.17*E501*E504,0.17*E501)</f>
        <v>170</v>
      </c>
      <c r="K533" s="157">
        <f t="shared" si="83"/>
        <v>15.98</v>
      </c>
      <c r="L533" s="125">
        <f>K533-H533</f>
        <v>0</v>
      </c>
      <c r="M533" s="126">
        <f t="shared" si="84"/>
        <v>0</v>
      </c>
    </row>
    <row r="534" spans="1:13" ht="15.75" thickBot="1" x14ac:dyDescent="0.3">
      <c r="A534" s="100" t="str">
        <f t="shared" si="80"/>
        <v>RESIDENTIAL SERVICE CLASSIFICATION</v>
      </c>
      <c r="B534" s="105" t="s">
        <v>117</v>
      </c>
      <c r="C534" s="117"/>
      <c r="D534" s="105" t="s">
        <v>179</v>
      </c>
      <c r="E534" s="119"/>
      <c r="F534" s="160">
        <f>OnPeak</f>
        <v>0.13200000000000001</v>
      </c>
      <c r="G534" s="161">
        <f>IF(AND(E501*12&gt;=150000),0.18*E501*E503,0.18*E501)</f>
        <v>180</v>
      </c>
      <c r="H534" s="157">
        <f t="shared" si="82"/>
        <v>23.76</v>
      </c>
      <c r="I534" s="162">
        <f>OnPeak</f>
        <v>0.13200000000000001</v>
      </c>
      <c r="J534" s="161">
        <f>IF(AND(E501*12&gt;=150000),0.18*E501*E504,0.18*E501)</f>
        <v>180</v>
      </c>
      <c r="K534" s="157">
        <f t="shared" si="83"/>
        <v>23.76</v>
      </c>
      <c r="L534" s="125">
        <f>K534-H534</f>
        <v>0</v>
      </c>
      <c r="M534" s="126">
        <f t="shared" si="84"/>
        <v>0</v>
      </c>
    </row>
    <row r="535" spans="1:13" hidden="1" x14ac:dyDescent="0.25">
      <c r="A535" s="100" t="str">
        <f t="shared" si="80"/>
        <v>RESIDENTIAL SERVICE CLASSIFICATION</v>
      </c>
      <c r="B535" s="100" t="s">
        <v>180</v>
      </c>
      <c r="C535" s="117"/>
      <c r="D535" s="159" t="s">
        <v>181</v>
      </c>
      <c r="E535" s="119"/>
      <c r="F535" s="163">
        <v>0.1101</v>
      </c>
      <c r="G535" s="161">
        <f>IF(AND(E501*12&gt;=150000),E501*E503,E501)</f>
        <v>1000</v>
      </c>
      <c r="H535" s="157">
        <f>G535*F535</f>
        <v>110.10000000000001</v>
      </c>
      <c r="I535" s="164">
        <f>F535</f>
        <v>0.1101</v>
      </c>
      <c r="J535" s="161">
        <f>IF(AND(E501*12&gt;=150000),E501*E504,E501)</f>
        <v>1000</v>
      </c>
      <c r="K535" s="157">
        <f>J535*I535</f>
        <v>110.10000000000001</v>
      </c>
      <c r="L535" s="125">
        <f>K535-H535</f>
        <v>0</v>
      </c>
      <c r="M535" s="126">
        <f t="shared" si="84"/>
        <v>0</v>
      </c>
    </row>
    <row r="536" spans="1:13" ht="15.75" hidden="1" thickBot="1" x14ac:dyDescent="0.3">
      <c r="A536" s="100" t="str">
        <f t="shared" si="80"/>
        <v>RESIDENTIAL SERVICE CLASSIFICATION</v>
      </c>
      <c r="B536" s="100" t="s">
        <v>121</v>
      </c>
      <c r="C536" s="117"/>
      <c r="D536" s="159" t="s">
        <v>182</v>
      </c>
      <c r="E536" s="119"/>
      <c r="F536" s="163">
        <v>0.1101</v>
      </c>
      <c r="G536" s="161">
        <f>IF(AND(E501*12&gt;=150000),E501*E503,E501)</f>
        <v>1000</v>
      </c>
      <c r="H536" s="157">
        <f>G536*F536</f>
        <v>110.10000000000001</v>
      </c>
      <c r="I536" s="164">
        <f>F536</f>
        <v>0.1101</v>
      </c>
      <c r="J536" s="161">
        <f>IF(AND(E501*12&gt;=150000),E501*E504,E501)</f>
        <v>1000</v>
      </c>
      <c r="K536" s="157">
        <f>J536*I536</f>
        <v>110.10000000000001</v>
      </c>
      <c r="L536" s="125">
        <f>K536-H536</f>
        <v>0</v>
      </c>
      <c r="M536" s="126">
        <f t="shared" si="84"/>
        <v>0</v>
      </c>
    </row>
    <row r="537" spans="1:13" ht="15.75" thickBot="1" x14ac:dyDescent="0.3">
      <c r="A537" s="100" t="str">
        <f t="shared" si="80"/>
        <v>RESIDENTIAL SERVICE CLASSIFICATION</v>
      </c>
      <c r="B537" s="105"/>
      <c r="C537" s="117"/>
      <c r="D537" s="165"/>
      <c r="E537" s="166"/>
      <c r="F537" s="167"/>
      <c r="G537" s="168"/>
      <c r="H537" s="169"/>
      <c r="I537" s="167"/>
      <c r="J537" s="170"/>
      <c r="K537" s="169"/>
      <c r="L537" s="171"/>
      <c r="M537" s="172"/>
    </row>
    <row r="538" spans="1:13" x14ac:dyDescent="0.25">
      <c r="A538" s="100" t="str">
        <f t="shared" si="80"/>
        <v>RESIDENTIAL SERVICE CLASSIFICATION</v>
      </c>
      <c r="B538" s="105" t="s">
        <v>117</v>
      </c>
      <c r="C538" s="117"/>
      <c r="D538" s="173" t="s">
        <v>183</v>
      </c>
      <c r="E538" s="158"/>
      <c r="F538" s="174"/>
      <c r="G538" s="175"/>
      <c r="H538" s="176">
        <f>SUM(H528:H534,H527)</f>
        <v>132.59424000000001</v>
      </c>
      <c r="I538" s="177"/>
      <c r="J538" s="177"/>
      <c r="K538" s="176">
        <f>SUM(K528:K534,K527)</f>
        <v>128.00064</v>
      </c>
      <c r="L538" s="178">
        <f>K538-H538</f>
        <v>-4.5936000000000092</v>
      </c>
      <c r="M538" s="179">
        <f>IF((H538)=0,"",(L538/H538))</f>
        <v>-3.4644038836076203E-2</v>
      </c>
    </row>
    <row r="539" spans="1:13" x14ac:dyDescent="0.25">
      <c r="A539" s="100" t="str">
        <f t="shared" si="80"/>
        <v>RESIDENTIAL SERVICE CLASSIFICATION</v>
      </c>
      <c r="B539" s="105" t="s">
        <v>117</v>
      </c>
      <c r="C539" s="117"/>
      <c r="D539" s="180" t="s">
        <v>184</v>
      </c>
      <c r="E539" s="158"/>
      <c r="F539" s="174">
        <v>0.13</v>
      </c>
      <c r="G539" s="181"/>
      <c r="H539" s="182">
        <f>H538*F539</f>
        <v>17.237251200000003</v>
      </c>
      <c r="I539" s="183">
        <v>0.13</v>
      </c>
      <c r="J539" s="121"/>
      <c r="K539" s="182">
        <f>K538*I539</f>
        <v>16.640083199999999</v>
      </c>
      <c r="L539" s="184">
        <f>K539-H539</f>
        <v>-0.59716800000000347</v>
      </c>
      <c r="M539" s="185">
        <f>IF((H539)=0,"",(L539/H539))</f>
        <v>-3.4644038836076335E-2</v>
      </c>
    </row>
    <row r="540" spans="1:13" x14ac:dyDescent="0.25">
      <c r="A540" s="100" t="str">
        <f t="shared" si="80"/>
        <v>RESIDENTIAL SERVICE CLASSIFICATION</v>
      </c>
      <c r="B540" s="105" t="s">
        <v>117</v>
      </c>
      <c r="C540" s="117"/>
      <c r="D540" s="180" t="s">
        <v>185</v>
      </c>
      <c r="E540" s="158"/>
      <c r="F540" s="174">
        <v>0.08</v>
      </c>
      <c r="G540" s="181"/>
      <c r="H540" s="182">
        <f>H538*-F540</f>
        <v>-10.607539200000002</v>
      </c>
      <c r="I540" s="174">
        <v>0.08</v>
      </c>
      <c r="J540" s="121"/>
      <c r="K540" s="182">
        <f>K538*-I540</f>
        <v>-10.2400512</v>
      </c>
      <c r="L540" s="184">
        <f>K540-H540</f>
        <v>0.36748800000000159</v>
      </c>
      <c r="M540" s="185"/>
    </row>
    <row r="541" spans="1:13" ht="15.75" thickBot="1" x14ac:dyDescent="0.3">
      <c r="A541" s="100" t="str">
        <f t="shared" si="80"/>
        <v>RESIDENTIAL SERVICE CLASSIFICATION</v>
      </c>
      <c r="B541" s="105" t="s">
        <v>186</v>
      </c>
      <c r="C541" s="117">
        <f>B11</f>
        <v>9</v>
      </c>
      <c r="D541" s="301" t="s">
        <v>187</v>
      </c>
      <c r="E541" s="301"/>
      <c r="F541" s="186"/>
      <c r="G541" s="187"/>
      <c r="H541" s="188">
        <f>H538+H539+H540</f>
        <v>139.22395200000003</v>
      </c>
      <c r="I541" s="189"/>
      <c r="J541" s="189"/>
      <c r="K541" s="190">
        <f>K538+K539+K540</f>
        <v>134.40067199999999</v>
      </c>
      <c r="L541" s="191">
        <f>K541-H541</f>
        <v>-4.8232800000000395</v>
      </c>
      <c r="M541" s="192">
        <f>IF((H541)=0,"",(L541/H541))</f>
        <v>-3.4644038836076411E-2</v>
      </c>
    </row>
    <row r="542" spans="1:13" ht="15.75" thickBot="1" x14ac:dyDescent="0.3">
      <c r="A542" s="100" t="str">
        <f t="shared" si="80"/>
        <v>RESIDENTIAL SERVICE CLASSIFICATION</v>
      </c>
      <c r="B542" s="100" t="s">
        <v>117</v>
      </c>
      <c r="C542" s="117"/>
      <c r="D542" s="165"/>
      <c r="E542" s="166"/>
      <c r="F542" s="167"/>
      <c r="G542" s="168"/>
      <c r="H542" s="169"/>
      <c r="I542" s="167"/>
      <c r="J542" s="170"/>
      <c r="K542" s="169"/>
      <c r="L542" s="171"/>
      <c r="M542" s="172"/>
    </row>
    <row r="543" spans="1:13" hidden="1" x14ac:dyDescent="0.25">
      <c r="A543" s="100" t="str">
        <f t="shared" si="80"/>
        <v>RESIDENTIAL SERVICE CLASSIFICATION</v>
      </c>
      <c r="B543" s="100" t="s">
        <v>180</v>
      </c>
      <c r="C543" s="117"/>
      <c r="D543" s="173" t="s">
        <v>188</v>
      </c>
      <c r="E543" s="158"/>
      <c r="F543" s="174"/>
      <c r="G543" s="175"/>
      <c r="H543" s="176">
        <f>SUM(H535,H528:H531,H527)</f>
        <v>160.70424</v>
      </c>
      <c r="I543" s="177"/>
      <c r="J543" s="177"/>
      <c r="K543" s="176">
        <f>SUM(K535,K528:K531,K527)</f>
        <v>156.11063999999999</v>
      </c>
      <c r="L543" s="178">
        <f>K543-H543</f>
        <v>-4.5936000000000092</v>
      </c>
      <c r="M543" s="179">
        <f>IF((H543)=0,"",(L543/H543))</f>
        <v>-2.8584186702230192E-2</v>
      </c>
    </row>
    <row r="544" spans="1:13" hidden="1" x14ac:dyDescent="0.25">
      <c r="A544" s="100" t="str">
        <f t="shared" si="80"/>
        <v>RESIDENTIAL SERVICE CLASSIFICATION</v>
      </c>
      <c r="B544" s="100" t="s">
        <v>180</v>
      </c>
      <c r="C544" s="117"/>
      <c r="D544" s="180" t="s">
        <v>184</v>
      </c>
      <c r="E544" s="158"/>
      <c r="F544" s="174">
        <v>0.13</v>
      </c>
      <c r="G544" s="175"/>
      <c r="H544" s="182">
        <f>H543*F544</f>
        <v>20.891551200000002</v>
      </c>
      <c r="I544" s="174">
        <v>0.13</v>
      </c>
      <c r="J544" s="183"/>
      <c r="K544" s="182">
        <f>K543*I544</f>
        <v>20.294383199999999</v>
      </c>
      <c r="L544" s="184">
        <f>K544-H544</f>
        <v>-0.59716800000000347</v>
      </c>
      <c r="M544" s="185">
        <f>IF((H544)=0,"",(L544/H544))</f>
        <v>-2.8584186702230296E-2</v>
      </c>
    </row>
    <row r="545" spans="1:13" hidden="1" x14ac:dyDescent="0.25">
      <c r="A545" s="100" t="str">
        <f t="shared" si="80"/>
        <v>RESIDENTIAL SERVICE CLASSIFICATION</v>
      </c>
      <c r="B545" s="100" t="s">
        <v>180</v>
      </c>
      <c r="C545" s="117"/>
      <c r="D545" s="180" t="s">
        <v>185</v>
      </c>
      <c r="E545" s="158"/>
      <c r="F545" s="174">
        <v>0.08</v>
      </c>
      <c r="G545" s="175"/>
      <c r="H545" s="182"/>
      <c r="I545" s="174">
        <v>0.08</v>
      </c>
      <c r="J545" s="183"/>
      <c r="K545" s="182"/>
      <c r="L545" s="184"/>
      <c r="M545" s="185"/>
    </row>
    <row r="546" spans="1:13" ht="15.75" hidden="1" thickBot="1" x14ac:dyDescent="0.3">
      <c r="A546" s="100" t="str">
        <f t="shared" si="80"/>
        <v>RESIDENTIAL SERVICE CLASSIFICATION</v>
      </c>
      <c r="B546" s="100" t="s">
        <v>189</v>
      </c>
      <c r="C546" s="117"/>
      <c r="D546" s="301" t="s">
        <v>188</v>
      </c>
      <c r="E546" s="301"/>
      <c r="F546" s="193"/>
      <c r="G546" s="194"/>
      <c r="H546" s="188">
        <f>SUM(H543,H544)</f>
        <v>181.59579120000001</v>
      </c>
      <c r="I546" s="195"/>
      <c r="J546" s="195"/>
      <c r="K546" s="188">
        <f>SUM(K543,K544)</f>
        <v>176.40502319999999</v>
      </c>
      <c r="L546" s="196">
        <f>K546-H546</f>
        <v>-5.1907680000000198</v>
      </c>
      <c r="M546" s="197">
        <f>IF((H546)=0,"",(L546/H546))</f>
        <v>-2.858418670223024E-2</v>
      </c>
    </row>
    <row r="547" spans="1:13" ht="15.75" hidden="1" thickBot="1" x14ac:dyDescent="0.3">
      <c r="A547" s="100" t="str">
        <f t="shared" si="80"/>
        <v>RESIDENTIAL SERVICE CLASSIFICATION</v>
      </c>
      <c r="B547" s="100" t="s">
        <v>180</v>
      </c>
      <c r="C547" s="117"/>
      <c r="D547" s="165"/>
      <c r="E547" s="166"/>
      <c r="F547" s="198"/>
      <c r="G547" s="199"/>
      <c r="H547" s="200"/>
      <c r="I547" s="198"/>
      <c r="J547" s="168"/>
      <c r="K547" s="200"/>
      <c r="L547" s="201"/>
      <c r="M547" s="172"/>
    </row>
    <row r="548" spans="1:13" hidden="1" x14ac:dyDescent="0.25">
      <c r="A548" s="100" t="str">
        <f t="shared" si="80"/>
        <v>RESIDENTIAL SERVICE CLASSIFICATION</v>
      </c>
      <c r="B548" s="100" t="s">
        <v>121</v>
      </c>
      <c r="C548" s="117"/>
      <c r="D548" s="173" t="s">
        <v>190</v>
      </c>
      <c r="E548" s="158"/>
      <c r="F548" s="174"/>
      <c r="G548" s="175"/>
      <c r="H548" s="176">
        <f>SUM(H536,H528:H531,H527)</f>
        <v>160.70424</v>
      </c>
      <c r="I548" s="177"/>
      <c r="J548" s="177"/>
      <c r="K548" s="176">
        <f>SUM(K536,K528:K531,K527)</f>
        <v>156.11063999999999</v>
      </c>
      <c r="L548" s="178">
        <f>K548-H548</f>
        <v>-4.5936000000000092</v>
      </c>
      <c r="M548" s="179">
        <f>IF((H548)=0,"",(L548/H548))</f>
        <v>-2.8584186702230192E-2</v>
      </c>
    </row>
    <row r="549" spans="1:13" hidden="1" x14ac:dyDescent="0.25">
      <c r="A549" s="100" t="str">
        <f t="shared" si="80"/>
        <v>RESIDENTIAL SERVICE CLASSIFICATION</v>
      </c>
      <c r="B549" s="100" t="s">
        <v>121</v>
      </c>
      <c r="C549" s="117"/>
      <c r="D549" s="180" t="s">
        <v>184</v>
      </c>
      <c r="E549" s="158"/>
      <c r="F549" s="174">
        <v>0.13</v>
      </c>
      <c r="G549" s="175"/>
      <c r="H549" s="182">
        <f>H548*F549</f>
        <v>20.891551200000002</v>
      </c>
      <c r="I549" s="174">
        <v>0.13</v>
      </c>
      <c r="J549" s="183"/>
      <c r="K549" s="182">
        <f>K548*I549</f>
        <v>20.294383199999999</v>
      </c>
      <c r="L549" s="184">
        <f>K549-H549</f>
        <v>-0.59716800000000347</v>
      </c>
      <c r="M549" s="185">
        <f>IF((H549)=0,"",(L549/H549))</f>
        <v>-2.8584186702230296E-2</v>
      </c>
    </row>
    <row r="550" spans="1:13" hidden="1" x14ac:dyDescent="0.25">
      <c r="A550" s="100" t="str">
        <f t="shared" si="80"/>
        <v>RESIDENTIAL SERVICE CLASSIFICATION</v>
      </c>
      <c r="B550" s="100" t="s">
        <v>121</v>
      </c>
      <c r="C550" s="117"/>
      <c r="D550" s="180" t="s">
        <v>185</v>
      </c>
      <c r="E550" s="158"/>
      <c r="F550" s="174">
        <v>0.08</v>
      </c>
      <c r="G550" s="175"/>
      <c r="H550" s="182"/>
      <c r="I550" s="174">
        <v>0.08</v>
      </c>
      <c r="J550" s="183"/>
      <c r="K550" s="182"/>
      <c r="L550" s="184"/>
      <c r="M550" s="185"/>
    </row>
    <row r="551" spans="1:13" ht="15.75" hidden="1" thickBot="1" x14ac:dyDescent="0.3">
      <c r="A551" s="100" t="str">
        <f t="shared" si="80"/>
        <v>RESIDENTIAL SERVICE CLASSIFICATION</v>
      </c>
      <c r="B551" s="100" t="s">
        <v>191</v>
      </c>
      <c r="C551" s="117"/>
      <c r="D551" s="301" t="s">
        <v>190</v>
      </c>
      <c r="E551" s="301"/>
      <c r="F551" s="193"/>
      <c r="G551" s="194"/>
      <c r="H551" s="188">
        <f>SUM(H548,H549)</f>
        <v>181.59579120000001</v>
      </c>
      <c r="I551" s="195"/>
      <c r="J551" s="195"/>
      <c r="K551" s="188">
        <f>SUM(K548,K549)</f>
        <v>176.40502319999999</v>
      </c>
      <c r="L551" s="196">
        <f>K551-H551</f>
        <v>-5.1907680000000198</v>
      </c>
      <c r="M551" s="197">
        <f>IF((H551)=0,"",(L551/H551))</f>
        <v>-2.858418670223024E-2</v>
      </c>
    </row>
    <row r="552" spans="1:13" ht="15.75" hidden="1" thickBot="1" x14ac:dyDescent="0.3">
      <c r="A552" s="100" t="str">
        <f t="shared" si="80"/>
        <v>RESIDENTIAL SERVICE CLASSIFICATION</v>
      </c>
      <c r="B552" s="100" t="s">
        <v>121</v>
      </c>
      <c r="C552" s="117"/>
      <c r="D552" s="165"/>
      <c r="E552" s="166"/>
      <c r="F552" s="202"/>
      <c r="G552" s="203"/>
      <c r="H552" s="204"/>
      <c r="I552" s="202"/>
      <c r="J552" s="205"/>
      <c r="K552" s="204"/>
      <c r="L552" s="206"/>
      <c r="M552" s="207"/>
    </row>
    <row r="555" spans="1:13" x14ac:dyDescent="0.25">
      <c r="C555" s="100"/>
      <c r="D555" s="101" t="s">
        <v>134</v>
      </c>
      <c r="E555" s="302" t="str">
        <f>D12</f>
        <v>RESIDENTIAL SERVICE CLASSIFICATION</v>
      </c>
      <c r="F555" s="302"/>
      <c r="G555" s="302"/>
      <c r="H555" s="302"/>
      <c r="I555" s="302"/>
      <c r="J555" s="302"/>
      <c r="K555" s="100" t="str">
        <f>IF(N12="DEMAND - INTERVAL","RTSR - INTERVAL METERED","")</f>
        <v/>
      </c>
    </row>
    <row r="556" spans="1:13" x14ac:dyDescent="0.25">
      <c r="C556" s="100"/>
      <c r="D556" s="101" t="s">
        <v>135</v>
      </c>
      <c r="E556" s="303" t="str">
        <f>H12</f>
        <v>RPP</v>
      </c>
      <c r="F556" s="303"/>
      <c r="G556" s="303"/>
      <c r="H556" s="102"/>
      <c r="I556" s="102"/>
    </row>
    <row r="557" spans="1:13" ht="15.75" x14ac:dyDescent="0.25">
      <c r="C557" s="100"/>
      <c r="D557" s="101" t="s">
        <v>136</v>
      </c>
      <c r="E557" s="103">
        <f>K12</f>
        <v>2500</v>
      </c>
      <c r="F557" s="104" t="s">
        <v>137</v>
      </c>
      <c r="G557" s="105"/>
      <c r="J557" s="106"/>
      <c r="K557" s="106"/>
      <c r="L557" s="106"/>
      <c r="M557" s="106"/>
    </row>
    <row r="558" spans="1:13" ht="15.75" x14ac:dyDescent="0.25">
      <c r="C558" s="100"/>
      <c r="D558" s="101" t="s">
        <v>138</v>
      </c>
      <c r="E558" s="103">
        <f>L12</f>
        <v>0</v>
      </c>
      <c r="F558" s="107" t="s">
        <v>139</v>
      </c>
      <c r="G558" s="108"/>
      <c r="H558" s="109"/>
      <c r="I558" s="109"/>
      <c r="J558" s="109"/>
    </row>
    <row r="559" spans="1:13" x14ac:dyDescent="0.25">
      <c r="C559" s="100"/>
      <c r="D559" s="101" t="s">
        <v>140</v>
      </c>
      <c r="E559" s="110">
        <f>I12</f>
        <v>1.056</v>
      </c>
    </row>
    <row r="560" spans="1:13" x14ac:dyDescent="0.25">
      <c r="C560" s="100"/>
      <c r="D560" s="101" t="s">
        <v>141</v>
      </c>
      <c r="E560" s="110">
        <f>J12</f>
        <v>1.056</v>
      </c>
    </row>
    <row r="561" spans="1:13" x14ac:dyDescent="0.25">
      <c r="C561" s="100"/>
      <c r="D561" s="105"/>
    </row>
    <row r="562" spans="1:13" x14ac:dyDescent="0.25">
      <c r="C562" s="100"/>
      <c r="D562" s="105"/>
      <c r="E562" s="111"/>
      <c r="F562" s="304" t="s">
        <v>142</v>
      </c>
      <c r="G562" s="305"/>
      <c r="H562" s="306"/>
      <c r="I562" s="304" t="s">
        <v>143</v>
      </c>
      <c r="J562" s="305"/>
      <c r="K562" s="306"/>
      <c r="L562" s="304" t="s">
        <v>144</v>
      </c>
      <c r="M562" s="306"/>
    </row>
    <row r="563" spans="1:13" x14ac:dyDescent="0.25">
      <c r="C563" s="100"/>
      <c r="D563" s="105"/>
      <c r="E563" s="295"/>
      <c r="F563" s="112" t="s">
        <v>145</v>
      </c>
      <c r="G563" s="112" t="s">
        <v>146</v>
      </c>
      <c r="H563" s="113" t="s">
        <v>147</v>
      </c>
      <c r="I563" s="112" t="s">
        <v>145</v>
      </c>
      <c r="J563" s="114" t="s">
        <v>146</v>
      </c>
      <c r="K563" s="113" t="s">
        <v>147</v>
      </c>
      <c r="L563" s="297" t="s">
        <v>148</v>
      </c>
      <c r="M563" s="299" t="s">
        <v>149</v>
      </c>
    </row>
    <row r="564" spans="1:13" x14ac:dyDescent="0.25">
      <c r="C564" s="100"/>
      <c r="D564" s="105"/>
      <c r="E564" s="296"/>
      <c r="F564" s="115" t="s">
        <v>150</v>
      </c>
      <c r="G564" s="115"/>
      <c r="H564" s="116" t="s">
        <v>150</v>
      </c>
      <c r="I564" s="115" t="s">
        <v>150</v>
      </c>
      <c r="J564" s="116"/>
      <c r="K564" s="116" t="s">
        <v>150</v>
      </c>
      <c r="L564" s="298"/>
      <c r="M564" s="300"/>
    </row>
    <row r="565" spans="1:13" x14ac:dyDescent="0.25">
      <c r="A565" s="100" t="str">
        <f>$E555</f>
        <v>RESIDENTIAL SERVICE CLASSIFICATION</v>
      </c>
      <c r="C565" s="117"/>
      <c r="D565" s="118" t="s">
        <v>151</v>
      </c>
      <c r="E565" s="119"/>
      <c r="F565" s="120">
        <v>23.48</v>
      </c>
      <c r="G565" s="121">
        <v>1</v>
      </c>
      <c r="H565" s="122">
        <f>G565*F565</f>
        <v>23.48</v>
      </c>
      <c r="I565" s="123">
        <v>26.72</v>
      </c>
      <c r="J565" s="124">
        <f>G565</f>
        <v>1</v>
      </c>
      <c r="K565" s="122">
        <f>J565*I565</f>
        <v>26.72</v>
      </c>
      <c r="L565" s="125">
        <f t="shared" ref="L565:L586" si="85">K565-H565</f>
        <v>3.2399999999999984</v>
      </c>
      <c r="M565" s="126">
        <f>IF(ISERROR(L565/H565), "", L565/H565)</f>
        <v>0.13798977853492328</v>
      </c>
    </row>
    <row r="566" spans="1:13" x14ac:dyDescent="0.25">
      <c r="A566" s="100" t="str">
        <f>A565</f>
        <v>RESIDENTIAL SERVICE CLASSIFICATION</v>
      </c>
      <c r="C566" s="117"/>
      <c r="D566" s="118" t="s">
        <v>152</v>
      </c>
      <c r="E566" s="119"/>
      <c r="F566" s="127">
        <v>3.3999999999999998E-3</v>
      </c>
      <c r="G566" s="121">
        <f>IF($E558&gt;0, $E558, $E557)</f>
        <v>2500</v>
      </c>
      <c r="H566" s="122">
        <f t="shared" ref="H566:H578" si="86">G566*F566</f>
        <v>8.5</v>
      </c>
      <c r="I566" s="128">
        <v>0</v>
      </c>
      <c r="J566" s="124">
        <f>IF($E558&gt;0, $E558, $E557)</f>
        <v>2500</v>
      </c>
      <c r="K566" s="122">
        <f>J566*I566</f>
        <v>0</v>
      </c>
      <c r="L566" s="125">
        <f t="shared" si="85"/>
        <v>-8.5</v>
      </c>
      <c r="M566" s="126">
        <f t="shared" ref="M566:M576" si="87">IF(ISERROR(L566/H566), "", L566/H566)</f>
        <v>-1</v>
      </c>
    </row>
    <row r="567" spans="1:13" x14ac:dyDescent="0.25">
      <c r="A567" s="100" t="str">
        <f t="shared" ref="A567:A608" si="88">A566</f>
        <v>RESIDENTIAL SERVICE CLASSIFICATION</v>
      </c>
      <c r="C567" s="117"/>
      <c r="D567" s="118" t="s">
        <v>153</v>
      </c>
      <c r="E567" s="119"/>
      <c r="F567" s="127"/>
      <c r="G567" s="121">
        <f>IF($E558&gt;0, $E558, $E557)</f>
        <v>2500</v>
      </c>
      <c r="H567" s="122">
        <v>0</v>
      </c>
      <c r="I567" s="128"/>
      <c r="J567" s="124">
        <f>IF($E558&gt;0, $E558, $E557)</f>
        <v>2500</v>
      </c>
      <c r="K567" s="122">
        <v>0</v>
      </c>
      <c r="L567" s="125"/>
      <c r="M567" s="126"/>
    </row>
    <row r="568" spans="1:13" x14ac:dyDescent="0.25">
      <c r="A568" s="100" t="str">
        <f t="shared" si="88"/>
        <v>RESIDENTIAL SERVICE CLASSIFICATION</v>
      </c>
      <c r="C568" s="117"/>
      <c r="D568" s="118" t="s">
        <v>154</v>
      </c>
      <c r="E568" s="119"/>
      <c r="F568" s="127"/>
      <c r="G568" s="121">
        <f>IF($E558&gt;0, $E558, $E557)</f>
        <v>2500</v>
      </c>
      <c r="H568" s="122">
        <v>0</v>
      </c>
      <c r="I568" s="128"/>
      <c r="J568" s="121">
        <f>IF($E558&gt;0, $E558, $E557)</f>
        <v>2500</v>
      </c>
      <c r="K568" s="122">
        <v>0</v>
      </c>
      <c r="L568" s="125">
        <f>K568-H568</f>
        <v>0</v>
      </c>
      <c r="M568" s="126" t="str">
        <f>IF(ISERROR(L568/H568), "", L568/H568)</f>
        <v/>
      </c>
    </row>
    <row r="569" spans="1:13" x14ac:dyDescent="0.25">
      <c r="A569" s="100" t="str">
        <f t="shared" si="88"/>
        <v>RESIDENTIAL SERVICE CLASSIFICATION</v>
      </c>
      <c r="C569" s="117"/>
      <c r="D569" s="129" t="s">
        <v>155</v>
      </c>
      <c r="E569" s="119"/>
      <c r="F569" s="120">
        <v>0</v>
      </c>
      <c r="G569" s="121">
        <v>1</v>
      </c>
      <c r="H569" s="122">
        <f t="shared" si="86"/>
        <v>0</v>
      </c>
      <c r="I569" s="123">
        <v>0</v>
      </c>
      <c r="J569" s="124">
        <f>G569</f>
        <v>1</v>
      </c>
      <c r="K569" s="122">
        <f t="shared" ref="K569:K576" si="89">J569*I569</f>
        <v>0</v>
      </c>
      <c r="L569" s="125">
        <f t="shared" si="85"/>
        <v>0</v>
      </c>
      <c r="M569" s="126" t="str">
        <f t="shared" si="87"/>
        <v/>
      </c>
    </row>
    <row r="570" spans="1:13" x14ac:dyDescent="0.25">
      <c r="A570" s="100" t="str">
        <f t="shared" si="88"/>
        <v>RESIDENTIAL SERVICE CLASSIFICATION</v>
      </c>
      <c r="C570" s="117"/>
      <c r="D570" s="118" t="s">
        <v>156</v>
      </c>
      <c r="E570" s="119"/>
      <c r="F570" s="127">
        <v>0</v>
      </c>
      <c r="G570" s="121">
        <f>IF($E558&gt;0, $E558, $E557)</f>
        <v>2500</v>
      </c>
      <c r="H570" s="122">
        <f t="shared" si="86"/>
        <v>0</v>
      </c>
      <c r="I570" s="128">
        <v>0</v>
      </c>
      <c r="J570" s="124">
        <f>IF($E558&gt;0, $E558, $E557)</f>
        <v>2500</v>
      </c>
      <c r="K570" s="122">
        <f t="shared" si="89"/>
        <v>0</v>
      </c>
      <c r="L570" s="125">
        <f t="shared" si="85"/>
        <v>0</v>
      </c>
      <c r="M570" s="126" t="str">
        <f t="shared" si="87"/>
        <v/>
      </c>
    </row>
    <row r="571" spans="1:13" x14ac:dyDescent="0.25">
      <c r="A571" s="100" t="str">
        <f t="shared" si="88"/>
        <v>RESIDENTIAL SERVICE CLASSIFICATION</v>
      </c>
      <c r="B571" s="130" t="s">
        <v>157</v>
      </c>
      <c r="C571" s="117">
        <f>B12</f>
        <v>10</v>
      </c>
      <c r="D571" s="131" t="s">
        <v>158</v>
      </c>
      <c r="E571" s="132"/>
      <c r="F571" s="133"/>
      <c r="G571" s="134"/>
      <c r="H571" s="135">
        <f>SUM(H565:H570)</f>
        <v>31.98</v>
      </c>
      <c r="I571" s="136"/>
      <c r="J571" s="137"/>
      <c r="K571" s="135">
        <f>SUM(K565:K570)</f>
        <v>26.72</v>
      </c>
      <c r="L571" s="138">
        <f t="shared" si="85"/>
        <v>-5.2600000000000016</v>
      </c>
      <c r="M571" s="139">
        <f>IF((H571)=0,"",(L571/H571))</f>
        <v>-0.16447779862414014</v>
      </c>
    </row>
    <row r="572" spans="1:13" x14ac:dyDescent="0.25">
      <c r="A572" s="100" t="str">
        <f t="shared" si="88"/>
        <v>RESIDENTIAL SERVICE CLASSIFICATION</v>
      </c>
      <c r="C572" s="117"/>
      <c r="D572" s="140" t="s">
        <v>159</v>
      </c>
      <c r="E572" s="119"/>
      <c r="F572" s="127">
        <f>IF((E557*12&gt;=150000), 0, IF(E556="RPP",(F588*0.65+F589*0.17+F590*0.18),IF(E556="Non-RPP (Retailer)",F591,F592)))</f>
        <v>8.1990000000000007E-2</v>
      </c>
      <c r="G572" s="141">
        <f>IF(F572=0, 0, $E557*E559-E557)</f>
        <v>140</v>
      </c>
      <c r="H572" s="122">
        <f>G572*F572</f>
        <v>11.4786</v>
      </c>
      <c r="I572" s="128">
        <f>IF((E557*12&gt;=150000), 0, IF(E556="RPP",(I588*0.65+I589*0.17+I590*0.18),IF(E556="Non-RPP (Retailer)",I591,I592)))</f>
        <v>8.1990000000000007E-2</v>
      </c>
      <c r="J572" s="141">
        <f>IF(I572=0, 0, E557*E560-E557)</f>
        <v>140</v>
      </c>
      <c r="K572" s="122">
        <f>J572*I572</f>
        <v>11.4786</v>
      </c>
      <c r="L572" s="125">
        <f>K572-H572</f>
        <v>0</v>
      </c>
      <c r="M572" s="126">
        <f>IF(ISERROR(L572/H572), "", L572/H572)</f>
        <v>0</v>
      </c>
    </row>
    <row r="573" spans="1:13" ht="25.5" x14ac:dyDescent="0.25">
      <c r="A573" s="100" t="str">
        <f t="shared" si="88"/>
        <v>RESIDENTIAL SERVICE CLASSIFICATION</v>
      </c>
      <c r="C573" s="117"/>
      <c r="D573" s="140" t="s">
        <v>160</v>
      </c>
      <c r="E573" s="119"/>
      <c r="F573" s="127">
        <v>-1.4E-3</v>
      </c>
      <c r="G573" s="142">
        <f>IF($E558&gt;0, $E558, $E557)</f>
        <v>2500</v>
      </c>
      <c r="H573" s="122">
        <f t="shared" si="86"/>
        <v>-3.5</v>
      </c>
      <c r="I573" s="128">
        <v>-5.3E-3</v>
      </c>
      <c r="J573" s="142">
        <f>IF($E558&gt;0, $E558, $E557)</f>
        <v>2500</v>
      </c>
      <c r="K573" s="122">
        <f t="shared" si="89"/>
        <v>-13.25</v>
      </c>
      <c r="L573" s="125">
        <f t="shared" si="85"/>
        <v>-9.75</v>
      </c>
      <c r="M573" s="126">
        <f t="shared" si="87"/>
        <v>2.7857142857142856</v>
      </c>
    </row>
    <row r="574" spans="1:13" x14ac:dyDescent="0.25">
      <c r="A574" s="100" t="str">
        <f t="shared" si="88"/>
        <v>RESIDENTIAL SERVICE CLASSIFICATION</v>
      </c>
      <c r="C574" s="117"/>
      <c r="D574" s="140" t="s">
        <v>161</v>
      </c>
      <c r="E574" s="119"/>
      <c r="F574" s="127">
        <v>-1E-4</v>
      </c>
      <c r="G574" s="142">
        <f>IF($E558&gt;0, $E558, $E557)</f>
        <v>2500</v>
      </c>
      <c r="H574" s="122">
        <f>G574*F574</f>
        <v>-0.25</v>
      </c>
      <c r="I574" s="128">
        <v>0</v>
      </c>
      <c r="J574" s="142">
        <f>IF($E558&gt;0, $E558, $E557)</f>
        <v>2500</v>
      </c>
      <c r="K574" s="122">
        <f>J574*I574</f>
        <v>0</v>
      </c>
      <c r="L574" s="125">
        <f t="shared" si="85"/>
        <v>0.25</v>
      </c>
      <c r="M574" s="126">
        <f t="shared" si="87"/>
        <v>-1</v>
      </c>
    </row>
    <row r="575" spans="1:13" x14ac:dyDescent="0.25">
      <c r="A575" s="100" t="str">
        <f t="shared" si="88"/>
        <v>RESIDENTIAL SERVICE CLASSIFICATION</v>
      </c>
      <c r="C575" s="117"/>
      <c r="D575" s="140" t="s">
        <v>162</v>
      </c>
      <c r="E575" s="119"/>
      <c r="F575" s="127">
        <v>0</v>
      </c>
      <c r="G575" s="142">
        <f>E557</f>
        <v>2500</v>
      </c>
      <c r="H575" s="122">
        <f>G575*F575</f>
        <v>0</v>
      </c>
      <c r="I575" s="128">
        <v>0</v>
      </c>
      <c r="J575" s="142">
        <f>E557</f>
        <v>2500</v>
      </c>
      <c r="K575" s="122">
        <f t="shared" si="89"/>
        <v>0</v>
      </c>
      <c r="L575" s="125">
        <f t="shared" si="85"/>
        <v>0</v>
      </c>
      <c r="M575" s="126" t="str">
        <f t="shared" si="87"/>
        <v/>
      </c>
    </row>
    <row r="576" spans="1:13" x14ac:dyDescent="0.25">
      <c r="A576" s="100" t="str">
        <f t="shared" si="88"/>
        <v>RESIDENTIAL SERVICE CLASSIFICATION</v>
      </c>
      <c r="C576" s="117"/>
      <c r="D576" s="143" t="s">
        <v>163</v>
      </c>
      <c r="E576" s="119"/>
      <c r="F576" s="127">
        <v>2.5999999999999999E-3</v>
      </c>
      <c r="G576" s="142">
        <f>IF($E558&gt;0, $E558, $E557)</f>
        <v>2500</v>
      </c>
      <c r="H576" s="122">
        <f t="shared" si="86"/>
        <v>6.5</v>
      </c>
      <c r="I576" s="128">
        <v>2.5999999999999999E-3</v>
      </c>
      <c r="J576" s="142">
        <f>IF($E558&gt;0, $E558, $E557)</f>
        <v>2500</v>
      </c>
      <c r="K576" s="122">
        <f t="shared" si="89"/>
        <v>6.5</v>
      </c>
      <c r="L576" s="125">
        <f t="shared" si="85"/>
        <v>0</v>
      </c>
      <c r="M576" s="126">
        <f t="shared" si="87"/>
        <v>0</v>
      </c>
    </row>
    <row r="577" spans="1:13" ht="25.5" x14ac:dyDescent="0.25">
      <c r="A577" s="100" t="str">
        <f t="shared" si="88"/>
        <v>RESIDENTIAL SERVICE CLASSIFICATION</v>
      </c>
      <c r="C577" s="117"/>
      <c r="D577" s="144" t="s">
        <v>164</v>
      </c>
      <c r="E577" s="119"/>
      <c r="F577" s="145">
        <f>IF(OR(ISNUMBER(SEARCH("RESIDENTIAL", E555))=TRUE, ISNUMBER(SEARCH("GENERAL SERVICE LESS THAN 50", E555))=TRUE), SME, 0)</f>
        <v>0.56999999999999995</v>
      </c>
      <c r="G577" s="121">
        <v>1</v>
      </c>
      <c r="H577" s="122">
        <f>G577*F577</f>
        <v>0.56999999999999995</v>
      </c>
      <c r="I577" s="146">
        <f>IF(OR(ISNUMBER(SEARCH("RESIDENTIAL", E555))=TRUE, ISNUMBER(SEARCH("GENERAL SERVICE LESS THAN 50", E555))=TRUE), SME, 0)</f>
        <v>0.56999999999999995</v>
      </c>
      <c r="J577" s="121">
        <v>1</v>
      </c>
      <c r="K577" s="122">
        <f>J577*I577</f>
        <v>0.56999999999999995</v>
      </c>
      <c r="L577" s="125">
        <f t="shared" si="85"/>
        <v>0</v>
      </c>
      <c r="M577" s="126">
        <f>IF(ISERROR(L577/H577), "", L577/H577)</f>
        <v>0</v>
      </c>
    </row>
    <row r="578" spans="1:13" x14ac:dyDescent="0.25">
      <c r="A578" s="100" t="str">
        <f t="shared" si="88"/>
        <v>RESIDENTIAL SERVICE CLASSIFICATION</v>
      </c>
      <c r="C578" s="117"/>
      <c r="D578" s="143" t="s">
        <v>165</v>
      </c>
      <c r="E578" s="119"/>
      <c r="F578" s="120">
        <v>0</v>
      </c>
      <c r="G578" s="121">
        <v>1</v>
      </c>
      <c r="H578" s="122">
        <f t="shared" si="86"/>
        <v>0</v>
      </c>
      <c r="I578" s="123">
        <v>0</v>
      </c>
      <c r="J578" s="121">
        <v>1</v>
      </c>
      <c r="K578" s="122">
        <f>J578*I578</f>
        <v>0</v>
      </c>
      <c r="L578" s="125">
        <f>K578-H578</f>
        <v>0</v>
      </c>
      <c r="M578" s="126" t="str">
        <f>IF(ISERROR(L578/H578), "", L578/H578)</f>
        <v/>
      </c>
    </row>
    <row r="579" spans="1:13" x14ac:dyDescent="0.25">
      <c r="A579" s="100" t="str">
        <f t="shared" si="88"/>
        <v>RESIDENTIAL SERVICE CLASSIFICATION</v>
      </c>
      <c r="C579" s="117"/>
      <c r="D579" s="143" t="s">
        <v>166</v>
      </c>
      <c r="E579" s="119"/>
      <c r="F579" s="127"/>
      <c r="G579" s="142">
        <f>IF($E558&gt;0, $E558, $E557)</f>
        <v>2500</v>
      </c>
      <c r="H579" s="122">
        <f>G579*F579</f>
        <v>0</v>
      </c>
      <c r="I579" s="128">
        <v>0</v>
      </c>
      <c r="J579" s="142">
        <f>IF($E558&gt;0, $E558, $E557)</f>
        <v>2500</v>
      </c>
      <c r="K579" s="122">
        <f>J579*I579</f>
        <v>0</v>
      </c>
      <c r="L579" s="125">
        <f t="shared" si="85"/>
        <v>0</v>
      </c>
      <c r="M579" s="126" t="str">
        <f>IF(ISERROR(L579/H579), "", L579/H579)</f>
        <v/>
      </c>
    </row>
    <row r="580" spans="1:13" ht="25.5" x14ac:dyDescent="0.25">
      <c r="A580" s="100" t="str">
        <f t="shared" si="88"/>
        <v>RESIDENTIAL SERVICE CLASSIFICATION</v>
      </c>
      <c r="B580" s="105" t="s">
        <v>167</v>
      </c>
      <c r="C580" s="117">
        <f>B12</f>
        <v>10</v>
      </c>
      <c r="D580" s="147" t="s">
        <v>168</v>
      </c>
      <c r="E580" s="148"/>
      <c r="F580" s="149"/>
      <c r="G580" s="150"/>
      <c r="H580" s="151">
        <f>SUM(H571:H579)</f>
        <v>46.778600000000004</v>
      </c>
      <c r="I580" s="152"/>
      <c r="J580" s="153"/>
      <c r="K580" s="151">
        <f>SUM(K571:K579)</f>
        <v>32.018599999999999</v>
      </c>
      <c r="L580" s="138">
        <f t="shared" si="85"/>
        <v>-14.760000000000005</v>
      </c>
      <c r="M580" s="139">
        <f>IF((H580)=0,"",(L580/H580))</f>
        <v>-0.31552889569161974</v>
      </c>
    </row>
    <row r="581" spans="1:13" x14ac:dyDescent="0.25">
      <c r="A581" s="100" t="str">
        <f t="shared" si="88"/>
        <v>RESIDENTIAL SERVICE CLASSIFICATION</v>
      </c>
      <c r="C581" s="117"/>
      <c r="D581" s="154" t="s">
        <v>169</v>
      </c>
      <c r="E581" s="119"/>
      <c r="F581" s="127">
        <v>6.7999999999999996E-3</v>
      </c>
      <c r="G581" s="141">
        <f>IF($E558&gt;0, $E558, $E557*$E559)</f>
        <v>2640</v>
      </c>
      <c r="H581" s="122">
        <f>G581*F581</f>
        <v>17.951999999999998</v>
      </c>
      <c r="I581" s="128">
        <v>6.4999999999999997E-3</v>
      </c>
      <c r="J581" s="141">
        <f>IF($E558&gt;0, $E558, $E557*$E560)</f>
        <v>2640</v>
      </c>
      <c r="K581" s="122">
        <f>J581*I581</f>
        <v>17.16</v>
      </c>
      <c r="L581" s="125">
        <f t="shared" si="85"/>
        <v>-0.79199999999999804</v>
      </c>
      <c r="M581" s="126">
        <f>IF(ISERROR(L581/H581), "", L581/H581)</f>
        <v>-4.4117647058823421E-2</v>
      </c>
    </row>
    <row r="582" spans="1:13" ht="25.5" x14ac:dyDescent="0.25">
      <c r="A582" s="100" t="str">
        <f t="shared" si="88"/>
        <v>RESIDENTIAL SERVICE CLASSIFICATION</v>
      </c>
      <c r="C582" s="117"/>
      <c r="D582" s="155" t="s">
        <v>170</v>
      </c>
      <c r="E582" s="119"/>
      <c r="F582" s="127">
        <v>5.5999999999999999E-3</v>
      </c>
      <c r="G582" s="141">
        <f>IF($E558&gt;0, $E558, $E557*$E559)</f>
        <v>2640</v>
      </c>
      <c r="H582" s="122">
        <f>G582*F582</f>
        <v>14.784000000000001</v>
      </c>
      <c r="I582" s="128">
        <v>5.3E-3</v>
      </c>
      <c r="J582" s="141">
        <f>IF($E558&gt;0, $E558, $E557*$E560)</f>
        <v>2640</v>
      </c>
      <c r="K582" s="122">
        <f>J582*I582</f>
        <v>13.992000000000001</v>
      </c>
      <c r="L582" s="125">
        <f t="shared" si="85"/>
        <v>-0.79199999999999982</v>
      </c>
      <c r="M582" s="126">
        <f>IF(ISERROR(L582/H582), "", L582/H582)</f>
        <v>-5.3571428571428555E-2</v>
      </c>
    </row>
    <row r="583" spans="1:13" ht="25.5" x14ac:dyDescent="0.25">
      <c r="A583" s="100" t="str">
        <f t="shared" si="88"/>
        <v>RESIDENTIAL SERVICE CLASSIFICATION</v>
      </c>
      <c r="B583" s="105" t="s">
        <v>171</v>
      </c>
      <c r="C583" s="117">
        <f>B12</f>
        <v>10</v>
      </c>
      <c r="D583" s="147" t="s">
        <v>172</v>
      </c>
      <c r="E583" s="132"/>
      <c r="F583" s="149"/>
      <c r="G583" s="150"/>
      <c r="H583" s="151">
        <f>SUM(H580:H582)</f>
        <v>79.514600000000016</v>
      </c>
      <c r="I583" s="152"/>
      <c r="J583" s="137"/>
      <c r="K583" s="151">
        <f>SUM(K580:K582)</f>
        <v>63.170600000000007</v>
      </c>
      <c r="L583" s="138">
        <f t="shared" si="85"/>
        <v>-16.344000000000008</v>
      </c>
      <c r="M583" s="139">
        <f>IF((H583)=0,"",(L583/H583))</f>
        <v>-0.20554715737738735</v>
      </c>
    </row>
    <row r="584" spans="1:13" ht="25.5" x14ac:dyDescent="0.25">
      <c r="A584" s="100" t="str">
        <f t="shared" si="88"/>
        <v>RESIDENTIAL SERVICE CLASSIFICATION</v>
      </c>
      <c r="C584" s="117"/>
      <c r="D584" s="156" t="s">
        <v>173</v>
      </c>
      <c r="E584" s="119"/>
      <c r="F584" s="127">
        <v>3.6000000000000003E-3</v>
      </c>
      <c r="G584" s="141">
        <f>E557*E559</f>
        <v>2640</v>
      </c>
      <c r="H584" s="157">
        <f t="shared" ref="H584:H590" si="90">G584*F584</f>
        <v>9.5040000000000013</v>
      </c>
      <c r="I584" s="128">
        <v>3.6000000000000003E-3</v>
      </c>
      <c r="J584" s="141">
        <f>E557*E560</f>
        <v>2640</v>
      </c>
      <c r="K584" s="157">
        <f t="shared" ref="K584:K590" si="91">J584*I584</f>
        <v>9.5040000000000013</v>
      </c>
      <c r="L584" s="125">
        <f t="shared" si="85"/>
        <v>0</v>
      </c>
      <c r="M584" s="126">
        <f t="shared" ref="M584:M592" si="92">IF(ISERROR(L584/H584), "", L584/H584)</f>
        <v>0</v>
      </c>
    </row>
    <row r="585" spans="1:13" ht="25.5" x14ac:dyDescent="0.25">
      <c r="A585" s="100" t="str">
        <f t="shared" si="88"/>
        <v>RESIDENTIAL SERVICE CLASSIFICATION</v>
      </c>
      <c r="C585" s="117"/>
      <c r="D585" s="156" t="s">
        <v>174</v>
      </c>
      <c r="E585" s="119"/>
      <c r="F585" s="127">
        <f>'[1]17. Regulatory Charges'!$D$16</f>
        <v>2.9999999999999997E-4</v>
      </c>
      <c r="G585" s="141">
        <f>E557*E559</f>
        <v>2640</v>
      </c>
      <c r="H585" s="157">
        <f t="shared" si="90"/>
        <v>0.79199999999999993</v>
      </c>
      <c r="I585" s="128">
        <v>2.9999999999999997E-4</v>
      </c>
      <c r="J585" s="141">
        <f>E557*E560</f>
        <v>2640</v>
      </c>
      <c r="K585" s="157">
        <f t="shared" si="91"/>
        <v>0.79199999999999993</v>
      </c>
      <c r="L585" s="125">
        <f t="shared" si="85"/>
        <v>0</v>
      </c>
      <c r="M585" s="126">
        <f t="shared" si="92"/>
        <v>0</v>
      </c>
    </row>
    <row r="586" spans="1:13" x14ac:dyDescent="0.25">
      <c r="A586" s="100" t="str">
        <f t="shared" si="88"/>
        <v>RESIDENTIAL SERVICE CLASSIFICATION</v>
      </c>
      <c r="C586" s="117"/>
      <c r="D586" s="158" t="s">
        <v>175</v>
      </c>
      <c r="E586" s="119"/>
      <c r="F586" s="145">
        <v>0.25</v>
      </c>
      <c r="G586" s="121">
        <v>1</v>
      </c>
      <c r="H586" s="157">
        <f t="shared" si="90"/>
        <v>0.25</v>
      </c>
      <c r="I586" s="146">
        <f>'[1]17. Regulatory Charges'!$D$17</f>
        <v>0.25</v>
      </c>
      <c r="J586" s="124">
        <v>1</v>
      </c>
      <c r="K586" s="157">
        <f t="shared" si="91"/>
        <v>0.25</v>
      </c>
      <c r="L586" s="125">
        <f t="shared" si="85"/>
        <v>0</v>
      </c>
      <c r="M586" s="126">
        <f t="shared" si="92"/>
        <v>0</v>
      </c>
    </row>
    <row r="587" spans="1:13" ht="25.5" x14ac:dyDescent="0.25">
      <c r="A587" s="100" t="str">
        <f t="shared" si="88"/>
        <v>RESIDENTIAL SERVICE CLASSIFICATION</v>
      </c>
      <c r="C587" s="117"/>
      <c r="D587" s="156" t="s">
        <v>176</v>
      </c>
      <c r="E587" s="119"/>
      <c r="F587" s="127"/>
      <c r="G587" s="141"/>
      <c r="H587" s="157"/>
      <c r="I587" s="128"/>
      <c r="J587" s="141"/>
      <c r="K587" s="157"/>
      <c r="L587" s="125"/>
      <c r="M587" s="126"/>
    </row>
    <row r="588" spans="1:13" x14ac:dyDescent="0.25">
      <c r="A588" s="100" t="str">
        <f t="shared" si="88"/>
        <v>RESIDENTIAL SERVICE CLASSIFICATION</v>
      </c>
      <c r="B588" s="105" t="s">
        <v>117</v>
      </c>
      <c r="C588" s="117"/>
      <c r="D588" s="159" t="s">
        <v>177</v>
      </c>
      <c r="E588" s="119"/>
      <c r="F588" s="160">
        <f>OffPeak</f>
        <v>6.5000000000000002E-2</v>
      </c>
      <c r="G588" s="161">
        <f>IF(AND(E557*12&gt;=150000),0.65*E557*E559,0.65*E557)</f>
        <v>1625</v>
      </c>
      <c r="H588" s="157">
        <f t="shared" si="90"/>
        <v>105.625</v>
      </c>
      <c r="I588" s="162">
        <f>OffPeak</f>
        <v>6.5000000000000002E-2</v>
      </c>
      <c r="J588" s="161">
        <f>IF(AND(E557*12&gt;=150000),0.65*E557*E560,0.65*E557)</f>
        <v>1625</v>
      </c>
      <c r="K588" s="157">
        <f t="shared" si="91"/>
        <v>105.625</v>
      </c>
      <c r="L588" s="125">
        <f>K588-H588</f>
        <v>0</v>
      </c>
      <c r="M588" s="126">
        <f t="shared" si="92"/>
        <v>0</v>
      </c>
    </row>
    <row r="589" spans="1:13" x14ac:dyDescent="0.25">
      <c r="A589" s="100" t="str">
        <f t="shared" si="88"/>
        <v>RESIDENTIAL SERVICE CLASSIFICATION</v>
      </c>
      <c r="B589" s="105" t="s">
        <v>117</v>
      </c>
      <c r="C589" s="117"/>
      <c r="D589" s="159" t="s">
        <v>178</v>
      </c>
      <c r="E589" s="119"/>
      <c r="F589" s="160">
        <f>MidPeak</f>
        <v>9.4E-2</v>
      </c>
      <c r="G589" s="161">
        <f>IF(AND(E557*12&gt;=150000),0.17*E557*E559,0.17*E557)</f>
        <v>425.00000000000006</v>
      </c>
      <c r="H589" s="157">
        <f t="shared" si="90"/>
        <v>39.950000000000003</v>
      </c>
      <c r="I589" s="162">
        <f>MidPeak</f>
        <v>9.4E-2</v>
      </c>
      <c r="J589" s="161">
        <f>IF(AND(E557*12&gt;=150000),0.17*E557*E560,0.17*E557)</f>
        <v>425.00000000000006</v>
      </c>
      <c r="K589" s="157">
        <f t="shared" si="91"/>
        <v>39.950000000000003</v>
      </c>
      <c r="L589" s="125">
        <f>K589-H589</f>
        <v>0</v>
      </c>
      <c r="M589" s="126">
        <f t="shared" si="92"/>
        <v>0</v>
      </c>
    </row>
    <row r="590" spans="1:13" ht="15.75" thickBot="1" x14ac:dyDescent="0.3">
      <c r="A590" s="100" t="str">
        <f t="shared" si="88"/>
        <v>RESIDENTIAL SERVICE CLASSIFICATION</v>
      </c>
      <c r="B590" s="105" t="s">
        <v>117</v>
      </c>
      <c r="C590" s="117"/>
      <c r="D590" s="105" t="s">
        <v>179</v>
      </c>
      <c r="E590" s="119"/>
      <c r="F590" s="160">
        <f>OnPeak</f>
        <v>0.13200000000000001</v>
      </c>
      <c r="G590" s="161">
        <f>IF(AND(E557*12&gt;=150000),0.18*E557*E559,0.18*E557)</f>
        <v>450</v>
      </c>
      <c r="H590" s="157">
        <f t="shared" si="90"/>
        <v>59.400000000000006</v>
      </c>
      <c r="I590" s="162">
        <f>OnPeak</f>
        <v>0.13200000000000001</v>
      </c>
      <c r="J590" s="161">
        <f>IF(AND(E557*12&gt;=150000),0.18*E557*E560,0.18*E557)</f>
        <v>450</v>
      </c>
      <c r="K590" s="157">
        <f t="shared" si="91"/>
        <v>59.400000000000006</v>
      </c>
      <c r="L590" s="125">
        <f>K590-H590</f>
        <v>0</v>
      </c>
      <c r="M590" s="126">
        <f t="shared" si="92"/>
        <v>0</v>
      </c>
    </row>
    <row r="591" spans="1:13" hidden="1" x14ac:dyDescent="0.25">
      <c r="A591" s="100" t="str">
        <f t="shared" si="88"/>
        <v>RESIDENTIAL SERVICE CLASSIFICATION</v>
      </c>
      <c r="B591" s="100" t="s">
        <v>180</v>
      </c>
      <c r="C591" s="117"/>
      <c r="D591" s="159" t="s">
        <v>181</v>
      </c>
      <c r="E591" s="119"/>
      <c r="F591" s="163">
        <v>0.1101</v>
      </c>
      <c r="G591" s="161">
        <f>IF(AND(E557*12&gt;=150000),E557*E559,E557)</f>
        <v>2500</v>
      </c>
      <c r="H591" s="157">
        <f>G591*F591</f>
        <v>275.25</v>
      </c>
      <c r="I591" s="164">
        <f>F591</f>
        <v>0.1101</v>
      </c>
      <c r="J591" s="161">
        <f>IF(AND(E557*12&gt;=150000),E557*E560,E557)</f>
        <v>2500</v>
      </c>
      <c r="K591" s="157">
        <f>J591*I591</f>
        <v>275.25</v>
      </c>
      <c r="L591" s="125">
        <f>K591-H591</f>
        <v>0</v>
      </c>
      <c r="M591" s="126">
        <f t="shared" si="92"/>
        <v>0</v>
      </c>
    </row>
    <row r="592" spans="1:13" ht="15.75" hidden="1" thickBot="1" x14ac:dyDescent="0.3">
      <c r="A592" s="100" t="str">
        <f t="shared" si="88"/>
        <v>RESIDENTIAL SERVICE CLASSIFICATION</v>
      </c>
      <c r="B592" s="100" t="s">
        <v>121</v>
      </c>
      <c r="C592" s="117"/>
      <c r="D592" s="159" t="s">
        <v>182</v>
      </c>
      <c r="E592" s="119"/>
      <c r="F592" s="163">
        <v>0.1101</v>
      </c>
      <c r="G592" s="161">
        <f>IF(AND(E557*12&gt;=150000),E557*E559,E557)</f>
        <v>2500</v>
      </c>
      <c r="H592" s="157">
        <f>G592*F592</f>
        <v>275.25</v>
      </c>
      <c r="I592" s="164">
        <f>F592</f>
        <v>0.1101</v>
      </c>
      <c r="J592" s="161">
        <f>IF(AND(E557*12&gt;=150000),E557*E560,E557)</f>
        <v>2500</v>
      </c>
      <c r="K592" s="157">
        <f>J592*I592</f>
        <v>275.25</v>
      </c>
      <c r="L592" s="125">
        <f>K592-H592</f>
        <v>0</v>
      </c>
      <c r="M592" s="126">
        <f t="shared" si="92"/>
        <v>0</v>
      </c>
    </row>
    <row r="593" spans="1:13" ht="15.75" thickBot="1" x14ac:dyDescent="0.3">
      <c r="A593" s="100" t="str">
        <f t="shared" si="88"/>
        <v>RESIDENTIAL SERVICE CLASSIFICATION</v>
      </c>
      <c r="B593" s="105"/>
      <c r="C593" s="117"/>
      <c r="D593" s="165"/>
      <c r="E593" s="166"/>
      <c r="F593" s="167"/>
      <c r="G593" s="168"/>
      <c r="H593" s="169"/>
      <c r="I593" s="167"/>
      <c r="J593" s="170"/>
      <c r="K593" s="169"/>
      <c r="L593" s="171"/>
      <c r="M593" s="172"/>
    </row>
    <row r="594" spans="1:13" x14ac:dyDescent="0.25">
      <c r="A594" s="100" t="str">
        <f t="shared" si="88"/>
        <v>RESIDENTIAL SERVICE CLASSIFICATION</v>
      </c>
      <c r="B594" s="105" t="s">
        <v>117</v>
      </c>
      <c r="C594" s="117"/>
      <c r="D594" s="173" t="s">
        <v>183</v>
      </c>
      <c r="E594" s="158"/>
      <c r="F594" s="174"/>
      <c r="G594" s="175"/>
      <c r="H594" s="176">
        <f>SUM(H584:H590,H583)</f>
        <v>295.03560000000004</v>
      </c>
      <c r="I594" s="177"/>
      <c r="J594" s="177"/>
      <c r="K594" s="176">
        <f>SUM(K584:K590,K583)</f>
        <v>278.69159999999999</v>
      </c>
      <c r="L594" s="178">
        <f>K594-H594</f>
        <v>-16.344000000000051</v>
      </c>
      <c r="M594" s="179">
        <f>IF((H594)=0,"",(L594/H594))</f>
        <v>-5.5396704668860465E-2</v>
      </c>
    </row>
    <row r="595" spans="1:13" x14ac:dyDescent="0.25">
      <c r="A595" s="100" t="str">
        <f t="shared" si="88"/>
        <v>RESIDENTIAL SERVICE CLASSIFICATION</v>
      </c>
      <c r="B595" s="105" t="s">
        <v>117</v>
      </c>
      <c r="C595" s="117"/>
      <c r="D595" s="180" t="s">
        <v>184</v>
      </c>
      <c r="E595" s="158"/>
      <c r="F595" s="174">
        <v>0.13</v>
      </c>
      <c r="G595" s="181"/>
      <c r="H595" s="182">
        <f>H594*F595</f>
        <v>38.354628000000005</v>
      </c>
      <c r="I595" s="183">
        <v>0.13</v>
      </c>
      <c r="J595" s="121"/>
      <c r="K595" s="182">
        <f>K594*I595</f>
        <v>36.229908000000002</v>
      </c>
      <c r="L595" s="184">
        <f>K595-H595</f>
        <v>-2.1247200000000035</v>
      </c>
      <c r="M595" s="185">
        <f>IF((H595)=0,"",(L595/H595))</f>
        <v>-5.5396704668860382E-2</v>
      </c>
    </row>
    <row r="596" spans="1:13" x14ac:dyDescent="0.25">
      <c r="A596" s="100" t="str">
        <f t="shared" si="88"/>
        <v>RESIDENTIAL SERVICE CLASSIFICATION</v>
      </c>
      <c r="B596" s="105" t="s">
        <v>117</v>
      </c>
      <c r="C596" s="117"/>
      <c r="D596" s="180" t="s">
        <v>185</v>
      </c>
      <c r="E596" s="158"/>
      <c r="F596" s="174">
        <v>0.08</v>
      </c>
      <c r="G596" s="181"/>
      <c r="H596" s="182">
        <f>H594*-F596</f>
        <v>-23.602848000000005</v>
      </c>
      <c r="I596" s="174">
        <v>0.08</v>
      </c>
      <c r="J596" s="121"/>
      <c r="K596" s="182">
        <f>K594*-I596</f>
        <v>-22.295328000000001</v>
      </c>
      <c r="L596" s="184">
        <f>K596-H596</f>
        <v>1.3075200000000038</v>
      </c>
      <c r="M596" s="185"/>
    </row>
    <row r="597" spans="1:13" ht="15.75" thickBot="1" x14ac:dyDescent="0.3">
      <c r="A597" s="100" t="str">
        <f t="shared" si="88"/>
        <v>RESIDENTIAL SERVICE CLASSIFICATION</v>
      </c>
      <c r="B597" s="105" t="s">
        <v>186</v>
      </c>
      <c r="C597" s="117">
        <f>B12</f>
        <v>10</v>
      </c>
      <c r="D597" s="301" t="s">
        <v>187</v>
      </c>
      <c r="E597" s="301"/>
      <c r="F597" s="186"/>
      <c r="G597" s="187"/>
      <c r="H597" s="188">
        <f>H594+H595+H596</f>
        <v>309.78738000000004</v>
      </c>
      <c r="I597" s="189"/>
      <c r="J597" s="189"/>
      <c r="K597" s="190">
        <f>K594+K595+K596</f>
        <v>292.62618000000003</v>
      </c>
      <c r="L597" s="191">
        <f>K597-H597</f>
        <v>-17.161200000000008</v>
      </c>
      <c r="M597" s="192">
        <f>IF((H597)=0,"",(L597/H597))</f>
        <v>-5.5396704668860319E-2</v>
      </c>
    </row>
    <row r="598" spans="1:13" ht="15.75" hidden="1" thickBot="1" x14ac:dyDescent="0.3">
      <c r="A598" s="100" t="str">
        <f t="shared" si="88"/>
        <v>RESIDENTIAL SERVICE CLASSIFICATION</v>
      </c>
      <c r="B598" s="100" t="s">
        <v>117</v>
      </c>
      <c r="C598" s="117"/>
      <c r="D598" s="165"/>
      <c r="E598" s="166"/>
      <c r="F598" s="167"/>
      <c r="G598" s="168"/>
      <c r="H598" s="169"/>
      <c r="I598" s="167"/>
      <c r="J598" s="170"/>
      <c r="K598" s="169"/>
      <c r="L598" s="171"/>
      <c r="M598" s="172"/>
    </row>
    <row r="599" spans="1:13" hidden="1" x14ac:dyDescent="0.25">
      <c r="A599" s="100" t="str">
        <f t="shared" si="88"/>
        <v>RESIDENTIAL SERVICE CLASSIFICATION</v>
      </c>
      <c r="B599" s="100" t="s">
        <v>180</v>
      </c>
      <c r="C599" s="117"/>
      <c r="D599" s="173" t="s">
        <v>188</v>
      </c>
      <c r="E599" s="158"/>
      <c r="F599" s="174"/>
      <c r="G599" s="175"/>
      <c r="H599" s="176">
        <f>SUM(H591,H584:H587,H583)</f>
        <v>365.31060000000002</v>
      </c>
      <c r="I599" s="177"/>
      <c r="J599" s="177"/>
      <c r="K599" s="176">
        <f>SUM(K591,K584:K587,K583)</f>
        <v>348.96659999999997</v>
      </c>
      <c r="L599" s="178">
        <f>K599-H599</f>
        <v>-16.344000000000051</v>
      </c>
      <c r="M599" s="179">
        <f>IF((H599)=0,"",(L599/H599))</f>
        <v>-4.4740010281661823E-2</v>
      </c>
    </row>
    <row r="600" spans="1:13" hidden="1" x14ac:dyDescent="0.25">
      <c r="A600" s="100" t="str">
        <f t="shared" si="88"/>
        <v>RESIDENTIAL SERVICE CLASSIFICATION</v>
      </c>
      <c r="B600" s="100" t="s">
        <v>180</v>
      </c>
      <c r="C600" s="117"/>
      <c r="D600" s="180" t="s">
        <v>184</v>
      </c>
      <c r="E600" s="158"/>
      <c r="F600" s="174">
        <v>0.13</v>
      </c>
      <c r="G600" s="175"/>
      <c r="H600" s="182">
        <f>H599*F600</f>
        <v>47.490378000000007</v>
      </c>
      <c r="I600" s="174">
        <v>0.13</v>
      </c>
      <c r="J600" s="183"/>
      <c r="K600" s="182">
        <f>K599*I600</f>
        <v>45.365657999999996</v>
      </c>
      <c r="L600" s="184">
        <f>K600-H600</f>
        <v>-2.1247200000000106</v>
      </c>
      <c r="M600" s="185">
        <f>IF((H600)=0,"",(L600/H600))</f>
        <v>-4.4740010281661906E-2</v>
      </c>
    </row>
    <row r="601" spans="1:13" hidden="1" x14ac:dyDescent="0.25">
      <c r="A601" s="100" t="str">
        <f t="shared" si="88"/>
        <v>RESIDENTIAL SERVICE CLASSIFICATION</v>
      </c>
      <c r="B601" s="100" t="s">
        <v>180</v>
      </c>
      <c r="C601" s="117"/>
      <c r="D601" s="180" t="s">
        <v>185</v>
      </c>
      <c r="E601" s="158"/>
      <c r="F601" s="174">
        <v>0.08</v>
      </c>
      <c r="G601" s="175"/>
      <c r="H601" s="182"/>
      <c r="I601" s="174">
        <v>0.08</v>
      </c>
      <c r="J601" s="183"/>
      <c r="K601" s="182"/>
      <c r="L601" s="184"/>
      <c r="M601" s="185"/>
    </row>
    <row r="602" spans="1:13" ht="15.75" hidden="1" thickBot="1" x14ac:dyDescent="0.3">
      <c r="A602" s="100" t="str">
        <f t="shared" si="88"/>
        <v>RESIDENTIAL SERVICE CLASSIFICATION</v>
      </c>
      <c r="B602" s="100" t="s">
        <v>189</v>
      </c>
      <c r="C602" s="117"/>
      <c r="D602" s="301" t="s">
        <v>188</v>
      </c>
      <c r="E602" s="301"/>
      <c r="F602" s="193"/>
      <c r="G602" s="194"/>
      <c r="H602" s="188">
        <f>SUM(H599,H600)</f>
        <v>412.80097800000004</v>
      </c>
      <c r="I602" s="195"/>
      <c r="J602" s="195"/>
      <c r="K602" s="188">
        <f>SUM(K599,K600)</f>
        <v>394.33225799999997</v>
      </c>
      <c r="L602" s="196">
        <f>K602-H602</f>
        <v>-18.468720000000076</v>
      </c>
      <c r="M602" s="197">
        <f>IF((H602)=0,"",(L602/H602))</f>
        <v>-4.4740010281661864E-2</v>
      </c>
    </row>
    <row r="603" spans="1:13" ht="15.75" hidden="1" thickBot="1" x14ac:dyDescent="0.3">
      <c r="A603" s="100" t="str">
        <f t="shared" si="88"/>
        <v>RESIDENTIAL SERVICE CLASSIFICATION</v>
      </c>
      <c r="B603" s="100" t="s">
        <v>180</v>
      </c>
      <c r="C603" s="117"/>
      <c r="D603" s="165"/>
      <c r="E603" s="166"/>
      <c r="F603" s="198"/>
      <c r="G603" s="199"/>
      <c r="H603" s="200"/>
      <c r="I603" s="198"/>
      <c r="J603" s="168"/>
      <c r="K603" s="200"/>
      <c r="L603" s="201"/>
      <c r="M603" s="172"/>
    </row>
    <row r="604" spans="1:13" hidden="1" x14ac:dyDescent="0.25">
      <c r="A604" s="100" t="str">
        <f t="shared" si="88"/>
        <v>RESIDENTIAL SERVICE CLASSIFICATION</v>
      </c>
      <c r="B604" s="100" t="s">
        <v>121</v>
      </c>
      <c r="C604" s="117"/>
      <c r="D604" s="173" t="s">
        <v>190</v>
      </c>
      <c r="E604" s="158"/>
      <c r="F604" s="174"/>
      <c r="G604" s="175"/>
      <c r="H604" s="176">
        <f>SUM(H592,H584:H587,H583)</f>
        <v>365.31060000000002</v>
      </c>
      <c r="I604" s="177"/>
      <c r="J604" s="177"/>
      <c r="K604" s="176">
        <f>SUM(K592,K584:K587,K583)</f>
        <v>348.96659999999997</v>
      </c>
      <c r="L604" s="178">
        <f>K604-H604</f>
        <v>-16.344000000000051</v>
      </c>
      <c r="M604" s="179">
        <f>IF((H604)=0,"",(L604/H604))</f>
        <v>-4.4740010281661823E-2</v>
      </c>
    </row>
    <row r="605" spans="1:13" hidden="1" x14ac:dyDescent="0.25">
      <c r="A605" s="100" t="str">
        <f t="shared" si="88"/>
        <v>RESIDENTIAL SERVICE CLASSIFICATION</v>
      </c>
      <c r="B605" s="100" t="s">
        <v>121</v>
      </c>
      <c r="C605" s="117"/>
      <c r="D605" s="180" t="s">
        <v>184</v>
      </c>
      <c r="E605" s="158"/>
      <c r="F605" s="174">
        <v>0.13</v>
      </c>
      <c r="G605" s="175"/>
      <c r="H605" s="182">
        <f>H604*F605</f>
        <v>47.490378000000007</v>
      </c>
      <c r="I605" s="174">
        <v>0.13</v>
      </c>
      <c r="J605" s="183"/>
      <c r="K605" s="182">
        <f>K604*I605</f>
        <v>45.365657999999996</v>
      </c>
      <c r="L605" s="184">
        <f>K605-H605</f>
        <v>-2.1247200000000106</v>
      </c>
      <c r="M605" s="185">
        <f>IF((H605)=0,"",(L605/H605))</f>
        <v>-4.4740010281661906E-2</v>
      </c>
    </row>
    <row r="606" spans="1:13" hidden="1" x14ac:dyDescent="0.25">
      <c r="A606" s="100" t="str">
        <f t="shared" si="88"/>
        <v>RESIDENTIAL SERVICE CLASSIFICATION</v>
      </c>
      <c r="B606" s="100" t="s">
        <v>121</v>
      </c>
      <c r="C606" s="117"/>
      <c r="D606" s="180" t="s">
        <v>185</v>
      </c>
      <c r="E606" s="158"/>
      <c r="F606" s="174">
        <v>0.08</v>
      </c>
      <c r="G606" s="175"/>
      <c r="H606" s="182"/>
      <c r="I606" s="174">
        <v>0.08</v>
      </c>
      <c r="J606" s="183"/>
      <c r="K606" s="182"/>
      <c r="L606" s="184"/>
      <c r="M606" s="185"/>
    </row>
    <row r="607" spans="1:13" ht="15.75" hidden="1" thickBot="1" x14ac:dyDescent="0.3">
      <c r="A607" s="100" t="str">
        <f t="shared" si="88"/>
        <v>RESIDENTIAL SERVICE CLASSIFICATION</v>
      </c>
      <c r="B607" s="100" t="s">
        <v>191</v>
      </c>
      <c r="C607" s="117"/>
      <c r="D607" s="301" t="s">
        <v>190</v>
      </c>
      <c r="E607" s="301"/>
      <c r="F607" s="193"/>
      <c r="G607" s="194"/>
      <c r="H607" s="188">
        <f>SUM(H604,H605)</f>
        <v>412.80097800000004</v>
      </c>
      <c r="I607" s="195"/>
      <c r="J607" s="195"/>
      <c r="K607" s="188">
        <f>SUM(K604,K605)</f>
        <v>394.33225799999997</v>
      </c>
      <c r="L607" s="196">
        <f>K607-H607</f>
        <v>-18.468720000000076</v>
      </c>
      <c r="M607" s="197">
        <f>IF((H607)=0,"",(L607/H607))</f>
        <v>-4.4740010281661864E-2</v>
      </c>
    </row>
    <row r="608" spans="1:13" ht="15.75" thickBot="1" x14ac:dyDescent="0.3">
      <c r="A608" s="100" t="str">
        <f t="shared" si="88"/>
        <v>RESIDENTIAL SERVICE CLASSIFICATION</v>
      </c>
      <c r="B608" s="100" t="s">
        <v>121</v>
      </c>
      <c r="C608" s="117"/>
      <c r="D608" s="165"/>
      <c r="E608" s="166"/>
      <c r="F608" s="202"/>
      <c r="G608" s="203"/>
      <c r="H608" s="204"/>
      <c r="I608" s="202"/>
      <c r="J608" s="205"/>
      <c r="K608" s="204"/>
      <c r="L608" s="206"/>
      <c r="M608" s="207"/>
    </row>
    <row r="611" spans="1:13" x14ac:dyDescent="0.25">
      <c r="C611" s="100"/>
      <c r="D611" s="101" t="s">
        <v>134</v>
      </c>
      <c r="E611" s="302" t="str">
        <f>D13</f>
        <v>GENERAL SERVICE LESS THAN 50 KW SERVICE CLASSIFICATION</v>
      </c>
      <c r="F611" s="302"/>
      <c r="G611" s="302"/>
      <c r="H611" s="302"/>
      <c r="I611" s="302"/>
      <c r="J611" s="302"/>
      <c r="K611" s="100" t="str">
        <f>IF(N13="DEMAND - INTERVAL","RTSR - INTERVAL METERED","")</f>
        <v/>
      </c>
    </row>
    <row r="612" spans="1:13" x14ac:dyDescent="0.25">
      <c r="C612" s="100"/>
      <c r="D612" s="101" t="s">
        <v>135</v>
      </c>
      <c r="E612" s="303" t="str">
        <f>H13</f>
        <v>RPP</v>
      </c>
      <c r="F612" s="303"/>
      <c r="G612" s="303"/>
      <c r="H612" s="102"/>
      <c r="I612" s="102"/>
    </row>
    <row r="613" spans="1:13" ht="15.75" x14ac:dyDescent="0.25">
      <c r="C613" s="100"/>
      <c r="D613" s="101" t="s">
        <v>136</v>
      </c>
      <c r="E613" s="103">
        <f>K13</f>
        <v>500</v>
      </c>
      <c r="F613" s="104" t="s">
        <v>137</v>
      </c>
      <c r="G613" s="105"/>
      <c r="J613" s="106"/>
      <c r="K613" s="106"/>
      <c r="L613" s="106"/>
      <c r="M613" s="106"/>
    </row>
    <row r="614" spans="1:13" ht="15.75" x14ac:dyDescent="0.25">
      <c r="C614" s="100"/>
      <c r="D614" s="101" t="s">
        <v>138</v>
      </c>
      <c r="E614" s="103">
        <f>L13</f>
        <v>0</v>
      </c>
      <c r="F614" s="107" t="s">
        <v>139</v>
      </c>
      <c r="G614" s="108"/>
      <c r="H614" s="109"/>
      <c r="I614" s="109"/>
      <c r="J614" s="109"/>
    </row>
    <row r="615" spans="1:13" x14ac:dyDescent="0.25">
      <c r="C615" s="100"/>
      <c r="D615" s="101" t="s">
        <v>140</v>
      </c>
      <c r="E615" s="110">
        <f>I13</f>
        <v>1.056</v>
      </c>
    </row>
    <row r="616" spans="1:13" x14ac:dyDescent="0.25">
      <c r="C616" s="100"/>
      <c r="D616" s="101" t="s">
        <v>141</v>
      </c>
      <c r="E616" s="110">
        <f>J13</f>
        <v>1.056</v>
      </c>
    </row>
    <row r="617" spans="1:13" x14ac:dyDescent="0.25">
      <c r="C617" s="100"/>
      <c r="D617" s="105"/>
    </row>
    <row r="618" spans="1:13" x14ac:dyDescent="0.25">
      <c r="C618" s="100"/>
      <c r="D618" s="105"/>
      <c r="E618" s="111"/>
      <c r="F618" s="304" t="s">
        <v>142</v>
      </c>
      <c r="G618" s="305"/>
      <c r="H618" s="306"/>
      <c r="I618" s="304" t="s">
        <v>143</v>
      </c>
      <c r="J618" s="305"/>
      <c r="K618" s="306"/>
      <c r="L618" s="304" t="s">
        <v>144</v>
      </c>
      <c r="M618" s="306"/>
    </row>
    <row r="619" spans="1:13" x14ac:dyDescent="0.25">
      <c r="C619" s="100"/>
      <c r="D619" s="105"/>
      <c r="E619" s="295"/>
      <c r="F619" s="112" t="s">
        <v>145</v>
      </c>
      <c r="G619" s="112" t="s">
        <v>146</v>
      </c>
      <c r="H619" s="113" t="s">
        <v>147</v>
      </c>
      <c r="I619" s="112" t="s">
        <v>145</v>
      </c>
      <c r="J619" s="114" t="s">
        <v>146</v>
      </c>
      <c r="K619" s="113" t="s">
        <v>147</v>
      </c>
      <c r="L619" s="297" t="s">
        <v>148</v>
      </c>
      <c r="M619" s="299" t="s">
        <v>149</v>
      </c>
    </row>
    <row r="620" spans="1:13" x14ac:dyDescent="0.25">
      <c r="C620" s="100"/>
      <c r="D620" s="105"/>
      <c r="E620" s="296"/>
      <c r="F620" s="115" t="s">
        <v>150</v>
      </c>
      <c r="G620" s="115"/>
      <c r="H620" s="116" t="s">
        <v>150</v>
      </c>
      <c r="I620" s="115" t="s">
        <v>150</v>
      </c>
      <c r="J620" s="116"/>
      <c r="K620" s="116" t="s">
        <v>150</v>
      </c>
      <c r="L620" s="298"/>
      <c r="M620" s="300"/>
    </row>
    <row r="621" spans="1:13" x14ac:dyDescent="0.25">
      <c r="A621" s="100" t="str">
        <f>$E611</f>
        <v>GENERAL SERVICE LESS THAN 50 KW SERVICE CLASSIFICATION</v>
      </c>
      <c r="C621" s="117"/>
      <c r="D621" s="118" t="s">
        <v>151</v>
      </c>
      <c r="E621" s="119"/>
      <c r="F621" s="120">
        <v>28.37</v>
      </c>
      <c r="G621" s="121">
        <v>1</v>
      </c>
      <c r="H621" s="122">
        <f>G621*F621</f>
        <v>28.37</v>
      </c>
      <c r="I621" s="123">
        <v>28.71</v>
      </c>
      <c r="J621" s="124">
        <f>G621</f>
        <v>1</v>
      </c>
      <c r="K621" s="122">
        <f>J621*I621</f>
        <v>28.71</v>
      </c>
      <c r="L621" s="125">
        <f t="shared" ref="L621:L642" si="93">K621-H621</f>
        <v>0.33999999999999986</v>
      </c>
      <c r="M621" s="126">
        <f>IF(ISERROR(L621/H621), "", L621/H621)</f>
        <v>1.198449065914698E-2</v>
      </c>
    </row>
    <row r="622" spans="1:13" x14ac:dyDescent="0.25">
      <c r="A622" s="100" t="str">
        <f>A621</f>
        <v>GENERAL SERVICE LESS THAN 50 KW SERVICE CLASSIFICATION</v>
      </c>
      <c r="C622" s="117"/>
      <c r="D622" s="118" t="s">
        <v>152</v>
      </c>
      <c r="E622" s="119"/>
      <c r="F622" s="127">
        <v>1.0200000000000001E-2</v>
      </c>
      <c r="G622" s="121">
        <f>IF($E614&gt;0, $E614, $E613)</f>
        <v>500</v>
      </c>
      <c r="H622" s="122">
        <f t="shared" ref="H622:H634" si="94">G622*F622</f>
        <v>5.1000000000000005</v>
      </c>
      <c r="I622" s="128">
        <v>1.03E-2</v>
      </c>
      <c r="J622" s="124">
        <f>IF($E614&gt;0, $E614, $E613)</f>
        <v>500</v>
      </c>
      <c r="K622" s="122">
        <f>J622*I622</f>
        <v>5.15</v>
      </c>
      <c r="L622" s="125">
        <f t="shared" si="93"/>
        <v>4.9999999999999822E-2</v>
      </c>
      <c r="M622" s="126">
        <f t="shared" ref="M622:M632" si="95">IF(ISERROR(L622/H622), "", L622/H622)</f>
        <v>9.8039215686274144E-3</v>
      </c>
    </row>
    <row r="623" spans="1:13" x14ac:dyDescent="0.25">
      <c r="A623" s="100" t="str">
        <f t="shared" ref="A623:A664" si="96">A622</f>
        <v>GENERAL SERVICE LESS THAN 50 KW SERVICE CLASSIFICATION</v>
      </c>
      <c r="C623" s="117"/>
      <c r="D623" s="118" t="s">
        <v>153</v>
      </c>
      <c r="E623" s="119"/>
      <c r="F623" s="127"/>
      <c r="G623" s="121">
        <f>IF($E614&gt;0, $E614, $E613)</f>
        <v>500</v>
      </c>
      <c r="H623" s="122">
        <v>0</v>
      </c>
      <c r="I623" s="128"/>
      <c r="J623" s="124">
        <f>IF($E614&gt;0, $E614, $E613)</f>
        <v>500</v>
      </c>
      <c r="K623" s="122">
        <v>0</v>
      </c>
      <c r="L623" s="125"/>
      <c r="M623" s="126"/>
    </row>
    <row r="624" spans="1:13" x14ac:dyDescent="0.25">
      <c r="A624" s="100" t="str">
        <f t="shared" si="96"/>
        <v>GENERAL SERVICE LESS THAN 50 KW SERVICE CLASSIFICATION</v>
      </c>
      <c r="C624" s="117"/>
      <c r="D624" s="118" t="s">
        <v>154</v>
      </c>
      <c r="E624" s="119"/>
      <c r="F624" s="127"/>
      <c r="G624" s="121">
        <f>IF($E614&gt;0, $E614, $E613)</f>
        <v>500</v>
      </c>
      <c r="H624" s="122">
        <v>0</v>
      </c>
      <c r="I624" s="128"/>
      <c r="J624" s="121">
        <f>IF($E614&gt;0, $E614, $E613)</f>
        <v>500</v>
      </c>
      <c r="K624" s="122">
        <v>0</v>
      </c>
      <c r="L624" s="125">
        <f>K624-H624</f>
        <v>0</v>
      </c>
      <c r="M624" s="126" t="str">
        <f>IF(ISERROR(L624/H624), "", L624/H624)</f>
        <v/>
      </c>
    </row>
    <row r="625" spans="1:13" x14ac:dyDescent="0.25">
      <c r="A625" s="100" t="str">
        <f t="shared" si="96"/>
        <v>GENERAL SERVICE LESS THAN 50 KW SERVICE CLASSIFICATION</v>
      </c>
      <c r="C625" s="117"/>
      <c r="D625" s="129" t="s">
        <v>155</v>
      </c>
      <c r="E625" s="119"/>
      <c r="F625" s="120">
        <v>0</v>
      </c>
      <c r="G625" s="121">
        <v>1</v>
      </c>
      <c r="H625" s="122">
        <f t="shared" si="94"/>
        <v>0</v>
      </c>
      <c r="I625" s="123">
        <v>0</v>
      </c>
      <c r="J625" s="124">
        <f>G625</f>
        <v>1</v>
      </c>
      <c r="K625" s="122">
        <f t="shared" ref="K625:K632" si="97">J625*I625</f>
        <v>0</v>
      </c>
      <c r="L625" s="125">
        <f t="shared" si="93"/>
        <v>0</v>
      </c>
      <c r="M625" s="126" t="str">
        <f t="shared" si="95"/>
        <v/>
      </c>
    </row>
    <row r="626" spans="1:13" x14ac:dyDescent="0.25">
      <c r="A626" s="100" t="str">
        <f t="shared" si="96"/>
        <v>GENERAL SERVICE LESS THAN 50 KW SERVICE CLASSIFICATION</v>
      </c>
      <c r="C626" s="117"/>
      <c r="D626" s="118" t="s">
        <v>156</v>
      </c>
      <c r="E626" s="119"/>
      <c r="F626" s="127">
        <v>0</v>
      </c>
      <c r="G626" s="121">
        <f>IF($E614&gt;0, $E614, $E613)</f>
        <v>500</v>
      </c>
      <c r="H626" s="122">
        <f t="shared" si="94"/>
        <v>0</v>
      </c>
      <c r="I626" s="128">
        <v>0</v>
      </c>
      <c r="J626" s="124">
        <f>IF($E614&gt;0, $E614, $E613)</f>
        <v>500</v>
      </c>
      <c r="K626" s="122">
        <f t="shared" si="97"/>
        <v>0</v>
      </c>
      <c r="L626" s="125">
        <f t="shared" si="93"/>
        <v>0</v>
      </c>
      <c r="M626" s="126" t="str">
        <f t="shared" si="95"/>
        <v/>
      </c>
    </row>
    <row r="627" spans="1:13" x14ac:dyDescent="0.25">
      <c r="A627" s="100" t="str">
        <f t="shared" si="96"/>
        <v>GENERAL SERVICE LESS THAN 50 KW SERVICE CLASSIFICATION</v>
      </c>
      <c r="B627" s="130" t="s">
        <v>157</v>
      </c>
      <c r="C627" s="117">
        <f>B13</f>
        <v>11</v>
      </c>
      <c r="D627" s="131" t="s">
        <v>158</v>
      </c>
      <c r="E627" s="132"/>
      <c r="F627" s="133"/>
      <c r="G627" s="134"/>
      <c r="H627" s="135">
        <f>SUM(H621:H626)</f>
        <v>33.47</v>
      </c>
      <c r="I627" s="136"/>
      <c r="J627" s="137"/>
      <c r="K627" s="135">
        <f>SUM(K621:K626)</f>
        <v>33.86</v>
      </c>
      <c r="L627" s="138">
        <f t="shared" si="93"/>
        <v>0.39000000000000057</v>
      </c>
      <c r="M627" s="139">
        <f>IF((H627)=0,"",(L627/H627))</f>
        <v>1.1652225873916958E-2</v>
      </c>
    </row>
    <row r="628" spans="1:13" x14ac:dyDescent="0.25">
      <c r="A628" s="100" t="str">
        <f t="shared" si="96"/>
        <v>GENERAL SERVICE LESS THAN 50 KW SERVICE CLASSIFICATION</v>
      </c>
      <c r="C628" s="117"/>
      <c r="D628" s="140" t="s">
        <v>159</v>
      </c>
      <c r="E628" s="119"/>
      <c r="F628" s="127">
        <f>IF((E613*12&gt;=150000), 0, IF(E612="RPP",(F644*0.65+F645*0.17+F646*0.18),IF(E612="Non-RPP (Retailer)",F647,F648)))</f>
        <v>8.1990000000000007E-2</v>
      </c>
      <c r="G628" s="141">
        <f>IF(F628=0, 0, $E613*E615-E613)</f>
        <v>28</v>
      </c>
      <c r="H628" s="122">
        <f>G628*F628</f>
        <v>2.2957200000000002</v>
      </c>
      <c r="I628" s="128">
        <f>IF((E613*12&gt;=150000), 0, IF(E612="RPP",(I644*0.65+I645*0.17+I646*0.18),IF(E612="Non-RPP (Retailer)",I647,I648)))</f>
        <v>8.1990000000000007E-2</v>
      </c>
      <c r="J628" s="141">
        <f>IF(I628=0, 0, E613*E616-E613)</f>
        <v>28</v>
      </c>
      <c r="K628" s="122">
        <f>J628*I628</f>
        <v>2.2957200000000002</v>
      </c>
      <c r="L628" s="125">
        <f>K628-H628</f>
        <v>0</v>
      </c>
      <c r="M628" s="126">
        <f>IF(ISERROR(L628/H628), "", L628/H628)</f>
        <v>0</v>
      </c>
    </row>
    <row r="629" spans="1:13" ht="25.5" x14ac:dyDescent="0.25">
      <c r="A629" s="100" t="str">
        <f t="shared" si="96"/>
        <v>GENERAL SERVICE LESS THAN 50 KW SERVICE CLASSIFICATION</v>
      </c>
      <c r="C629" s="117"/>
      <c r="D629" s="140" t="s">
        <v>160</v>
      </c>
      <c r="E629" s="119"/>
      <c r="F629" s="127">
        <v>-1.4E-3</v>
      </c>
      <c r="G629" s="142">
        <f>IF($E614&gt;0, $E614, $E613)</f>
        <v>500</v>
      </c>
      <c r="H629" s="122">
        <f t="shared" si="94"/>
        <v>-0.7</v>
      </c>
      <c r="I629" s="128">
        <v>-5.3E-3</v>
      </c>
      <c r="J629" s="142">
        <f>IF($E614&gt;0, $E614, $E613)</f>
        <v>500</v>
      </c>
      <c r="K629" s="122">
        <f t="shared" si="97"/>
        <v>-2.65</v>
      </c>
      <c r="L629" s="125">
        <f t="shared" si="93"/>
        <v>-1.95</v>
      </c>
      <c r="M629" s="126">
        <f t="shared" si="95"/>
        <v>2.785714285714286</v>
      </c>
    </row>
    <row r="630" spans="1:13" x14ac:dyDescent="0.25">
      <c r="A630" s="100" t="str">
        <f t="shared" si="96"/>
        <v>GENERAL SERVICE LESS THAN 50 KW SERVICE CLASSIFICATION</v>
      </c>
      <c r="C630" s="117"/>
      <c r="D630" s="140" t="s">
        <v>161</v>
      </c>
      <c r="E630" s="119"/>
      <c r="F630" s="127">
        <v>-1E-4</v>
      </c>
      <c r="G630" s="142">
        <f>IF($E614&gt;0, $E614, $E613)</f>
        <v>500</v>
      </c>
      <c r="H630" s="122">
        <f>G630*F630</f>
        <v>-0.05</v>
      </c>
      <c r="I630" s="128">
        <v>0</v>
      </c>
      <c r="J630" s="142">
        <f>IF($E614&gt;0, $E614, $E613)</f>
        <v>500</v>
      </c>
      <c r="K630" s="122">
        <f>J630*I630</f>
        <v>0</v>
      </c>
      <c r="L630" s="125">
        <f t="shared" si="93"/>
        <v>0.05</v>
      </c>
      <c r="M630" s="126">
        <f t="shared" si="95"/>
        <v>-1</v>
      </c>
    </row>
    <row r="631" spans="1:13" x14ac:dyDescent="0.25">
      <c r="A631" s="100" t="str">
        <f t="shared" si="96"/>
        <v>GENERAL SERVICE LESS THAN 50 KW SERVICE CLASSIFICATION</v>
      </c>
      <c r="C631" s="117"/>
      <c r="D631" s="140" t="s">
        <v>162</v>
      </c>
      <c r="E631" s="119"/>
      <c r="F631" s="127">
        <v>0</v>
      </c>
      <c r="G631" s="142">
        <f>E613</f>
        <v>500</v>
      </c>
      <c r="H631" s="122">
        <f>G631*F631</f>
        <v>0</v>
      </c>
      <c r="I631" s="128">
        <v>0</v>
      </c>
      <c r="J631" s="142">
        <f>E613</f>
        <v>500</v>
      </c>
      <c r="K631" s="122">
        <f t="shared" si="97"/>
        <v>0</v>
      </c>
      <c r="L631" s="125">
        <f t="shared" si="93"/>
        <v>0</v>
      </c>
      <c r="M631" s="126" t="str">
        <f t="shared" si="95"/>
        <v/>
      </c>
    </row>
    <row r="632" spans="1:13" x14ac:dyDescent="0.25">
      <c r="A632" s="100" t="str">
        <f t="shared" si="96"/>
        <v>GENERAL SERVICE LESS THAN 50 KW SERVICE CLASSIFICATION</v>
      </c>
      <c r="C632" s="117"/>
      <c r="D632" s="143" t="s">
        <v>163</v>
      </c>
      <c r="E632" s="119"/>
      <c r="F632" s="127">
        <v>2.3999999999999998E-3</v>
      </c>
      <c r="G632" s="142">
        <f>IF($E614&gt;0, $E614, $E613)</f>
        <v>500</v>
      </c>
      <c r="H632" s="122">
        <f t="shared" si="94"/>
        <v>1.2</v>
      </c>
      <c r="I632" s="128">
        <v>2.3999999999999998E-3</v>
      </c>
      <c r="J632" s="142">
        <f>IF($E614&gt;0, $E614, $E613)</f>
        <v>500</v>
      </c>
      <c r="K632" s="122">
        <f t="shared" si="97"/>
        <v>1.2</v>
      </c>
      <c r="L632" s="125">
        <f t="shared" si="93"/>
        <v>0</v>
      </c>
      <c r="M632" s="126">
        <f t="shared" si="95"/>
        <v>0</v>
      </c>
    </row>
    <row r="633" spans="1:13" ht="25.5" x14ac:dyDescent="0.25">
      <c r="A633" s="100" t="str">
        <f t="shared" si="96"/>
        <v>GENERAL SERVICE LESS THAN 50 KW SERVICE CLASSIFICATION</v>
      </c>
      <c r="C633" s="117"/>
      <c r="D633" s="144" t="s">
        <v>164</v>
      </c>
      <c r="E633" s="119"/>
      <c r="F633" s="145">
        <f>IF(OR(ISNUMBER(SEARCH("RESIDENTIAL", E611))=TRUE, ISNUMBER(SEARCH("GENERAL SERVICE LESS THAN 50", E611))=TRUE), SME, 0)</f>
        <v>0.56999999999999995</v>
      </c>
      <c r="G633" s="121">
        <v>1</v>
      </c>
      <c r="H633" s="122">
        <f>G633*F633</f>
        <v>0.56999999999999995</v>
      </c>
      <c r="I633" s="146">
        <f>IF(OR(ISNUMBER(SEARCH("RESIDENTIAL", E611))=TRUE, ISNUMBER(SEARCH("GENERAL SERVICE LESS THAN 50", E611))=TRUE), SME, 0)</f>
        <v>0.56999999999999995</v>
      </c>
      <c r="J633" s="121">
        <v>1</v>
      </c>
      <c r="K633" s="122">
        <f>J633*I633</f>
        <v>0.56999999999999995</v>
      </c>
      <c r="L633" s="125">
        <f t="shared" si="93"/>
        <v>0</v>
      </c>
      <c r="M633" s="126">
        <f>IF(ISERROR(L633/H633), "", L633/H633)</f>
        <v>0</v>
      </c>
    </row>
    <row r="634" spans="1:13" x14ac:dyDescent="0.25">
      <c r="A634" s="100" t="str">
        <f t="shared" si="96"/>
        <v>GENERAL SERVICE LESS THAN 50 KW SERVICE CLASSIFICATION</v>
      </c>
      <c r="C634" s="117"/>
      <c r="D634" s="143" t="s">
        <v>165</v>
      </c>
      <c r="E634" s="119"/>
      <c r="F634" s="120">
        <v>0</v>
      </c>
      <c r="G634" s="121">
        <v>1</v>
      </c>
      <c r="H634" s="122">
        <f t="shared" si="94"/>
        <v>0</v>
      </c>
      <c r="I634" s="123">
        <v>0</v>
      </c>
      <c r="J634" s="121">
        <v>1</v>
      </c>
      <c r="K634" s="122">
        <f>J634*I634</f>
        <v>0</v>
      </c>
      <c r="L634" s="125">
        <f>K634-H634</f>
        <v>0</v>
      </c>
      <c r="M634" s="126" t="str">
        <f>IF(ISERROR(L634/H634), "", L634/H634)</f>
        <v/>
      </c>
    </row>
    <row r="635" spans="1:13" x14ac:dyDescent="0.25">
      <c r="A635" s="100" t="str">
        <f t="shared" si="96"/>
        <v>GENERAL SERVICE LESS THAN 50 KW SERVICE CLASSIFICATION</v>
      </c>
      <c r="C635" s="117"/>
      <c r="D635" s="143" t="s">
        <v>166</v>
      </c>
      <c r="E635" s="119"/>
      <c r="F635" s="127"/>
      <c r="G635" s="142">
        <f>IF($E614&gt;0, $E614, $E613)</f>
        <v>500</v>
      </c>
      <c r="H635" s="122">
        <f>G635*F635</f>
        <v>0</v>
      </c>
      <c r="I635" s="128">
        <v>0</v>
      </c>
      <c r="J635" s="142">
        <f>IF($E614&gt;0, $E614, $E613)</f>
        <v>500</v>
      </c>
      <c r="K635" s="122">
        <f>J635*I635</f>
        <v>0</v>
      </c>
      <c r="L635" s="125">
        <f t="shared" si="93"/>
        <v>0</v>
      </c>
      <c r="M635" s="126" t="str">
        <f>IF(ISERROR(L635/H635), "", L635/H635)</f>
        <v/>
      </c>
    </row>
    <row r="636" spans="1:13" ht="25.5" x14ac:dyDescent="0.25">
      <c r="A636" s="100" t="str">
        <f t="shared" si="96"/>
        <v>GENERAL SERVICE LESS THAN 50 KW SERVICE CLASSIFICATION</v>
      </c>
      <c r="B636" s="105" t="s">
        <v>167</v>
      </c>
      <c r="C636" s="117">
        <f>B13</f>
        <v>11</v>
      </c>
      <c r="D636" s="147" t="s">
        <v>168</v>
      </c>
      <c r="E636" s="148"/>
      <c r="F636" s="149"/>
      <c r="G636" s="150"/>
      <c r="H636" s="151">
        <f>SUM(H627:H635)</f>
        <v>36.785720000000005</v>
      </c>
      <c r="I636" s="152"/>
      <c r="J636" s="153"/>
      <c r="K636" s="151">
        <f>SUM(K627:K635)</f>
        <v>35.275720000000007</v>
      </c>
      <c r="L636" s="138">
        <f t="shared" si="93"/>
        <v>-1.509999999999998</v>
      </c>
      <c r="M636" s="139">
        <f>IF((H636)=0,"",(L636/H636))</f>
        <v>-4.1048537312848514E-2</v>
      </c>
    </row>
    <row r="637" spans="1:13" x14ac:dyDescent="0.25">
      <c r="A637" s="100" t="str">
        <f t="shared" si="96"/>
        <v>GENERAL SERVICE LESS THAN 50 KW SERVICE CLASSIFICATION</v>
      </c>
      <c r="C637" s="117"/>
      <c r="D637" s="154" t="s">
        <v>169</v>
      </c>
      <c r="E637" s="119"/>
      <c r="F637" s="127">
        <v>6.0000000000000001E-3</v>
      </c>
      <c r="G637" s="141">
        <f>IF($E614&gt;0, $E614, $E613*$E615)</f>
        <v>528</v>
      </c>
      <c r="H637" s="122">
        <f>G637*F637</f>
        <v>3.1680000000000001</v>
      </c>
      <c r="I637" s="128">
        <v>5.7000000000000002E-3</v>
      </c>
      <c r="J637" s="141">
        <f>IF($E614&gt;0, $E614, $E613*$E616)</f>
        <v>528</v>
      </c>
      <c r="K637" s="122">
        <f>J637*I637</f>
        <v>3.0096000000000003</v>
      </c>
      <c r="L637" s="125">
        <f t="shared" si="93"/>
        <v>-0.15839999999999987</v>
      </c>
      <c r="M637" s="126">
        <f>IF(ISERROR(L637/H637), "", L637/H637)</f>
        <v>-4.9999999999999961E-2</v>
      </c>
    </row>
    <row r="638" spans="1:13" ht="25.5" x14ac:dyDescent="0.25">
      <c r="A638" s="100" t="str">
        <f t="shared" si="96"/>
        <v>GENERAL SERVICE LESS THAN 50 KW SERVICE CLASSIFICATION</v>
      </c>
      <c r="C638" s="117"/>
      <c r="D638" s="155" t="s">
        <v>170</v>
      </c>
      <c r="E638" s="119"/>
      <c r="F638" s="127">
        <v>5.3E-3</v>
      </c>
      <c r="G638" s="141">
        <f>IF($E614&gt;0, $E614, $E613*$E615)</f>
        <v>528</v>
      </c>
      <c r="H638" s="122">
        <f>G638*F638</f>
        <v>2.7984</v>
      </c>
      <c r="I638" s="128">
        <v>5.0000000000000001E-3</v>
      </c>
      <c r="J638" s="141">
        <f>IF($E614&gt;0, $E614, $E613*$E616)</f>
        <v>528</v>
      </c>
      <c r="K638" s="122">
        <f>J638*I638</f>
        <v>2.64</v>
      </c>
      <c r="L638" s="125">
        <f t="shared" si="93"/>
        <v>-0.15839999999999987</v>
      </c>
      <c r="M638" s="126">
        <f>IF(ISERROR(L638/H638), "", L638/H638)</f>
        <v>-5.6603773584905613E-2</v>
      </c>
    </row>
    <row r="639" spans="1:13" ht="25.5" x14ac:dyDescent="0.25">
      <c r="A639" s="100" t="str">
        <f t="shared" si="96"/>
        <v>GENERAL SERVICE LESS THAN 50 KW SERVICE CLASSIFICATION</v>
      </c>
      <c r="B639" s="105" t="s">
        <v>171</v>
      </c>
      <c r="C639" s="117">
        <f>B13</f>
        <v>11</v>
      </c>
      <c r="D639" s="147" t="s">
        <v>172</v>
      </c>
      <c r="E639" s="132"/>
      <c r="F639" s="149"/>
      <c r="G639" s="150"/>
      <c r="H639" s="151">
        <f>SUM(H636:H638)</f>
        <v>42.752120000000005</v>
      </c>
      <c r="I639" s="152"/>
      <c r="J639" s="137"/>
      <c r="K639" s="151">
        <f>SUM(K636:K638)</f>
        <v>40.925320000000006</v>
      </c>
      <c r="L639" s="138">
        <f t="shared" si="93"/>
        <v>-1.8267999999999986</v>
      </c>
      <c r="M639" s="139">
        <f>IF((H639)=0,"",(L639/H639))</f>
        <v>-4.2730044732284582E-2</v>
      </c>
    </row>
    <row r="640" spans="1:13" ht="25.5" x14ac:dyDescent="0.25">
      <c r="A640" s="100" t="str">
        <f t="shared" si="96"/>
        <v>GENERAL SERVICE LESS THAN 50 KW SERVICE CLASSIFICATION</v>
      </c>
      <c r="C640" s="117"/>
      <c r="D640" s="156" t="s">
        <v>173</v>
      </c>
      <c r="E640" s="119"/>
      <c r="F640" s="127">
        <v>3.6000000000000003E-3</v>
      </c>
      <c r="G640" s="141">
        <f>E613*E615</f>
        <v>528</v>
      </c>
      <c r="H640" s="157">
        <f t="shared" ref="H640:H646" si="98">G640*F640</f>
        <v>1.9008000000000003</v>
      </c>
      <c r="I640" s="128">
        <v>3.6000000000000003E-3</v>
      </c>
      <c r="J640" s="141">
        <f>E613*E616</f>
        <v>528</v>
      </c>
      <c r="K640" s="157">
        <f t="shared" ref="K640:K646" si="99">J640*I640</f>
        <v>1.9008000000000003</v>
      </c>
      <c r="L640" s="125">
        <f t="shared" si="93"/>
        <v>0</v>
      </c>
      <c r="M640" s="126">
        <f t="shared" ref="M640:M648" si="100">IF(ISERROR(L640/H640), "", L640/H640)</f>
        <v>0</v>
      </c>
    </row>
    <row r="641" spans="1:13" ht="25.5" x14ac:dyDescent="0.25">
      <c r="A641" s="100" t="str">
        <f t="shared" si="96"/>
        <v>GENERAL SERVICE LESS THAN 50 KW SERVICE CLASSIFICATION</v>
      </c>
      <c r="C641" s="117"/>
      <c r="D641" s="156" t="s">
        <v>174</v>
      </c>
      <c r="E641" s="119"/>
      <c r="F641" s="127">
        <f>'[1]17. Regulatory Charges'!$D$16</f>
        <v>2.9999999999999997E-4</v>
      </c>
      <c r="G641" s="141">
        <f>E613*E615</f>
        <v>528</v>
      </c>
      <c r="H641" s="157">
        <f t="shared" si="98"/>
        <v>0.15839999999999999</v>
      </c>
      <c r="I641" s="128">
        <v>2.9999999999999997E-4</v>
      </c>
      <c r="J641" s="141">
        <f>E613*E616</f>
        <v>528</v>
      </c>
      <c r="K641" s="157">
        <f t="shared" si="99"/>
        <v>0.15839999999999999</v>
      </c>
      <c r="L641" s="125">
        <f t="shared" si="93"/>
        <v>0</v>
      </c>
      <c r="M641" s="126">
        <f t="shared" si="100"/>
        <v>0</v>
      </c>
    </row>
    <row r="642" spans="1:13" x14ac:dyDescent="0.25">
      <c r="A642" s="100" t="str">
        <f t="shared" si="96"/>
        <v>GENERAL SERVICE LESS THAN 50 KW SERVICE CLASSIFICATION</v>
      </c>
      <c r="C642" s="117"/>
      <c r="D642" s="158" t="s">
        <v>175</v>
      </c>
      <c r="E642" s="119"/>
      <c r="F642" s="145">
        <v>0.25</v>
      </c>
      <c r="G642" s="121">
        <v>1</v>
      </c>
      <c r="H642" s="157">
        <f t="shared" si="98"/>
        <v>0.25</v>
      </c>
      <c r="I642" s="146">
        <f>'[1]17. Regulatory Charges'!$D$17</f>
        <v>0.25</v>
      </c>
      <c r="J642" s="124">
        <v>1</v>
      </c>
      <c r="K642" s="157">
        <f t="shared" si="99"/>
        <v>0.25</v>
      </c>
      <c r="L642" s="125">
        <f t="shared" si="93"/>
        <v>0</v>
      </c>
      <c r="M642" s="126">
        <f t="shared" si="100"/>
        <v>0</v>
      </c>
    </row>
    <row r="643" spans="1:13" ht="25.5" x14ac:dyDescent="0.25">
      <c r="A643" s="100" t="str">
        <f t="shared" si="96"/>
        <v>GENERAL SERVICE LESS THAN 50 KW SERVICE CLASSIFICATION</v>
      </c>
      <c r="C643" s="117"/>
      <c r="D643" s="156" t="s">
        <v>176</v>
      </c>
      <c r="E643" s="119"/>
      <c r="F643" s="127"/>
      <c r="G643" s="141"/>
      <c r="H643" s="157"/>
      <c r="I643" s="128"/>
      <c r="J643" s="141"/>
      <c r="K643" s="157"/>
      <c r="L643" s="125"/>
      <c r="M643" s="126"/>
    </row>
    <row r="644" spans="1:13" x14ac:dyDescent="0.25">
      <c r="A644" s="100" t="str">
        <f t="shared" si="96"/>
        <v>GENERAL SERVICE LESS THAN 50 KW SERVICE CLASSIFICATION</v>
      </c>
      <c r="B644" s="105" t="s">
        <v>117</v>
      </c>
      <c r="C644" s="117"/>
      <c r="D644" s="159" t="s">
        <v>177</v>
      </c>
      <c r="E644" s="119"/>
      <c r="F644" s="160">
        <f>OffPeak</f>
        <v>6.5000000000000002E-2</v>
      </c>
      <c r="G644" s="161">
        <f>IF(AND(E613*12&gt;=150000),0.65*E613*E615,0.65*E613)</f>
        <v>325</v>
      </c>
      <c r="H644" s="157">
        <f t="shared" si="98"/>
        <v>21.125</v>
      </c>
      <c r="I644" s="162">
        <f>OffPeak</f>
        <v>6.5000000000000002E-2</v>
      </c>
      <c r="J644" s="161">
        <f>IF(AND(E613*12&gt;=150000),0.65*E613*E616,0.65*E613)</f>
        <v>325</v>
      </c>
      <c r="K644" s="157">
        <f t="shared" si="99"/>
        <v>21.125</v>
      </c>
      <c r="L644" s="125">
        <f>K644-H644</f>
        <v>0</v>
      </c>
      <c r="M644" s="126">
        <f t="shared" si="100"/>
        <v>0</v>
      </c>
    </row>
    <row r="645" spans="1:13" x14ac:dyDescent="0.25">
      <c r="A645" s="100" t="str">
        <f t="shared" si="96"/>
        <v>GENERAL SERVICE LESS THAN 50 KW SERVICE CLASSIFICATION</v>
      </c>
      <c r="B645" s="105" t="s">
        <v>117</v>
      </c>
      <c r="C645" s="117"/>
      <c r="D645" s="159" t="s">
        <v>178</v>
      </c>
      <c r="E645" s="119"/>
      <c r="F645" s="160">
        <f>MidPeak</f>
        <v>9.4E-2</v>
      </c>
      <c r="G645" s="161">
        <f>IF(AND(E613*12&gt;=150000),0.17*E613*E615,0.17*E613)</f>
        <v>85</v>
      </c>
      <c r="H645" s="157">
        <f t="shared" si="98"/>
        <v>7.99</v>
      </c>
      <c r="I645" s="162">
        <f>MidPeak</f>
        <v>9.4E-2</v>
      </c>
      <c r="J645" s="161">
        <f>IF(AND(E613*12&gt;=150000),0.17*E613*E616,0.17*E613)</f>
        <v>85</v>
      </c>
      <c r="K645" s="157">
        <f t="shared" si="99"/>
        <v>7.99</v>
      </c>
      <c r="L645" s="125">
        <f>K645-H645</f>
        <v>0</v>
      </c>
      <c r="M645" s="126">
        <f t="shared" si="100"/>
        <v>0</v>
      </c>
    </row>
    <row r="646" spans="1:13" ht="15.75" thickBot="1" x14ac:dyDescent="0.3">
      <c r="A646" s="100" t="str">
        <f t="shared" si="96"/>
        <v>GENERAL SERVICE LESS THAN 50 KW SERVICE CLASSIFICATION</v>
      </c>
      <c r="B646" s="105" t="s">
        <v>117</v>
      </c>
      <c r="C646" s="117"/>
      <c r="D646" s="105" t="s">
        <v>179</v>
      </c>
      <c r="E646" s="119"/>
      <c r="F646" s="160">
        <f>OnPeak</f>
        <v>0.13200000000000001</v>
      </c>
      <c r="G646" s="161">
        <f>IF(AND(E613*12&gt;=150000),0.18*E613*E615,0.18*E613)</f>
        <v>90</v>
      </c>
      <c r="H646" s="157">
        <f t="shared" si="98"/>
        <v>11.88</v>
      </c>
      <c r="I646" s="162">
        <f>OnPeak</f>
        <v>0.13200000000000001</v>
      </c>
      <c r="J646" s="161">
        <f>IF(AND(E613*12&gt;=150000),0.18*E613*E616,0.18*E613)</f>
        <v>90</v>
      </c>
      <c r="K646" s="157">
        <f t="shared" si="99"/>
        <v>11.88</v>
      </c>
      <c r="L646" s="125">
        <f>K646-H646</f>
        <v>0</v>
      </c>
      <c r="M646" s="126">
        <f t="shared" si="100"/>
        <v>0</v>
      </c>
    </row>
    <row r="647" spans="1:13" hidden="1" x14ac:dyDescent="0.25">
      <c r="A647" s="100" t="str">
        <f t="shared" si="96"/>
        <v>GENERAL SERVICE LESS THAN 50 KW SERVICE CLASSIFICATION</v>
      </c>
      <c r="B647" s="100" t="s">
        <v>180</v>
      </c>
      <c r="C647" s="117"/>
      <c r="D647" s="159" t="s">
        <v>181</v>
      </c>
      <c r="E647" s="119"/>
      <c r="F647" s="163">
        <v>0.1101</v>
      </c>
      <c r="G647" s="161">
        <f>IF(AND(E613*12&gt;=150000),E613*E615,E613)</f>
        <v>500</v>
      </c>
      <c r="H647" s="157">
        <f>G647*F647</f>
        <v>55.050000000000004</v>
      </c>
      <c r="I647" s="164">
        <f>F647</f>
        <v>0.1101</v>
      </c>
      <c r="J647" s="161">
        <f>IF(AND(E613*12&gt;=150000),E613*E616,E613)</f>
        <v>500</v>
      </c>
      <c r="K647" s="157">
        <f>J647*I647</f>
        <v>55.050000000000004</v>
      </c>
      <c r="L647" s="125">
        <f>K647-H647</f>
        <v>0</v>
      </c>
      <c r="M647" s="126">
        <f t="shared" si="100"/>
        <v>0</v>
      </c>
    </row>
    <row r="648" spans="1:13" ht="15.75" hidden="1" thickBot="1" x14ac:dyDescent="0.3">
      <c r="A648" s="100" t="str">
        <f t="shared" si="96"/>
        <v>GENERAL SERVICE LESS THAN 50 KW SERVICE CLASSIFICATION</v>
      </c>
      <c r="B648" s="100" t="s">
        <v>121</v>
      </c>
      <c r="C648" s="117"/>
      <c r="D648" s="159" t="s">
        <v>182</v>
      </c>
      <c r="E648" s="119"/>
      <c r="F648" s="163">
        <v>0.1101</v>
      </c>
      <c r="G648" s="161">
        <f>IF(AND(E613*12&gt;=150000),E613*E615,E613)</f>
        <v>500</v>
      </c>
      <c r="H648" s="157">
        <f>G648*F648</f>
        <v>55.050000000000004</v>
      </c>
      <c r="I648" s="164">
        <f>F648</f>
        <v>0.1101</v>
      </c>
      <c r="J648" s="161">
        <f>IF(AND(E613*12&gt;=150000),E613*E616,E613)</f>
        <v>500</v>
      </c>
      <c r="K648" s="157">
        <f>J648*I648</f>
        <v>55.050000000000004</v>
      </c>
      <c r="L648" s="125">
        <f>K648-H648</f>
        <v>0</v>
      </c>
      <c r="M648" s="126">
        <f t="shared" si="100"/>
        <v>0</v>
      </c>
    </row>
    <row r="649" spans="1:13" ht="15.75" thickBot="1" x14ac:dyDescent="0.3">
      <c r="A649" s="100" t="str">
        <f t="shared" si="96"/>
        <v>GENERAL SERVICE LESS THAN 50 KW SERVICE CLASSIFICATION</v>
      </c>
      <c r="B649" s="105"/>
      <c r="C649" s="117"/>
      <c r="D649" s="165"/>
      <c r="E649" s="166"/>
      <c r="F649" s="167"/>
      <c r="G649" s="168"/>
      <c r="H649" s="169"/>
      <c r="I649" s="167"/>
      <c r="J649" s="170"/>
      <c r="K649" s="169"/>
      <c r="L649" s="171"/>
      <c r="M649" s="172"/>
    </row>
    <row r="650" spans="1:13" x14ac:dyDescent="0.25">
      <c r="A650" s="100" t="str">
        <f t="shared" si="96"/>
        <v>GENERAL SERVICE LESS THAN 50 KW SERVICE CLASSIFICATION</v>
      </c>
      <c r="B650" s="105" t="s">
        <v>117</v>
      </c>
      <c r="C650" s="117"/>
      <c r="D650" s="173" t="s">
        <v>183</v>
      </c>
      <c r="E650" s="158"/>
      <c r="F650" s="174"/>
      <c r="G650" s="175"/>
      <c r="H650" s="176">
        <f>SUM(H640:H646,H639)</f>
        <v>86.056319999999999</v>
      </c>
      <c r="I650" s="177"/>
      <c r="J650" s="177"/>
      <c r="K650" s="176">
        <f>SUM(K640:K646,K639)</f>
        <v>84.229520000000008</v>
      </c>
      <c r="L650" s="178">
        <f>K650-H650</f>
        <v>-1.8267999999999915</v>
      </c>
      <c r="M650" s="179">
        <f>IF((H650)=0,"",(L650/H650))</f>
        <v>-2.1227958620586979E-2</v>
      </c>
    </row>
    <row r="651" spans="1:13" x14ac:dyDescent="0.25">
      <c r="A651" s="100" t="str">
        <f t="shared" si="96"/>
        <v>GENERAL SERVICE LESS THAN 50 KW SERVICE CLASSIFICATION</v>
      </c>
      <c r="B651" s="105" t="s">
        <v>117</v>
      </c>
      <c r="C651" s="117"/>
      <c r="D651" s="180" t="s">
        <v>184</v>
      </c>
      <c r="E651" s="158"/>
      <c r="F651" s="174">
        <v>0.13</v>
      </c>
      <c r="G651" s="181"/>
      <c r="H651" s="182">
        <f>H650*F651</f>
        <v>11.187321600000001</v>
      </c>
      <c r="I651" s="183">
        <v>0.13</v>
      </c>
      <c r="J651" s="121"/>
      <c r="K651" s="182">
        <f>K650*I651</f>
        <v>10.949837600000002</v>
      </c>
      <c r="L651" s="184">
        <f>K651-H651</f>
        <v>-0.23748399999999847</v>
      </c>
      <c r="M651" s="185">
        <f>IF((H651)=0,"",(L651/H651))</f>
        <v>-2.1227958620586938E-2</v>
      </c>
    </row>
    <row r="652" spans="1:13" x14ac:dyDescent="0.25">
      <c r="A652" s="100" t="str">
        <f t="shared" si="96"/>
        <v>GENERAL SERVICE LESS THAN 50 KW SERVICE CLASSIFICATION</v>
      </c>
      <c r="B652" s="105" t="s">
        <v>117</v>
      </c>
      <c r="C652" s="117"/>
      <c r="D652" s="180" t="s">
        <v>185</v>
      </c>
      <c r="E652" s="158"/>
      <c r="F652" s="174">
        <v>0.08</v>
      </c>
      <c r="G652" s="181"/>
      <c r="H652" s="182">
        <f>H650*-F652</f>
        <v>-6.8845055999999998</v>
      </c>
      <c r="I652" s="174">
        <v>0.08</v>
      </c>
      <c r="J652" s="121"/>
      <c r="K652" s="182">
        <f>K650*-I652</f>
        <v>-6.7383616000000011</v>
      </c>
      <c r="L652" s="184">
        <f>K652-H652</f>
        <v>0.14614399999999872</v>
      </c>
      <c r="M652" s="185"/>
    </row>
    <row r="653" spans="1:13" ht="15.75" thickBot="1" x14ac:dyDescent="0.3">
      <c r="A653" s="100" t="str">
        <f t="shared" si="96"/>
        <v>GENERAL SERVICE LESS THAN 50 KW SERVICE CLASSIFICATION</v>
      </c>
      <c r="B653" s="105" t="s">
        <v>186</v>
      </c>
      <c r="C653" s="117">
        <f>B13</f>
        <v>11</v>
      </c>
      <c r="D653" s="301" t="s">
        <v>187</v>
      </c>
      <c r="E653" s="301"/>
      <c r="F653" s="186"/>
      <c r="G653" s="187"/>
      <c r="H653" s="188">
        <f>H650+H651+H652</f>
        <v>90.359136000000007</v>
      </c>
      <c r="I653" s="189"/>
      <c r="J653" s="189"/>
      <c r="K653" s="190">
        <f>K650+K651+K652</f>
        <v>88.440995999999998</v>
      </c>
      <c r="L653" s="191">
        <f>K653-H653</f>
        <v>-1.9181400000000082</v>
      </c>
      <c r="M653" s="192">
        <f>IF((H653)=0,"",(L653/H653))</f>
        <v>-2.1227958620587167E-2</v>
      </c>
    </row>
    <row r="654" spans="1:13" ht="15.75" hidden="1" thickBot="1" x14ac:dyDescent="0.3">
      <c r="A654" s="100" t="str">
        <f t="shared" si="96"/>
        <v>GENERAL SERVICE LESS THAN 50 KW SERVICE CLASSIFICATION</v>
      </c>
      <c r="B654" s="100" t="s">
        <v>117</v>
      </c>
      <c r="C654" s="117"/>
      <c r="D654" s="165"/>
      <c r="E654" s="166"/>
      <c r="F654" s="167"/>
      <c r="G654" s="168"/>
      <c r="H654" s="169"/>
      <c r="I654" s="167"/>
      <c r="J654" s="170"/>
      <c r="K654" s="169"/>
      <c r="L654" s="171"/>
      <c r="M654" s="172"/>
    </row>
    <row r="655" spans="1:13" hidden="1" x14ac:dyDescent="0.25">
      <c r="A655" s="100" t="str">
        <f t="shared" si="96"/>
        <v>GENERAL SERVICE LESS THAN 50 KW SERVICE CLASSIFICATION</v>
      </c>
      <c r="B655" s="100" t="s">
        <v>180</v>
      </c>
      <c r="C655" s="117"/>
      <c r="D655" s="173" t="s">
        <v>188</v>
      </c>
      <c r="E655" s="158"/>
      <c r="F655" s="174"/>
      <c r="G655" s="175"/>
      <c r="H655" s="176">
        <f>SUM(H647,H640:H643,H639)</f>
        <v>100.11132000000001</v>
      </c>
      <c r="I655" s="177"/>
      <c r="J655" s="177"/>
      <c r="K655" s="176">
        <f>SUM(K647,K640:K643,K639)</f>
        <v>98.284520000000015</v>
      </c>
      <c r="L655" s="178">
        <f>K655-H655</f>
        <v>-1.8267999999999915</v>
      </c>
      <c r="M655" s="179">
        <f>IF((H655)=0,"",(L655/H655))</f>
        <v>-1.8247686675193088E-2</v>
      </c>
    </row>
    <row r="656" spans="1:13" hidden="1" x14ac:dyDescent="0.25">
      <c r="A656" s="100" t="str">
        <f t="shared" si="96"/>
        <v>GENERAL SERVICE LESS THAN 50 KW SERVICE CLASSIFICATION</v>
      </c>
      <c r="B656" s="100" t="s">
        <v>180</v>
      </c>
      <c r="C656" s="117"/>
      <c r="D656" s="180" t="s">
        <v>184</v>
      </c>
      <c r="E656" s="158"/>
      <c r="F656" s="174">
        <v>0.13</v>
      </c>
      <c r="G656" s="175"/>
      <c r="H656" s="182">
        <f>H655*F656</f>
        <v>13.014471600000002</v>
      </c>
      <c r="I656" s="174">
        <v>0.13</v>
      </c>
      <c r="J656" s="183"/>
      <c r="K656" s="182">
        <f>K655*I656</f>
        <v>12.776987600000002</v>
      </c>
      <c r="L656" s="184">
        <f>K656-H656</f>
        <v>-0.23748400000000025</v>
      </c>
      <c r="M656" s="185">
        <f>IF((H656)=0,"",(L656/H656))</f>
        <v>-1.8247686675193192E-2</v>
      </c>
    </row>
    <row r="657" spans="1:13" hidden="1" x14ac:dyDescent="0.25">
      <c r="A657" s="100" t="str">
        <f t="shared" si="96"/>
        <v>GENERAL SERVICE LESS THAN 50 KW SERVICE CLASSIFICATION</v>
      </c>
      <c r="B657" s="100" t="s">
        <v>180</v>
      </c>
      <c r="C657" s="117"/>
      <c r="D657" s="180" t="s">
        <v>185</v>
      </c>
      <c r="E657" s="158"/>
      <c r="F657" s="174">
        <v>0.08</v>
      </c>
      <c r="G657" s="175"/>
      <c r="H657" s="182"/>
      <c r="I657" s="174">
        <v>0.08</v>
      </c>
      <c r="J657" s="183"/>
      <c r="K657" s="182"/>
      <c r="L657" s="184"/>
      <c r="M657" s="185"/>
    </row>
    <row r="658" spans="1:13" ht="15.75" hidden="1" thickBot="1" x14ac:dyDescent="0.3">
      <c r="A658" s="100" t="str">
        <f t="shared" si="96"/>
        <v>GENERAL SERVICE LESS THAN 50 KW SERVICE CLASSIFICATION</v>
      </c>
      <c r="B658" s="100" t="s">
        <v>189</v>
      </c>
      <c r="C658" s="117"/>
      <c r="D658" s="301" t="s">
        <v>188</v>
      </c>
      <c r="E658" s="301"/>
      <c r="F658" s="193"/>
      <c r="G658" s="194"/>
      <c r="H658" s="188">
        <f>SUM(H655,H656)</f>
        <v>113.12579160000001</v>
      </c>
      <c r="I658" s="195"/>
      <c r="J658" s="195"/>
      <c r="K658" s="188">
        <f>SUM(K655,K656)</f>
        <v>111.06150760000001</v>
      </c>
      <c r="L658" s="196">
        <f>K658-H658</f>
        <v>-2.0642840000000007</v>
      </c>
      <c r="M658" s="197">
        <f>IF((H658)=0,"",(L658/H658))</f>
        <v>-1.8247686675193178E-2</v>
      </c>
    </row>
    <row r="659" spans="1:13" ht="15.75" hidden="1" thickBot="1" x14ac:dyDescent="0.3">
      <c r="A659" s="100" t="str">
        <f t="shared" si="96"/>
        <v>GENERAL SERVICE LESS THAN 50 KW SERVICE CLASSIFICATION</v>
      </c>
      <c r="B659" s="100" t="s">
        <v>180</v>
      </c>
      <c r="C659" s="117"/>
      <c r="D659" s="165"/>
      <c r="E659" s="166"/>
      <c r="F659" s="198"/>
      <c r="G659" s="199"/>
      <c r="H659" s="200"/>
      <c r="I659" s="198"/>
      <c r="J659" s="168"/>
      <c r="K659" s="200"/>
      <c r="L659" s="201"/>
      <c r="M659" s="172"/>
    </row>
    <row r="660" spans="1:13" hidden="1" x14ac:dyDescent="0.25">
      <c r="A660" s="100" t="str">
        <f t="shared" si="96"/>
        <v>GENERAL SERVICE LESS THAN 50 KW SERVICE CLASSIFICATION</v>
      </c>
      <c r="B660" s="100" t="s">
        <v>121</v>
      </c>
      <c r="C660" s="117"/>
      <c r="D660" s="173" t="s">
        <v>190</v>
      </c>
      <c r="E660" s="158"/>
      <c r="F660" s="174"/>
      <c r="G660" s="175"/>
      <c r="H660" s="176">
        <f>SUM(H648,H640:H643,H639)</f>
        <v>100.11132000000001</v>
      </c>
      <c r="I660" s="177"/>
      <c r="J660" s="177"/>
      <c r="K660" s="176">
        <f>SUM(K648,K640:K643,K639)</f>
        <v>98.284520000000015</v>
      </c>
      <c r="L660" s="178">
        <f>K660-H660</f>
        <v>-1.8267999999999915</v>
      </c>
      <c r="M660" s="179">
        <f>IF((H660)=0,"",(L660/H660))</f>
        <v>-1.8247686675193088E-2</v>
      </c>
    </row>
    <row r="661" spans="1:13" hidden="1" x14ac:dyDescent="0.25">
      <c r="A661" s="100" t="str">
        <f t="shared" si="96"/>
        <v>GENERAL SERVICE LESS THAN 50 KW SERVICE CLASSIFICATION</v>
      </c>
      <c r="B661" s="100" t="s">
        <v>121</v>
      </c>
      <c r="C661" s="117"/>
      <c r="D661" s="180" t="s">
        <v>184</v>
      </c>
      <c r="E661" s="158"/>
      <c r="F661" s="174">
        <v>0.13</v>
      </c>
      <c r="G661" s="175"/>
      <c r="H661" s="182">
        <f>H660*F661</f>
        <v>13.014471600000002</v>
      </c>
      <c r="I661" s="174">
        <v>0.13</v>
      </c>
      <c r="J661" s="183"/>
      <c r="K661" s="182">
        <f>K660*I661</f>
        <v>12.776987600000002</v>
      </c>
      <c r="L661" s="184">
        <f>K661-H661</f>
        <v>-0.23748400000000025</v>
      </c>
      <c r="M661" s="185">
        <f>IF((H661)=0,"",(L661/H661))</f>
        <v>-1.8247686675193192E-2</v>
      </c>
    </row>
    <row r="662" spans="1:13" hidden="1" x14ac:dyDescent="0.25">
      <c r="A662" s="100" t="str">
        <f t="shared" si="96"/>
        <v>GENERAL SERVICE LESS THAN 50 KW SERVICE CLASSIFICATION</v>
      </c>
      <c r="B662" s="100" t="s">
        <v>121</v>
      </c>
      <c r="C662" s="117"/>
      <c r="D662" s="180" t="s">
        <v>185</v>
      </c>
      <c r="E662" s="158"/>
      <c r="F662" s="174">
        <v>0.08</v>
      </c>
      <c r="G662" s="175"/>
      <c r="H662" s="182"/>
      <c r="I662" s="174">
        <v>0.08</v>
      </c>
      <c r="J662" s="183"/>
      <c r="K662" s="182"/>
      <c r="L662" s="184"/>
      <c r="M662" s="185"/>
    </row>
    <row r="663" spans="1:13" ht="15.75" hidden="1" thickBot="1" x14ac:dyDescent="0.3">
      <c r="A663" s="100" t="str">
        <f t="shared" si="96"/>
        <v>GENERAL SERVICE LESS THAN 50 KW SERVICE CLASSIFICATION</v>
      </c>
      <c r="B663" s="100" t="s">
        <v>191</v>
      </c>
      <c r="C663" s="117"/>
      <c r="D663" s="301" t="s">
        <v>190</v>
      </c>
      <c r="E663" s="301"/>
      <c r="F663" s="193"/>
      <c r="G663" s="194"/>
      <c r="H663" s="188">
        <f>SUM(H660,H661)</f>
        <v>113.12579160000001</v>
      </c>
      <c r="I663" s="195"/>
      <c r="J663" s="195"/>
      <c r="K663" s="188">
        <f>SUM(K660,K661)</f>
        <v>111.06150760000001</v>
      </c>
      <c r="L663" s="196">
        <f>K663-H663</f>
        <v>-2.0642840000000007</v>
      </c>
      <c r="M663" s="197">
        <f>IF((H663)=0,"",(L663/H663))</f>
        <v>-1.8247686675193178E-2</v>
      </c>
    </row>
    <row r="664" spans="1:13" ht="15.75" thickBot="1" x14ac:dyDescent="0.3">
      <c r="A664" s="100" t="str">
        <f t="shared" si="96"/>
        <v>GENERAL SERVICE LESS THAN 50 KW SERVICE CLASSIFICATION</v>
      </c>
      <c r="B664" s="100" t="s">
        <v>121</v>
      </c>
      <c r="C664" s="117"/>
      <c r="D664" s="165"/>
      <c r="E664" s="166"/>
      <c r="F664" s="202"/>
      <c r="G664" s="203"/>
      <c r="H664" s="204"/>
      <c r="I664" s="202"/>
      <c r="J664" s="205"/>
      <c r="K664" s="204"/>
      <c r="L664" s="206"/>
      <c r="M664" s="207"/>
    </row>
    <row r="667" spans="1:13" x14ac:dyDescent="0.25">
      <c r="C667" s="100"/>
      <c r="D667" s="101" t="s">
        <v>134</v>
      </c>
      <c r="E667" s="302" t="str">
        <f>D14</f>
        <v>GENERAL SERVICE LESS THAN 50 KW SERVICE CLASSIFICATION</v>
      </c>
      <c r="F667" s="302"/>
      <c r="G667" s="302"/>
      <c r="H667" s="302"/>
      <c r="I667" s="302"/>
      <c r="J667" s="302"/>
      <c r="K667" s="100" t="str">
        <f>IF(N14="DEMAND - INTERVAL","RTSR - INTERVAL METERED","")</f>
        <v/>
      </c>
    </row>
    <row r="668" spans="1:13" x14ac:dyDescent="0.25">
      <c r="C668" s="100"/>
      <c r="D668" s="101" t="s">
        <v>135</v>
      </c>
      <c r="E668" s="303" t="str">
        <f>H14</f>
        <v>RPP</v>
      </c>
      <c r="F668" s="303"/>
      <c r="G668" s="303"/>
      <c r="H668" s="102"/>
      <c r="I668" s="102"/>
    </row>
    <row r="669" spans="1:13" ht="15.75" x14ac:dyDescent="0.25">
      <c r="C669" s="100"/>
      <c r="D669" s="101" t="s">
        <v>136</v>
      </c>
      <c r="E669" s="103">
        <f>K14</f>
        <v>5000</v>
      </c>
      <c r="F669" s="104" t="s">
        <v>137</v>
      </c>
      <c r="G669" s="105"/>
      <c r="J669" s="106"/>
      <c r="K669" s="106"/>
      <c r="L669" s="106"/>
      <c r="M669" s="106"/>
    </row>
    <row r="670" spans="1:13" ht="15.75" x14ac:dyDescent="0.25">
      <c r="C670" s="100"/>
      <c r="D670" s="101" t="s">
        <v>138</v>
      </c>
      <c r="E670" s="103">
        <f>L14</f>
        <v>0</v>
      </c>
      <c r="F670" s="107" t="s">
        <v>139</v>
      </c>
      <c r="G670" s="108"/>
      <c r="H670" s="109"/>
      <c r="I670" s="109"/>
      <c r="J670" s="109"/>
    </row>
    <row r="671" spans="1:13" x14ac:dyDescent="0.25">
      <c r="C671" s="100"/>
      <c r="D671" s="101" t="s">
        <v>140</v>
      </c>
      <c r="E671" s="110">
        <f>I14</f>
        <v>1.056</v>
      </c>
    </row>
    <row r="672" spans="1:13" x14ac:dyDescent="0.25">
      <c r="C672" s="100"/>
      <c r="D672" s="101" t="s">
        <v>141</v>
      </c>
      <c r="E672" s="110">
        <f>J14</f>
        <v>1.056</v>
      </c>
    </row>
    <row r="673" spans="1:13" x14ac:dyDescent="0.25">
      <c r="C673" s="100"/>
      <c r="D673" s="105"/>
    </row>
    <row r="674" spans="1:13" x14ac:dyDescent="0.25">
      <c r="C674" s="100"/>
      <c r="D674" s="105"/>
      <c r="E674" s="111"/>
      <c r="F674" s="304" t="s">
        <v>142</v>
      </c>
      <c r="G674" s="305"/>
      <c r="H674" s="306"/>
      <c r="I674" s="304" t="s">
        <v>143</v>
      </c>
      <c r="J674" s="305"/>
      <c r="K674" s="306"/>
      <c r="L674" s="304" t="s">
        <v>144</v>
      </c>
      <c r="M674" s="306"/>
    </row>
    <row r="675" spans="1:13" x14ac:dyDescent="0.25">
      <c r="C675" s="100"/>
      <c r="D675" s="105"/>
      <c r="E675" s="295"/>
      <c r="F675" s="112" t="s">
        <v>145</v>
      </c>
      <c r="G675" s="112" t="s">
        <v>146</v>
      </c>
      <c r="H675" s="113" t="s">
        <v>147</v>
      </c>
      <c r="I675" s="112" t="s">
        <v>145</v>
      </c>
      <c r="J675" s="114" t="s">
        <v>146</v>
      </c>
      <c r="K675" s="113" t="s">
        <v>147</v>
      </c>
      <c r="L675" s="297" t="s">
        <v>148</v>
      </c>
      <c r="M675" s="299" t="s">
        <v>149</v>
      </c>
    </row>
    <row r="676" spans="1:13" x14ac:dyDescent="0.25">
      <c r="C676" s="100"/>
      <c r="D676" s="105"/>
      <c r="E676" s="296"/>
      <c r="F676" s="115" t="s">
        <v>150</v>
      </c>
      <c r="G676" s="115"/>
      <c r="H676" s="116" t="s">
        <v>150</v>
      </c>
      <c r="I676" s="115" t="s">
        <v>150</v>
      </c>
      <c r="J676" s="116"/>
      <c r="K676" s="116" t="s">
        <v>150</v>
      </c>
      <c r="L676" s="298"/>
      <c r="M676" s="300"/>
    </row>
    <row r="677" spans="1:13" x14ac:dyDescent="0.25">
      <c r="A677" s="100" t="str">
        <f>$E667</f>
        <v>GENERAL SERVICE LESS THAN 50 KW SERVICE CLASSIFICATION</v>
      </c>
      <c r="C677" s="117"/>
      <c r="D677" s="118" t="s">
        <v>151</v>
      </c>
      <c r="E677" s="119"/>
      <c r="F677" s="120">
        <v>28.37</v>
      </c>
      <c r="G677" s="121">
        <v>1</v>
      </c>
      <c r="H677" s="122">
        <f>G677*F677</f>
        <v>28.37</v>
      </c>
      <c r="I677" s="123">
        <v>28.71</v>
      </c>
      <c r="J677" s="124">
        <f>G677</f>
        <v>1</v>
      </c>
      <c r="K677" s="122">
        <f>J677*I677</f>
        <v>28.71</v>
      </c>
      <c r="L677" s="125">
        <f t="shared" ref="L677:L698" si="101">K677-H677</f>
        <v>0.33999999999999986</v>
      </c>
      <c r="M677" s="126">
        <f>IF(ISERROR(L677/H677), "", L677/H677)</f>
        <v>1.198449065914698E-2</v>
      </c>
    </row>
    <row r="678" spans="1:13" x14ac:dyDescent="0.25">
      <c r="A678" s="100" t="str">
        <f>A677</f>
        <v>GENERAL SERVICE LESS THAN 50 KW SERVICE CLASSIFICATION</v>
      </c>
      <c r="C678" s="117"/>
      <c r="D678" s="118" t="s">
        <v>152</v>
      </c>
      <c r="E678" s="119"/>
      <c r="F678" s="127">
        <v>1.0200000000000001E-2</v>
      </c>
      <c r="G678" s="121">
        <f>IF($E670&gt;0, $E670, $E669)</f>
        <v>5000</v>
      </c>
      <c r="H678" s="122">
        <f t="shared" ref="H678:H690" si="102">G678*F678</f>
        <v>51.000000000000007</v>
      </c>
      <c r="I678" s="128">
        <v>1.03E-2</v>
      </c>
      <c r="J678" s="124">
        <f>IF($E670&gt;0, $E670, $E669)</f>
        <v>5000</v>
      </c>
      <c r="K678" s="122">
        <f>J678*I678</f>
        <v>51.5</v>
      </c>
      <c r="L678" s="125">
        <f t="shared" si="101"/>
        <v>0.49999999999999289</v>
      </c>
      <c r="M678" s="126">
        <f t="shared" ref="M678:M688" si="103">IF(ISERROR(L678/H678), "", L678/H678)</f>
        <v>9.8039215686273103E-3</v>
      </c>
    </row>
    <row r="679" spans="1:13" x14ac:dyDescent="0.25">
      <c r="A679" s="100" t="str">
        <f t="shared" ref="A679:A720" si="104">A678</f>
        <v>GENERAL SERVICE LESS THAN 50 KW SERVICE CLASSIFICATION</v>
      </c>
      <c r="C679" s="117"/>
      <c r="D679" s="118" t="s">
        <v>153</v>
      </c>
      <c r="E679" s="119"/>
      <c r="F679" s="127"/>
      <c r="G679" s="121">
        <f>IF($E670&gt;0, $E670, $E669)</f>
        <v>5000</v>
      </c>
      <c r="H679" s="122">
        <v>0</v>
      </c>
      <c r="I679" s="128"/>
      <c r="J679" s="124">
        <f>IF($E670&gt;0, $E670, $E669)</f>
        <v>5000</v>
      </c>
      <c r="K679" s="122">
        <v>0</v>
      </c>
      <c r="L679" s="125"/>
      <c r="M679" s="126"/>
    </row>
    <row r="680" spans="1:13" x14ac:dyDescent="0.25">
      <c r="A680" s="100" t="str">
        <f t="shared" si="104"/>
        <v>GENERAL SERVICE LESS THAN 50 KW SERVICE CLASSIFICATION</v>
      </c>
      <c r="C680" s="117"/>
      <c r="D680" s="118" t="s">
        <v>154</v>
      </c>
      <c r="E680" s="119"/>
      <c r="F680" s="127"/>
      <c r="G680" s="121">
        <f>IF($E670&gt;0, $E670, $E669)</f>
        <v>5000</v>
      </c>
      <c r="H680" s="122">
        <v>0</v>
      </c>
      <c r="I680" s="128"/>
      <c r="J680" s="121">
        <f>IF($E670&gt;0, $E670, $E669)</f>
        <v>5000</v>
      </c>
      <c r="K680" s="122">
        <v>0</v>
      </c>
      <c r="L680" s="125">
        <f>K680-H680</f>
        <v>0</v>
      </c>
      <c r="M680" s="126" t="str">
        <f>IF(ISERROR(L680/H680), "", L680/H680)</f>
        <v/>
      </c>
    </row>
    <row r="681" spans="1:13" x14ac:dyDescent="0.25">
      <c r="A681" s="100" t="str">
        <f t="shared" si="104"/>
        <v>GENERAL SERVICE LESS THAN 50 KW SERVICE CLASSIFICATION</v>
      </c>
      <c r="C681" s="117"/>
      <c r="D681" s="129" t="s">
        <v>155</v>
      </c>
      <c r="E681" s="119"/>
      <c r="F681" s="120">
        <v>0</v>
      </c>
      <c r="G681" s="121">
        <v>1</v>
      </c>
      <c r="H681" s="122">
        <f t="shared" si="102"/>
        <v>0</v>
      </c>
      <c r="I681" s="123">
        <v>0</v>
      </c>
      <c r="J681" s="124">
        <f>G681</f>
        <v>1</v>
      </c>
      <c r="K681" s="122">
        <f t="shared" ref="K681:K688" si="105">J681*I681</f>
        <v>0</v>
      </c>
      <c r="L681" s="125">
        <f t="shared" si="101"/>
        <v>0</v>
      </c>
      <c r="M681" s="126" t="str">
        <f t="shared" si="103"/>
        <v/>
      </c>
    </row>
    <row r="682" spans="1:13" x14ac:dyDescent="0.25">
      <c r="A682" s="100" t="str">
        <f t="shared" si="104"/>
        <v>GENERAL SERVICE LESS THAN 50 KW SERVICE CLASSIFICATION</v>
      </c>
      <c r="C682" s="117"/>
      <c r="D682" s="118" t="s">
        <v>156</v>
      </c>
      <c r="E682" s="119"/>
      <c r="F682" s="127">
        <v>0</v>
      </c>
      <c r="G682" s="121">
        <f>IF($E670&gt;0, $E670, $E669)</f>
        <v>5000</v>
      </c>
      <c r="H682" s="122">
        <f t="shared" si="102"/>
        <v>0</v>
      </c>
      <c r="I682" s="128">
        <v>0</v>
      </c>
      <c r="J682" s="124">
        <f>IF($E670&gt;0, $E670, $E669)</f>
        <v>5000</v>
      </c>
      <c r="K682" s="122">
        <f t="shared" si="105"/>
        <v>0</v>
      </c>
      <c r="L682" s="125">
        <f t="shared" si="101"/>
        <v>0</v>
      </c>
      <c r="M682" s="126" t="str">
        <f t="shared" si="103"/>
        <v/>
      </c>
    </row>
    <row r="683" spans="1:13" x14ac:dyDescent="0.25">
      <c r="A683" s="100" t="str">
        <f t="shared" si="104"/>
        <v>GENERAL SERVICE LESS THAN 50 KW SERVICE CLASSIFICATION</v>
      </c>
      <c r="B683" s="130" t="s">
        <v>157</v>
      </c>
      <c r="C683" s="117">
        <f>B14</f>
        <v>12</v>
      </c>
      <c r="D683" s="131" t="s">
        <v>158</v>
      </c>
      <c r="E683" s="132"/>
      <c r="F683" s="133"/>
      <c r="G683" s="134"/>
      <c r="H683" s="135">
        <f>SUM(H677:H682)</f>
        <v>79.37</v>
      </c>
      <c r="I683" s="136"/>
      <c r="J683" s="137"/>
      <c r="K683" s="135">
        <f>SUM(K677:K682)</f>
        <v>80.210000000000008</v>
      </c>
      <c r="L683" s="138">
        <f t="shared" si="101"/>
        <v>0.84000000000000341</v>
      </c>
      <c r="M683" s="139">
        <f>IF((H683)=0,"",(L683/H683))</f>
        <v>1.0583343832682416E-2</v>
      </c>
    </row>
    <row r="684" spans="1:13" x14ac:dyDescent="0.25">
      <c r="A684" s="100" t="str">
        <f t="shared" si="104"/>
        <v>GENERAL SERVICE LESS THAN 50 KW SERVICE CLASSIFICATION</v>
      </c>
      <c r="C684" s="117"/>
      <c r="D684" s="140" t="s">
        <v>159</v>
      </c>
      <c r="E684" s="119"/>
      <c r="F684" s="127">
        <f>IF((E669*12&gt;=150000), 0, IF(E668="RPP",(F700*0.65+F701*0.17+F702*0.18),IF(E668="Non-RPP (Retailer)",F703,F704)))</f>
        <v>8.1990000000000007E-2</v>
      </c>
      <c r="G684" s="141">
        <f>IF(F684=0, 0, $E669*E671-E669)</f>
        <v>280</v>
      </c>
      <c r="H684" s="122">
        <f>G684*F684</f>
        <v>22.9572</v>
      </c>
      <c r="I684" s="128">
        <f>IF((E669*12&gt;=150000), 0, IF(E668="RPP",(I700*0.65+I701*0.17+I702*0.18),IF(E668="Non-RPP (Retailer)",I703,I704)))</f>
        <v>8.1990000000000007E-2</v>
      </c>
      <c r="J684" s="141">
        <f>IF(I684=0, 0, E669*E672-E669)</f>
        <v>280</v>
      </c>
      <c r="K684" s="122">
        <f>J684*I684</f>
        <v>22.9572</v>
      </c>
      <c r="L684" s="125">
        <f>K684-H684</f>
        <v>0</v>
      </c>
      <c r="M684" s="126">
        <f>IF(ISERROR(L684/H684), "", L684/H684)</f>
        <v>0</v>
      </c>
    </row>
    <row r="685" spans="1:13" ht="25.5" x14ac:dyDescent="0.25">
      <c r="A685" s="100" t="str">
        <f t="shared" si="104"/>
        <v>GENERAL SERVICE LESS THAN 50 KW SERVICE CLASSIFICATION</v>
      </c>
      <c r="C685" s="117"/>
      <c r="D685" s="140" t="s">
        <v>160</v>
      </c>
      <c r="E685" s="119"/>
      <c r="F685" s="127">
        <v>-1.4E-3</v>
      </c>
      <c r="G685" s="142">
        <f>IF($E670&gt;0, $E670, $E669)</f>
        <v>5000</v>
      </c>
      <c r="H685" s="122">
        <f t="shared" si="102"/>
        <v>-7</v>
      </c>
      <c r="I685" s="128">
        <v>-5.3E-3</v>
      </c>
      <c r="J685" s="142">
        <f>IF($E670&gt;0, $E670, $E669)</f>
        <v>5000</v>
      </c>
      <c r="K685" s="122">
        <f t="shared" si="105"/>
        <v>-26.5</v>
      </c>
      <c r="L685" s="125">
        <f t="shared" si="101"/>
        <v>-19.5</v>
      </c>
      <c r="M685" s="126">
        <f t="shared" si="103"/>
        <v>2.7857142857142856</v>
      </c>
    </row>
    <row r="686" spans="1:13" x14ac:dyDescent="0.25">
      <c r="A686" s="100" t="str">
        <f t="shared" si="104"/>
        <v>GENERAL SERVICE LESS THAN 50 KW SERVICE CLASSIFICATION</v>
      </c>
      <c r="C686" s="117"/>
      <c r="D686" s="140" t="s">
        <v>161</v>
      </c>
      <c r="E686" s="119"/>
      <c r="F686" s="127">
        <v>-1E-4</v>
      </c>
      <c r="G686" s="142">
        <f>IF($E670&gt;0, $E670, $E669)</f>
        <v>5000</v>
      </c>
      <c r="H686" s="122">
        <f>G686*F686</f>
        <v>-0.5</v>
      </c>
      <c r="I686" s="128">
        <v>0</v>
      </c>
      <c r="J686" s="142">
        <f>IF($E670&gt;0, $E670, $E669)</f>
        <v>5000</v>
      </c>
      <c r="K686" s="122">
        <f>J686*I686</f>
        <v>0</v>
      </c>
      <c r="L686" s="125">
        <f t="shared" si="101"/>
        <v>0.5</v>
      </c>
      <c r="M686" s="126">
        <f t="shared" si="103"/>
        <v>-1</v>
      </c>
    </row>
    <row r="687" spans="1:13" x14ac:dyDescent="0.25">
      <c r="A687" s="100" t="str">
        <f t="shared" si="104"/>
        <v>GENERAL SERVICE LESS THAN 50 KW SERVICE CLASSIFICATION</v>
      </c>
      <c r="C687" s="117"/>
      <c r="D687" s="140" t="s">
        <v>162</v>
      </c>
      <c r="E687" s="119"/>
      <c r="F687" s="127">
        <v>0</v>
      </c>
      <c r="G687" s="142">
        <f>E669</f>
        <v>5000</v>
      </c>
      <c r="H687" s="122">
        <f>G687*F687</f>
        <v>0</v>
      </c>
      <c r="I687" s="128">
        <v>0</v>
      </c>
      <c r="J687" s="142">
        <f>E669</f>
        <v>5000</v>
      </c>
      <c r="K687" s="122">
        <f t="shared" si="105"/>
        <v>0</v>
      </c>
      <c r="L687" s="125">
        <f t="shared" si="101"/>
        <v>0</v>
      </c>
      <c r="M687" s="126" t="str">
        <f t="shared" si="103"/>
        <v/>
      </c>
    </row>
    <row r="688" spans="1:13" x14ac:dyDescent="0.25">
      <c r="A688" s="100" t="str">
        <f t="shared" si="104"/>
        <v>GENERAL SERVICE LESS THAN 50 KW SERVICE CLASSIFICATION</v>
      </c>
      <c r="C688" s="117"/>
      <c r="D688" s="143" t="s">
        <v>163</v>
      </c>
      <c r="E688" s="119"/>
      <c r="F688" s="127">
        <v>2.3999999999999998E-3</v>
      </c>
      <c r="G688" s="142">
        <f>IF($E670&gt;0, $E670, $E669)</f>
        <v>5000</v>
      </c>
      <c r="H688" s="122">
        <f t="shared" si="102"/>
        <v>11.999999999999998</v>
      </c>
      <c r="I688" s="128">
        <v>2.3999999999999998E-3</v>
      </c>
      <c r="J688" s="142">
        <f>IF($E670&gt;0, $E670, $E669)</f>
        <v>5000</v>
      </c>
      <c r="K688" s="122">
        <f t="shared" si="105"/>
        <v>11.999999999999998</v>
      </c>
      <c r="L688" s="125">
        <f t="shared" si="101"/>
        <v>0</v>
      </c>
      <c r="M688" s="126">
        <f t="shared" si="103"/>
        <v>0</v>
      </c>
    </row>
    <row r="689" spans="1:13" ht="25.5" x14ac:dyDescent="0.25">
      <c r="A689" s="100" t="str">
        <f t="shared" si="104"/>
        <v>GENERAL SERVICE LESS THAN 50 KW SERVICE CLASSIFICATION</v>
      </c>
      <c r="C689" s="117"/>
      <c r="D689" s="144" t="s">
        <v>164</v>
      </c>
      <c r="E689" s="119"/>
      <c r="F689" s="145">
        <f>IF(OR(ISNUMBER(SEARCH("RESIDENTIAL", E667))=TRUE, ISNUMBER(SEARCH("GENERAL SERVICE LESS THAN 50", E667))=TRUE), SME, 0)</f>
        <v>0.56999999999999995</v>
      </c>
      <c r="G689" s="121">
        <v>1</v>
      </c>
      <c r="H689" s="122">
        <f>G689*F689</f>
        <v>0.56999999999999995</v>
      </c>
      <c r="I689" s="146">
        <f>IF(OR(ISNUMBER(SEARCH("RESIDENTIAL", E667))=TRUE, ISNUMBER(SEARCH("GENERAL SERVICE LESS THAN 50", E667))=TRUE), SME, 0)</f>
        <v>0.56999999999999995</v>
      </c>
      <c r="J689" s="121">
        <v>1</v>
      </c>
      <c r="K689" s="122">
        <f>J689*I689</f>
        <v>0.56999999999999995</v>
      </c>
      <c r="L689" s="125">
        <f t="shared" si="101"/>
        <v>0</v>
      </c>
      <c r="M689" s="126">
        <f>IF(ISERROR(L689/H689), "", L689/H689)</f>
        <v>0</v>
      </c>
    </row>
    <row r="690" spans="1:13" x14ac:dyDescent="0.25">
      <c r="A690" s="100" t="str">
        <f t="shared" si="104"/>
        <v>GENERAL SERVICE LESS THAN 50 KW SERVICE CLASSIFICATION</v>
      </c>
      <c r="C690" s="117"/>
      <c r="D690" s="143" t="s">
        <v>165</v>
      </c>
      <c r="E690" s="119"/>
      <c r="F690" s="120">
        <v>0</v>
      </c>
      <c r="G690" s="121">
        <v>1</v>
      </c>
      <c r="H690" s="122">
        <f t="shared" si="102"/>
        <v>0</v>
      </c>
      <c r="I690" s="123">
        <v>0</v>
      </c>
      <c r="J690" s="121">
        <v>1</v>
      </c>
      <c r="K690" s="122">
        <f>J690*I690</f>
        <v>0</v>
      </c>
      <c r="L690" s="125">
        <f>K690-H690</f>
        <v>0</v>
      </c>
      <c r="M690" s="126" t="str">
        <f>IF(ISERROR(L690/H690), "", L690/H690)</f>
        <v/>
      </c>
    </row>
    <row r="691" spans="1:13" x14ac:dyDescent="0.25">
      <c r="A691" s="100" t="str">
        <f t="shared" si="104"/>
        <v>GENERAL SERVICE LESS THAN 50 KW SERVICE CLASSIFICATION</v>
      </c>
      <c r="C691" s="117"/>
      <c r="D691" s="143" t="s">
        <v>166</v>
      </c>
      <c r="E691" s="119"/>
      <c r="F691" s="127"/>
      <c r="G691" s="142">
        <f>IF($E670&gt;0, $E670, $E669)</f>
        <v>5000</v>
      </c>
      <c r="H691" s="122">
        <f>G691*F691</f>
        <v>0</v>
      </c>
      <c r="I691" s="128">
        <v>0</v>
      </c>
      <c r="J691" s="142">
        <f>IF($E670&gt;0, $E670, $E669)</f>
        <v>5000</v>
      </c>
      <c r="K691" s="122">
        <f>J691*I691</f>
        <v>0</v>
      </c>
      <c r="L691" s="125">
        <f t="shared" si="101"/>
        <v>0</v>
      </c>
      <c r="M691" s="126" t="str">
        <f>IF(ISERROR(L691/H691), "", L691/H691)</f>
        <v/>
      </c>
    </row>
    <row r="692" spans="1:13" ht="25.5" x14ac:dyDescent="0.25">
      <c r="A692" s="100" t="str">
        <f t="shared" si="104"/>
        <v>GENERAL SERVICE LESS THAN 50 KW SERVICE CLASSIFICATION</v>
      </c>
      <c r="B692" s="105" t="s">
        <v>167</v>
      </c>
      <c r="C692" s="117">
        <f>B14</f>
        <v>12</v>
      </c>
      <c r="D692" s="147" t="s">
        <v>168</v>
      </c>
      <c r="E692" s="148"/>
      <c r="F692" s="149"/>
      <c r="G692" s="150"/>
      <c r="H692" s="151">
        <f>SUM(H683:H691)</f>
        <v>107.3972</v>
      </c>
      <c r="I692" s="152"/>
      <c r="J692" s="153"/>
      <c r="K692" s="151">
        <f>SUM(K683:K691)</f>
        <v>89.237200000000001</v>
      </c>
      <c r="L692" s="138">
        <f t="shared" si="101"/>
        <v>-18.159999999999997</v>
      </c>
      <c r="M692" s="139">
        <f>IF((H692)=0,"",(L692/H692))</f>
        <v>-0.16909193163322692</v>
      </c>
    </row>
    <row r="693" spans="1:13" x14ac:dyDescent="0.25">
      <c r="A693" s="100" t="str">
        <f t="shared" si="104"/>
        <v>GENERAL SERVICE LESS THAN 50 KW SERVICE CLASSIFICATION</v>
      </c>
      <c r="C693" s="117"/>
      <c r="D693" s="154" t="s">
        <v>169</v>
      </c>
      <c r="E693" s="119"/>
      <c r="F693" s="127">
        <v>6.0000000000000001E-3</v>
      </c>
      <c r="G693" s="141">
        <f>IF($E670&gt;0, $E670, $E669*$E671)</f>
        <v>5280</v>
      </c>
      <c r="H693" s="122">
        <f>G693*F693</f>
        <v>31.68</v>
      </c>
      <c r="I693" s="128">
        <v>5.7000000000000002E-3</v>
      </c>
      <c r="J693" s="141">
        <f>IF($E670&gt;0, $E670, $E669*$E672)</f>
        <v>5280</v>
      </c>
      <c r="K693" s="122">
        <f>J693*I693</f>
        <v>30.096</v>
      </c>
      <c r="L693" s="125">
        <f t="shared" si="101"/>
        <v>-1.5839999999999996</v>
      </c>
      <c r="M693" s="126">
        <f>IF(ISERROR(L693/H693), "", L693/H693)</f>
        <v>-4.9999999999999989E-2</v>
      </c>
    </row>
    <row r="694" spans="1:13" ht="25.5" x14ac:dyDescent="0.25">
      <c r="A694" s="100" t="str">
        <f t="shared" si="104"/>
        <v>GENERAL SERVICE LESS THAN 50 KW SERVICE CLASSIFICATION</v>
      </c>
      <c r="C694" s="117"/>
      <c r="D694" s="155" t="s">
        <v>170</v>
      </c>
      <c r="E694" s="119"/>
      <c r="F694" s="127">
        <v>5.3E-3</v>
      </c>
      <c r="G694" s="141">
        <f>IF($E670&gt;0, $E670, $E669*$E671)</f>
        <v>5280</v>
      </c>
      <c r="H694" s="122">
        <f>G694*F694</f>
        <v>27.984000000000002</v>
      </c>
      <c r="I694" s="128">
        <v>5.0000000000000001E-3</v>
      </c>
      <c r="J694" s="141">
        <f>IF($E670&gt;0, $E670, $E669*$E672)</f>
        <v>5280</v>
      </c>
      <c r="K694" s="122">
        <f>J694*I694</f>
        <v>26.400000000000002</v>
      </c>
      <c r="L694" s="125">
        <f t="shared" si="101"/>
        <v>-1.5839999999999996</v>
      </c>
      <c r="M694" s="126">
        <f>IF(ISERROR(L694/H694), "", L694/H694)</f>
        <v>-5.6603773584905641E-2</v>
      </c>
    </row>
    <row r="695" spans="1:13" ht="25.5" x14ac:dyDescent="0.25">
      <c r="A695" s="100" t="str">
        <f t="shared" si="104"/>
        <v>GENERAL SERVICE LESS THAN 50 KW SERVICE CLASSIFICATION</v>
      </c>
      <c r="B695" s="105" t="s">
        <v>171</v>
      </c>
      <c r="C695" s="117">
        <f>B14</f>
        <v>12</v>
      </c>
      <c r="D695" s="147" t="s">
        <v>172</v>
      </c>
      <c r="E695" s="132"/>
      <c r="F695" s="149"/>
      <c r="G695" s="150"/>
      <c r="H695" s="151">
        <f>SUM(H692:H694)</f>
        <v>167.06120000000001</v>
      </c>
      <c r="I695" s="152"/>
      <c r="J695" s="137"/>
      <c r="K695" s="151">
        <f>SUM(K692:K694)</f>
        <v>145.73320000000001</v>
      </c>
      <c r="L695" s="138">
        <f t="shared" si="101"/>
        <v>-21.328000000000003</v>
      </c>
      <c r="M695" s="139">
        <f>IF((H695)=0,"",(L695/H695))</f>
        <v>-0.12766578954299385</v>
      </c>
    </row>
    <row r="696" spans="1:13" ht="25.5" x14ac:dyDescent="0.25">
      <c r="A696" s="100" t="str">
        <f t="shared" si="104"/>
        <v>GENERAL SERVICE LESS THAN 50 KW SERVICE CLASSIFICATION</v>
      </c>
      <c r="C696" s="117"/>
      <c r="D696" s="156" t="s">
        <v>173</v>
      </c>
      <c r="E696" s="119"/>
      <c r="F696" s="127">
        <v>3.6000000000000003E-3</v>
      </c>
      <c r="G696" s="141">
        <f>E669*E671</f>
        <v>5280</v>
      </c>
      <c r="H696" s="157">
        <f t="shared" ref="H696:H702" si="106">G696*F696</f>
        <v>19.008000000000003</v>
      </c>
      <c r="I696" s="128">
        <v>3.6000000000000003E-3</v>
      </c>
      <c r="J696" s="141">
        <f>E669*E672</f>
        <v>5280</v>
      </c>
      <c r="K696" s="157">
        <f t="shared" ref="K696:K702" si="107">J696*I696</f>
        <v>19.008000000000003</v>
      </c>
      <c r="L696" s="125">
        <f t="shared" si="101"/>
        <v>0</v>
      </c>
      <c r="M696" s="126">
        <f t="shared" ref="M696:M704" si="108">IF(ISERROR(L696/H696), "", L696/H696)</f>
        <v>0</v>
      </c>
    </row>
    <row r="697" spans="1:13" ht="25.5" x14ac:dyDescent="0.25">
      <c r="A697" s="100" t="str">
        <f t="shared" si="104"/>
        <v>GENERAL SERVICE LESS THAN 50 KW SERVICE CLASSIFICATION</v>
      </c>
      <c r="C697" s="117"/>
      <c r="D697" s="156" t="s">
        <v>174</v>
      </c>
      <c r="E697" s="119"/>
      <c r="F697" s="127">
        <f>'[1]17. Regulatory Charges'!$D$16</f>
        <v>2.9999999999999997E-4</v>
      </c>
      <c r="G697" s="141">
        <f>E669*E671</f>
        <v>5280</v>
      </c>
      <c r="H697" s="157">
        <f t="shared" si="106"/>
        <v>1.5839999999999999</v>
      </c>
      <c r="I697" s="128">
        <v>2.9999999999999997E-4</v>
      </c>
      <c r="J697" s="141">
        <f>E669*E672</f>
        <v>5280</v>
      </c>
      <c r="K697" s="157">
        <f t="shared" si="107"/>
        <v>1.5839999999999999</v>
      </c>
      <c r="L697" s="125">
        <f t="shared" si="101"/>
        <v>0</v>
      </c>
      <c r="M697" s="126">
        <f t="shared" si="108"/>
        <v>0</v>
      </c>
    </row>
    <row r="698" spans="1:13" x14ac:dyDescent="0.25">
      <c r="A698" s="100" t="str">
        <f t="shared" si="104"/>
        <v>GENERAL SERVICE LESS THAN 50 KW SERVICE CLASSIFICATION</v>
      </c>
      <c r="C698" s="117"/>
      <c r="D698" s="158" t="s">
        <v>175</v>
      </c>
      <c r="E698" s="119"/>
      <c r="F698" s="145">
        <v>0.25</v>
      </c>
      <c r="G698" s="121">
        <v>1</v>
      </c>
      <c r="H698" s="157">
        <f t="shared" si="106"/>
        <v>0.25</v>
      </c>
      <c r="I698" s="146">
        <f>'[1]17. Regulatory Charges'!$D$17</f>
        <v>0.25</v>
      </c>
      <c r="J698" s="124">
        <v>1</v>
      </c>
      <c r="K698" s="157">
        <f t="shared" si="107"/>
        <v>0.25</v>
      </c>
      <c r="L698" s="125">
        <f t="shared" si="101"/>
        <v>0</v>
      </c>
      <c r="M698" s="126">
        <f t="shared" si="108"/>
        <v>0</v>
      </c>
    </row>
    <row r="699" spans="1:13" ht="25.5" x14ac:dyDescent="0.25">
      <c r="A699" s="100" t="str">
        <f t="shared" si="104"/>
        <v>GENERAL SERVICE LESS THAN 50 KW SERVICE CLASSIFICATION</v>
      </c>
      <c r="C699" s="117"/>
      <c r="D699" s="156" t="s">
        <v>176</v>
      </c>
      <c r="E699" s="119"/>
      <c r="F699" s="127"/>
      <c r="G699" s="141"/>
      <c r="H699" s="157"/>
      <c r="I699" s="128"/>
      <c r="J699" s="141"/>
      <c r="K699" s="157"/>
      <c r="L699" s="125"/>
      <c r="M699" s="126"/>
    </row>
    <row r="700" spans="1:13" x14ac:dyDescent="0.25">
      <c r="A700" s="100" t="str">
        <f t="shared" si="104"/>
        <v>GENERAL SERVICE LESS THAN 50 KW SERVICE CLASSIFICATION</v>
      </c>
      <c r="B700" s="105" t="s">
        <v>117</v>
      </c>
      <c r="C700" s="117"/>
      <c r="D700" s="159" t="s">
        <v>177</v>
      </c>
      <c r="E700" s="119"/>
      <c r="F700" s="160">
        <f>OffPeak</f>
        <v>6.5000000000000002E-2</v>
      </c>
      <c r="G700" s="161">
        <f>IF(AND(E669*12&gt;=150000),0.65*E669*E671,0.65*E669)</f>
        <v>3250</v>
      </c>
      <c r="H700" s="157">
        <f t="shared" si="106"/>
        <v>211.25</v>
      </c>
      <c r="I700" s="162">
        <f>OffPeak</f>
        <v>6.5000000000000002E-2</v>
      </c>
      <c r="J700" s="161">
        <f>IF(AND(E669*12&gt;=150000),0.65*E669*E672,0.65*E669)</f>
        <v>3250</v>
      </c>
      <c r="K700" s="157">
        <f t="shared" si="107"/>
        <v>211.25</v>
      </c>
      <c r="L700" s="125">
        <f>K700-H700</f>
        <v>0</v>
      </c>
      <c r="M700" s="126">
        <f t="shared" si="108"/>
        <v>0</v>
      </c>
    </row>
    <row r="701" spans="1:13" x14ac:dyDescent="0.25">
      <c r="A701" s="100" t="str">
        <f t="shared" si="104"/>
        <v>GENERAL SERVICE LESS THAN 50 KW SERVICE CLASSIFICATION</v>
      </c>
      <c r="B701" s="105" t="s">
        <v>117</v>
      </c>
      <c r="C701" s="117"/>
      <c r="D701" s="159" t="s">
        <v>178</v>
      </c>
      <c r="E701" s="119"/>
      <c r="F701" s="160">
        <f>MidPeak</f>
        <v>9.4E-2</v>
      </c>
      <c r="G701" s="161">
        <f>IF(AND(E669*12&gt;=150000),0.17*E669*E671,0.17*E669)</f>
        <v>850.00000000000011</v>
      </c>
      <c r="H701" s="157">
        <f t="shared" si="106"/>
        <v>79.900000000000006</v>
      </c>
      <c r="I701" s="162">
        <f>MidPeak</f>
        <v>9.4E-2</v>
      </c>
      <c r="J701" s="161">
        <f>IF(AND(E669*12&gt;=150000),0.17*E669*E672,0.17*E669)</f>
        <v>850.00000000000011</v>
      </c>
      <c r="K701" s="157">
        <f t="shared" si="107"/>
        <v>79.900000000000006</v>
      </c>
      <c r="L701" s="125">
        <f>K701-H701</f>
        <v>0</v>
      </c>
      <c r="M701" s="126">
        <f t="shared" si="108"/>
        <v>0</v>
      </c>
    </row>
    <row r="702" spans="1:13" ht="15.75" thickBot="1" x14ac:dyDescent="0.3">
      <c r="A702" s="100" t="str">
        <f t="shared" si="104"/>
        <v>GENERAL SERVICE LESS THAN 50 KW SERVICE CLASSIFICATION</v>
      </c>
      <c r="B702" s="105" t="s">
        <v>117</v>
      </c>
      <c r="C702" s="117"/>
      <c r="D702" s="105" t="s">
        <v>179</v>
      </c>
      <c r="E702" s="119"/>
      <c r="F702" s="160">
        <f>OnPeak</f>
        <v>0.13200000000000001</v>
      </c>
      <c r="G702" s="161">
        <f>IF(AND(E669*12&gt;=150000),0.18*E669*E671,0.18*E669)</f>
        <v>900</v>
      </c>
      <c r="H702" s="157">
        <f t="shared" si="106"/>
        <v>118.80000000000001</v>
      </c>
      <c r="I702" s="162">
        <f>OnPeak</f>
        <v>0.13200000000000001</v>
      </c>
      <c r="J702" s="161">
        <f>IF(AND(E669*12&gt;=150000),0.18*E669*E672,0.18*E669)</f>
        <v>900</v>
      </c>
      <c r="K702" s="157">
        <f t="shared" si="107"/>
        <v>118.80000000000001</v>
      </c>
      <c r="L702" s="125">
        <f>K702-H702</f>
        <v>0</v>
      </c>
      <c r="M702" s="126">
        <f t="shared" si="108"/>
        <v>0</v>
      </c>
    </row>
    <row r="703" spans="1:13" hidden="1" x14ac:dyDescent="0.25">
      <c r="A703" s="100" t="str">
        <f t="shared" si="104"/>
        <v>GENERAL SERVICE LESS THAN 50 KW SERVICE CLASSIFICATION</v>
      </c>
      <c r="B703" s="100" t="s">
        <v>180</v>
      </c>
      <c r="C703" s="117"/>
      <c r="D703" s="159" t="s">
        <v>181</v>
      </c>
      <c r="E703" s="119"/>
      <c r="F703" s="163">
        <v>0.1101</v>
      </c>
      <c r="G703" s="161">
        <f>IF(AND(E669*12&gt;=150000),E669*E671,E669)</f>
        <v>5000</v>
      </c>
      <c r="H703" s="157">
        <f>G703*F703</f>
        <v>550.5</v>
      </c>
      <c r="I703" s="164">
        <f>F703</f>
        <v>0.1101</v>
      </c>
      <c r="J703" s="161">
        <f>IF(AND(E669*12&gt;=150000),E669*E672,E669)</f>
        <v>5000</v>
      </c>
      <c r="K703" s="157">
        <f>J703*I703</f>
        <v>550.5</v>
      </c>
      <c r="L703" s="125">
        <f>K703-H703</f>
        <v>0</v>
      </c>
      <c r="M703" s="126">
        <f t="shared" si="108"/>
        <v>0</v>
      </c>
    </row>
    <row r="704" spans="1:13" ht="15.75" hidden="1" thickBot="1" x14ac:dyDescent="0.3">
      <c r="A704" s="100" t="str">
        <f t="shared" si="104"/>
        <v>GENERAL SERVICE LESS THAN 50 KW SERVICE CLASSIFICATION</v>
      </c>
      <c r="B704" s="100" t="s">
        <v>121</v>
      </c>
      <c r="C704" s="117"/>
      <c r="D704" s="159" t="s">
        <v>182</v>
      </c>
      <c r="E704" s="119"/>
      <c r="F704" s="163">
        <v>0.1101</v>
      </c>
      <c r="G704" s="161">
        <f>IF(AND(E669*12&gt;=150000),E669*E671,E669)</f>
        <v>5000</v>
      </c>
      <c r="H704" s="157">
        <f>G704*F704</f>
        <v>550.5</v>
      </c>
      <c r="I704" s="164">
        <f>F704</f>
        <v>0.1101</v>
      </c>
      <c r="J704" s="161">
        <f>IF(AND(E669*12&gt;=150000),E669*E672,E669)</f>
        <v>5000</v>
      </c>
      <c r="K704" s="157">
        <f>J704*I704</f>
        <v>550.5</v>
      </c>
      <c r="L704" s="125">
        <f>K704-H704</f>
        <v>0</v>
      </c>
      <c r="M704" s="126">
        <f t="shared" si="108"/>
        <v>0</v>
      </c>
    </row>
    <row r="705" spans="1:13" ht="15.75" thickBot="1" x14ac:dyDescent="0.3">
      <c r="A705" s="100" t="str">
        <f t="shared" si="104"/>
        <v>GENERAL SERVICE LESS THAN 50 KW SERVICE CLASSIFICATION</v>
      </c>
      <c r="B705" s="105"/>
      <c r="C705" s="117"/>
      <c r="D705" s="165"/>
      <c r="E705" s="166"/>
      <c r="F705" s="167"/>
      <c r="G705" s="168"/>
      <c r="H705" s="169"/>
      <c r="I705" s="167"/>
      <c r="J705" s="170"/>
      <c r="K705" s="169"/>
      <c r="L705" s="171"/>
      <c r="M705" s="172"/>
    </row>
    <row r="706" spans="1:13" x14ac:dyDescent="0.25">
      <c r="A706" s="100" t="str">
        <f t="shared" si="104"/>
        <v>GENERAL SERVICE LESS THAN 50 KW SERVICE CLASSIFICATION</v>
      </c>
      <c r="B706" s="105" t="s">
        <v>117</v>
      </c>
      <c r="C706" s="117"/>
      <c r="D706" s="173" t="s">
        <v>183</v>
      </c>
      <c r="E706" s="158"/>
      <c r="F706" s="174"/>
      <c r="G706" s="175"/>
      <c r="H706" s="176">
        <f>SUM(H696:H702,H695)</f>
        <v>597.85320000000002</v>
      </c>
      <c r="I706" s="177"/>
      <c r="J706" s="177"/>
      <c r="K706" s="176">
        <f>SUM(K696:K702,K695)</f>
        <v>576.52520000000004</v>
      </c>
      <c r="L706" s="178">
        <f>K706-H706</f>
        <v>-21.327999999999975</v>
      </c>
      <c r="M706" s="179">
        <f>IF((H706)=0,"",(L706/H706))</f>
        <v>-3.5674309345504841E-2</v>
      </c>
    </row>
    <row r="707" spans="1:13" x14ac:dyDescent="0.25">
      <c r="A707" s="100" t="str">
        <f t="shared" si="104"/>
        <v>GENERAL SERVICE LESS THAN 50 KW SERVICE CLASSIFICATION</v>
      </c>
      <c r="B707" s="105" t="s">
        <v>117</v>
      </c>
      <c r="C707" s="117"/>
      <c r="D707" s="180" t="s">
        <v>184</v>
      </c>
      <c r="E707" s="158"/>
      <c r="F707" s="174">
        <v>0.13</v>
      </c>
      <c r="G707" s="181"/>
      <c r="H707" s="182">
        <f>H706*F707</f>
        <v>77.720916000000003</v>
      </c>
      <c r="I707" s="183">
        <v>0.13</v>
      </c>
      <c r="J707" s="121"/>
      <c r="K707" s="182">
        <f>K706*I707</f>
        <v>74.948276000000007</v>
      </c>
      <c r="L707" s="184">
        <f>K707-H707</f>
        <v>-2.7726399999999956</v>
      </c>
      <c r="M707" s="185">
        <f>IF((H707)=0,"",(L707/H707))</f>
        <v>-3.5674309345504827E-2</v>
      </c>
    </row>
    <row r="708" spans="1:13" x14ac:dyDescent="0.25">
      <c r="A708" s="100" t="str">
        <f t="shared" si="104"/>
        <v>GENERAL SERVICE LESS THAN 50 KW SERVICE CLASSIFICATION</v>
      </c>
      <c r="B708" s="105" t="s">
        <v>117</v>
      </c>
      <c r="C708" s="117"/>
      <c r="D708" s="180" t="s">
        <v>185</v>
      </c>
      <c r="E708" s="158"/>
      <c r="F708" s="174">
        <v>0.08</v>
      </c>
      <c r="G708" s="181"/>
      <c r="H708" s="182">
        <f>H706*-F708</f>
        <v>-47.828256000000003</v>
      </c>
      <c r="I708" s="174">
        <v>0.08</v>
      </c>
      <c r="J708" s="121"/>
      <c r="K708" s="182">
        <f>K706*-I708</f>
        <v>-46.122016000000002</v>
      </c>
      <c r="L708" s="184">
        <f>K708-H708</f>
        <v>1.7062400000000011</v>
      </c>
      <c r="M708" s="185"/>
    </row>
    <row r="709" spans="1:13" ht="15.75" thickBot="1" x14ac:dyDescent="0.3">
      <c r="A709" s="100" t="str">
        <f t="shared" si="104"/>
        <v>GENERAL SERVICE LESS THAN 50 KW SERVICE CLASSIFICATION</v>
      </c>
      <c r="B709" s="105" t="s">
        <v>186</v>
      </c>
      <c r="C709" s="117">
        <f>B14</f>
        <v>12</v>
      </c>
      <c r="D709" s="301" t="s">
        <v>187</v>
      </c>
      <c r="E709" s="301"/>
      <c r="F709" s="186"/>
      <c r="G709" s="187"/>
      <c r="H709" s="188">
        <f>H706+H707+H708</f>
        <v>627.74585999999999</v>
      </c>
      <c r="I709" s="189"/>
      <c r="J709" s="189"/>
      <c r="K709" s="190">
        <f>K706+K707+K708</f>
        <v>605.35145999999997</v>
      </c>
      <c r="L709" s="191">
        <f>K709-H709</f>
        <v>-22.394400000000019</v>
      </c>
      <c r="M709" s="192">
        <f>IF((H709)=0,"",(L709/H709))</f>
        <v>-3.5674309345504911E-2</v>
      </c>
    </row>
    <row r="710" spans="1:13" ht="15.75" hidden="1" thickBot="1" x14ac:dyDescent="0.3">
      <c r="A710" s="100" t="str">
        <f t="shared" si="104"/>
        <v>GENERAL SERVICE LESS THAN 50 KW SERVICE CLASSIFICATION</v>
      </c>
      <c r="B710" s="100" t="s">
        <v>117</v>
      </c>
      <c r="C710" s="117"/>
      <c r="D710" s="165"/>
      <c r="E710" s="166"/>
      <c r="F710" s="167"/>
      <c r="G710" s="168"/>
      <c r="H710" s="169"/>
      <c r="I710" s="167"/>
      <c r="J710" s="170"/>
      <c r="K710" s="169"/>
      <c r="L710" s="171"/>
      <c r="M710" s="172"/>
    </row>
    <row r="711" spans="1:13" hidden="1" x14ac:dyDescent="0.25">
      <c r="A711" s="100" t="str">
        <f t="shared" si="104"/>
        <v>GENERAL SERVICE LESS THAN 50 KW SERVICE CLASSIFICATION</v>
      </c>
      <c r="B711" s="100" t="s">
        <v>180</v>
      </c>
      <c r="C711" s="117"/>
      <c r="D711" s="173" t="s">
        <v>188</v>
      </c>
      <c r="E711" s="158"/>
      <c r="F711" s="174"/>
      <c r="G711" s="175"/>
      <c r="H711" s="176">
        <f>SUM(H703,H696:H699,H695)</f>
        <v>738.40319999999997</v>
      </c>
      <c r="I711" s="177"/>
      <c r="J711" s="177"/>
      <c r="K711" s="176">
        <f>SUM(K703,K696:K699,K695)</f>
        <v>717.0752</v>
      </c>
      <c r="L711" s="178">
        <f>K711-H711</f>
        <v>-21.327999999999975</v>
      </c>
      <c r="M711" s="179">
        <f>IF((H711)=0,"",(L711/H711))</f>
        <v>-2.8883948498598024E-2</v>
      </c>
    </row>
    <row r="712" spans="1:13" hidden="1" x14ac:dyDescent="0.25">
      <c r="A712" s="100" t="str">
        <f t="shared" si="104"/>
        <v>GENERAL SERVICE LESS THAN 50 KW SERVICE CLASSIFICATION</v>
      </c>
      <c r="B712" s="100" t="s">
        <v>180</v>
      </c>
      <c r="C712" s="117"/>
      <c r="D712" s="180" t="s">
        <v>184</v>
      </c>
      <c r="E712" s="158"/>
      <c r="F712" s="174">
        <v>0.13</v>
      </c>
      <c r="G712" s="175"/>
      <c r="H712" s="182">
        <f>H711*F712</f>
        <v>95.992416000000006</v>
      </c>
      <c r="I712" s="174">
        <v>0.13</v>
      </c>
      <c r="J712" s="183"/>
      <c r="K712" s="182">
        <f>K711*I712</f>
        <v>93.219775999999996</v>
      </c>
      <c r="L712" s="184">
        <f>K712-H712</f>
        <v>-2.7726400000000098</v>
      </c>
      <c r="M712" s="185">
        <f>IF((H712)=0,"",(L712/H712))</f>
        <v>-2.8883948498598155E-2</v>
      </c>
    </row>
    <row r="713" spans="1:13" hidden="1" x14ac:dyDescent="0.25">
      <c r="A713" s="100" t="str">
        <f t="shared" si="104"/>
        <v>GENERAL SERVICE LESS THAN 50 KW SERVICE CLASSIFICATION</v>
      </c>
      <c r="B713" s="100" t="s">
        <v>180</v>
      </c>
      <c r="C713" s="117"/>
      <c r="D713" s="180" t="s">
        <v>185</v>
      </c>
      <c r="E713" s="158"/>
      <c r="F713" s="174">
        <v>0.08</v>
      </c>
      <c r="G713" s="175"/>
      <c r="H713" s="182"/>
      <c r="I713" s="174">
        <v>0.08</v>
      </c>
      <c r="J713" s="183"/>
      <c r="K713" s="182"/>
      <c r="L713" s="184"/>
      <c r="M713" s="185"/>
    </row>
    <row r="714" spans="1:13" ht="15.75" hidden="1" thickBot="1" x14ac:dyDescent="0.3">
      <c r="A714" s="100" t="str">
        <f t="shared" si="104"/>
        <v>GENERAL SERVICE LESS THAN 50 KW SERVICE CLASSIFICATION</v>
      </c>
      <c r="B714" s="100" t="s">
        <v>189</v>
      </c>
      <c r="C714" s="117"/>
      <c r="D714" s="301" t="s">
        <v>188</v>
      </c>
      <c r="E714" s="301"/>
      <c r="F714" s="193"/>
      <c r="G714" s="194"/>
      <c r="H714" s="188">
        <f>SUM(H711,H712)</f>
        <v>834.39561600000002</v>
      </c>
      <c r="I714" s="195"/>
      <c r="J714" s="195"/>
      <c r="K714" s="188">
        <f>SUM(K711,K712)</f>
        <v>810.29497600000002</v>
      </c>
      <c r="L714" s="196">
        <f>K714-H714</f>
        <v>-24.100639999999999</v>
      </c>
      <c r="M714" s="197">
        <f>IF((H714)=0,"",(L714/H714))</f>
        <v>-2.8883948498598055E-2</v>
      </c>
    </row>
    <row r="715" spans="1:13" ht="15.75" hidden="1" thickBot="1" x14ac:dyDescent="0.3">
      <c r="A715" s="100" t="str">
        <f t="shared" si="104"/>
        <v>GENERAL SERVICE LESS THAN 50 KW SERVICE CLASSIFICATION</v>
      </c>
      <c r="B715" s="100" t="s">
        <v>180</v>
      </c>
      <c r="C715" s="117"/>
      <c r="D715" s="165"/>
      <c r="E715" s="166"/>
      <c r="F715" s="198"/>
      <c r="G715" s="199"/>
      <c r="H715" s="200"/>
      <c r="I715" s="198"/>
      <c r="J715" s="168"/>
      <c r="K715" s="200"/>
      <c r="L715" s="201"/>
      <c r="M715" s="172"/>
    </row>
    <row r="716" spans="1:13" hidden="1" x14ac:dyDescent="0.25">
      <c r="A716" s="100" t="str">
        <f t="shared" si="104"/>
        <v>GENERAL SERVICE LESS THAN 50 KW SERVICE CLASSIFICATION</v>
      </c>
      <c r="B716" s="100" t="s">
        <v>121</v>
      </c>
      <c r="C716" s="117"/>
      <c r="D716" s="173" t="s">
        <v>190</v>
      </c>
      <c r="E716" s="158"/>
      <c r="F716" s="174"/>
      <c r="G716" s="175"/>
      <c r="H716" s="176">
        <f>SUM(H704,H696:H699,H695)</f>
        <v>738.40319999999997</v>
      </c>
      <c r="I716" s="177"/>
      <c r="J716" s="177"/>
      <c r="K716" s="176">
        <f>SUM(K704,K696:K699,K695)</f>
        <v>717.0752</v>
      </c>
      <c r="L716" s="178">
        <f>K716-H716</f>
        <v>-21.327999999999975</v>
      </c>
      <c r="M716" s="179">
        <f>IF((H716)=0,"",(L716/H716))</f>
        <v>-2.8883948498598024E-2</v>
      </c>
    </row>
    <row r="717" spans="1:13" hidden="1" x14ac:dyDescent="0.25">
      <c r="A717" s="100" t="str">
        <f t="shared" si="104"/>
        <v>GENERAL SERVICE LESS THAN 50 KW SERVICE CLASSIFICATION</v>
      </c>
      <c r="B717" s="100" t="s">
        <v>121</v>
      </c>
      <c r="C717" s="117"/>
      <c r="D717" s="180" t="s">
        <v>184</v>
      </c>
      <c r="E717" s="158"/>
      <c r="F717" s="174">
        <v>0.13</v>
      </c>
      <c r="G717" s="175"/>
      <c r="H717" s="182">
        <f>H716*F717</f>
        <v>95.992416000000006</v>
      </c>
      <c r="I717" s="174">
        <v>0.13</v>
      </c>
      <c r="J717" s="183"/>
      <c r="K717" s="182">
        <f>K716*I717</f>
        <v>93.219775999999996</v>
      </c>
      <c r="L717" s="184">
        <f>K717-H717</f>
        <v>-2.7726400000000098</v>
      </c>
      <c r="M717" s="185">
        <f>IF((H717)=0,"",(L717/H717))</f>
        <v>-2.8883948498598155E-2</v>
      </c>
    </row>
    <row r="718" spans="1:13" hidden="1" x14ac:dyDescent="0.25">
      <c r="A718" s="100" t="str">
        <f t="shared" si="104"/>
        <v>GENERAL SERVICE LESS THAN 50 KW SERVICE CLASSIFICATION</v>
      </c>
      <c r="B718" s="100" t="s">
        <v>121</v>
      </c>
      <c r="C718" s="117"/>
      <c r="D718" s="180" t="s">
        <v>185</v>
      </c>
      <c r="E718" s="158"/>
      <c r="F718" s="174">
        <v>0.08</v>
      </c>
      <c r="G718" s="175"/>
      <c r="H718" s="182"/>
      <c r="I718" s="174">
        <v>0.08</v>
      </c>
      <c r="J718" s="183"/>
      <c r="K718" s="182"/>
      <c r="L718" s="184"/>
      <c r="M718" s="185"/>
    </row>
    <row r="719" spans="1:13" ht="15.75" hidden="1" thickBot="1" x14ac:dyDescent="0.3">
      <c r="A719" s="100" t="str">
        <f t="shared" si="104"/>
        <v>GENERAL SERVICE LESS THAN 50 KW SERVICE CLASSIFICATION</v>
      </c>
      <c r="B719" s="100" t="s">
        <v>191</v>
      </c>
      <c r="C719" s="117"/>
      <c r="D719" s="301" t="s">
        <v>190</v>
      </c>
      <c r="E719" s="301"/>
      <c r="F719" s="193"/>
      <c r="G719" s="194"/>
      <c r="H719" s="188">
        <f>SUM(H716,H717)</f>
        <v>834.39561600000002</v>
      </c>
      <c r="I719" s="195"/>
      <c r="J719" s="195"/>
      <c r="K719" s="188">
        <f>SUM(K716,K717)</f>
        <v>810.29497600000002</v>
      </c>
      <c r="L719" s="196">
        <f>K719-H719</f>
        <v>-24.100639999999999</v>
      </c>
      <c r="M719" s="197">
        <f>IF((H719)=0,"",(L719/H719))</f>
        <v>-2.8883948498598055E-2</v>
      </c>
    </row>
    <row r="720" spans="1:13" ht="15.75" thickBot="1" x14ac:dyDescent="0.3">
      <c r="A720" s="100" t="str">
        <f t="shared" si="104"/>
        <v>GENERAL SERVICE LESS THAN 50 KW SERVICE CLASSIFICATION</v>
      </c>
      <c r="B720" s="100" t="s">
        <v>121</v>
      </c>
      <c r="C720" s="117"/>
      <c r="D720" s="165"/>
      <c r="E720" s="166"/>
      <c r="F720" s="202"/>
      <c r="G720" s="203"/>
      <c r="H720" s="204"/>
      <c r="I720" s="202"/>
      <c r="J720" s="205"/>
      <c r="K720" s="204"/>
      <c r="L720" s="206"/>
      <c r="M720" s="207"/>
    </row>
    <row r="723" spans="1:13" x14ac:dyDescent="0.25">
      <c r="C723" s="100"/>
      <c r="D723" s="101" t="s">
        <v>134</v>
      </c>
      <c r="E723" s="302" t="str">
        <f>D15</f>
        <v>GENERAL SERVICE LESS THAN 50 KW SERVICE CLASSIFICATION</v>
      </c>
      <c r="F723" s="302"/>
      <c r="G723" s="302"/>
      <c r="H723" s="302"/>
      <c r="I723" s="302"/>
      <c r="J723" s="302"/>
      <c r="K723" s="100" t="str">
        <f>IF(N15="DEMAND - INTERVAL","RTSR - INTERVAL METERED","")</f>
        <v/>
      </c>
    </row>
    <row r="724" spans="1:13" x14ac:dyDescent="0.25">
      <c r="C724" s="100"/>
      <c r="D724" s="101" t="s">
        <v>135</v>
      </c>
      <c r="E724" s="303" t="str">
        <f>H15</f>
        <v>RPP</v>
      </c>
      <c r="F724" s="303"/>
      <c r="G724" s="303"/>
      <c r="H724" s="102"/>
      <c r="I724" s="102"/>
    </row>
    <row r="725" spans="1:13" ht="15.75" x14ac:dyDescent="0.25">
      <c r="C725" s="100"/>
      <c r="D725" s="101" t="s">
        <v>136</v>
      </c>
      <c r="E725" s="103">
        <f>K15</f>
        <v>15000</v>
      </c>
      <c r="F725" s="104" t="s">
        <v>137</v>
      </c>
      <c r="G725" s="105"/>
      <c r="J725" s="106"/>
      <c r="K725" s="106"/>
      <c r="L725" s="106"/>
      <c r="M725" s="106"/>
    </row>
    <row r="726" spans="1:13" ht="15.75" x14ac:dyDescent="0.25">
      <c r="C726" s="100"/>
      <c r="D726" s="101" t="s">
        <v>138</v>
      </c>
      <c r="E726" s="103">
        <f>L15</f>
        <v>0</v>
      </c>
      <c r="F726" s="107" t="s">
        <v>139</v>
      </c>
      <c r="G726" s="108"/>
      <c r="H726" s="109"/>
      <c r="I726" s="109"/>
      <c r="J726" s="109"/>
    </row>
    <row r="727" spans="1:13" x14ac:dyDescent="0.25">
      <c r="C727" s="100"/>
      <c r="D727" s="101" t="s">
        <v>140</v>
      </c>
      <c r="E727" s="110">
        <f>I15</f>
        <v>1.056</v>
      </c>
    </row>
    <row r="728" spans="1:13" x14ac:dyDescent="0.25">
      <c r="C728" s="100"/>
      <c r="D728" s="101" t="s">
        <v>141</v>
      </c>
      <c r="E728" s="110">
        <f>J15</f>
        <v>1.056</v>
      </c>
    </row>
    <row r="729" spans="1:13" x14ac:dyDescent="0.25">
      <c r="C729" s="100"/>
      <c r="D729" s="105"/>
    </row>
    <row r="730" spans="1:13" x14ac:dyDescent="0.25">
      <c r="C730" s="100"/>
      <c r="D730" s="105"/>
      <c r="E730" s="111"/>
      <c r="F730" s="304" t="s">
        <v>142</v>
      </c>
      <c r="G730" s="305"/>
      <c r="H730" s="306"/>
      <c r="I730" s="304" t="s">
        <v>143</v>
      </c>
      <c r="J730" s="305"/>
      <c r="K730" s="306"/>
      <c r="L730" s="304" t="s">
        <v>144</v>
      </c>
      <c r="M730" s="306"/>
    </row>
    <row r="731" spans="1:13" x14ac:dyDescent="0.25">
      <c r="C731" s="100"/>
      <c r="D731" s="105"/>
      <c r="E731" s="295"/>
      <c r="F731" s="112" t="s">
        <v>145</v>
      </c>
      <c r="G731" s="112" t="s">
        <v>146</v>
      </c>
      <c r="H731" s="113" t="s">
        <v>147</v>
      </c>
      <c r="I731" s="112" t="s">
        <v>145</v>
      </c>
      <c r="J731" s="114" t="s">
        <v>146</v>
      </c>
      <c r="K731" s="113" t="s">
        <v>147</v>
      </c>
      <c r="L731" s="297" t="s">
        <v>148</v>
      </c>
      <c r="M731" s="299" t="s">
        <v>149</v>
      </c>
    </row>
    <row r="732" spans="1:13" x14ac:dyDescent="0.25">
      <c r="C732" s="100"/>
      <c r="D732" s="105"/>
      <c r="E732" s="296"/>
      <c r="F732" s="115" t="s">
        <v>150</v>
      </c>
      <c r="G732" s="115"/>
      <c r="H732" s="116" t="s">
        <v>150</v>
      </c>
      <c r="I732" s="115" t="s">
        <v>150</v>
      </c>
      <c r="J732" s="116"/>
      <c r="K732" s="116" t="s">
        <v>150</v>
      </c>
      <c r="L732" s="298"/>
      <c r="M732" s="300"/>
    </row>
    <row r="733" spans="1:13" x14ac:dyDescent="0.25">
      <c r="A733" s="100" t="str">
        <f>$E723</f>
        <v>GENERAL SERVICE LESS THAN 50 KW SERVICE CLASSIFICATION</v>
      </c>
      <c r="C733" s="117"/>
      <c r="D733" s="118" t="s">
        <v>151</v>
      </c>
      <c r="E733" s="119"/>
      <c r="F733" s="120">
        <v>28.37</v>
      </c>
      <c r="G733" s="121">
        <v>1</v>
      </c>
      <c r="H733" s="122">
        <f>G733*F733</f>
        <v>28.37</v>
      </c>
      <c r="I733" s="123">
        <v>28.71</v>
      </c>
      <c r="J733" s="124">
        <f>G733</f>
        <v>1</v>
      </c>
      <c r="K733" s="122">
        <f>J733*I733</f>
        <v>28.71</v>
      </c>
      <c r="L733" s="125">
        <f t="shared" ref="L733:L754" si="109">K733-H733</f>
        <v>0.33999999999999986</v>
      </c>
      <c r="M733" s="126">
        <f>IF(ISERROR(L733/H733), "", L733/H733)</f>
        <v>1.198449065914698E-2</v>
      </c>
    </row>
    <row r="734" spans="1:13" x14ac:dyDescent="0.25">
      <c r="A734" s="100" t="str">
        <f>A733</f>
        <v>GENERAL SERVICE LESS THAN 50 KW SERVICE CLASSIFICATION</v>
      </c>
      <c r="C734" s="117"/>
      <c r="D734" s="118" t="s">
        <v>152</v>
      </c>
      <c r="E734" s="119"/>
      <c r="F734" s="127">
        <v>1.0200000000000001E-2</v>
      </c>
      <c r="G734" s="121">
        <f>IF($E726&gt;0, $E726, $E725)</f>
        <v>15000</v>
      </c>
      <c r="H734" s="122">
        <f t="shared" ref="H734:H746" si="110">G734*F734</f>
        <v>153</v>
      </c>
      <c r="I734" s="128">
        <v>1.03E-2</v>
      </c>
      <c r="J734" s="124">
        <f>IF($E726&gt;0, $E726, $E725)</f>
        <v>15000</v>
      </c>
      <c r="K734" s="122">
        <f>J734*I734</f>
        <v>154.5</v>
      </c>
      <c r="L734" s="125">
        <f t="shared" si="109"/>
        <v>1.5</v>
      </c>
      <c r="M734" s="126">
        <f t="shared" ref="M734:M744" si="111">IF(ISERROR(L734/H734), "", L734/H734)</f>
        <v>9.8039215686274508E-3</v>
      </c>
    </row>
    <row r="735" spans="1:13" x14ac:dyDescent="0.25">
      <c r="A735" s="100" t="str">
        <f t="shared" ref="A735:A776" si="112">A734</f>
        <v>GENERAL SERVICE LESS THAN 50 KW SERVICE CLASSIFICATION</v>
      </c>
      <c r="C735" s="117"/>
      <c r="D735" s="118" t="s">
        <v>153</v>
      </c>
      <c r="E735" s="119"/>
      <c r="F735" s="127"/>
      <c r="G735" s="121">
        <f>IF($E726&gt;0, $E726, $E725)</f>
        <v>15000</v>
      </c>
      <c r="H735" s="122">
        <v>0</v>
      </c>
      <c r="I735" s="128"/>
      <c r="J735" s="124">
        <f>IF($E726&gt;0, $E726, $E725)</f>
        <v>15000</v>
      </c>
      <c r="K735" s="122">
        <v>0</v>
      </c>
      <c r="L735" s="125"/>
      <c r="M735" s="126"/>
    </row>
    <row r="736" spans="1:13" x14ac:dyDescent="0.25">
      <c r="A736" s="100" t="str">
        <f t="shared" si="112"/>
        <v>GENERAL SERVICE LESS THAN 50 KW SERVICE CLASSIFICATION</v>
      </c>
      <c r="C736" s="117"/>
      <c r="D736" s="118" t="s">
        <v>154</v>
      </c>
      <c r="E736" s="119"/>
      <c r="F736" s="127"/>
      <c r="G736" s="121">
        <f>IF($E726&gt;0, $E726, $E725)</f>
        <v>15000</v>
      </c>
      <c r="H736" s="122">
        <v>0</v>
      </c>
      <c r="I736" s="128"/>
      <c r="J736" s="121">
        <f>IF($E726&gt;0, $E726, $E725)</f>
        <v>15000</v>
      </c>
      <c r="K736" s="122">
        <v>0</v>
      </c>
      <c r="L736" s="125">
        <f>K736-H736</f>
        <v>0</v>
      </c>
      <c r="M736" s="126" t="str">
        <f>IF(ISERROR(L736/H736), "", L736/H736)</f>
        <v/>
      </c>
    </row>
    <row r="737" spans="1:13" x14ac:dyDescent="0.25">
      <c r="A737" s="100" t="str">
        <f t="shared" si="112"/>
        <v>GENERAL SERVICE LESS THAN 50 KW SERVICE CLASSIFICATION</v>
      </c>
      <c r="C737" s="117"/>
      <c r="D737" s="129" t="s">
        <v>155</v>
      </c>
      <c r="E737" s="119"/>
      <c r="F737" s="120">
        <v>0</v>
      </c>
      <c r="G737" s="121">
        <v>1</v>
      </c>
      <c r="H737" s="122">
        <f t="shared" si="110"/>
        <v>0</v>
      </c>
      <c r="I737" s="123">
        <v>0</v>
      </c>
      <c r="J737" s="124">
        <f>G737</f>
        <v>1</v>
      </c>
      <c r="K737" s="122">
        <f t="shared" ref="K737:K744" si="113">J737*I737</f>
        <v>0</v>
      </c>
      <c r="L737" s="125">
        <f t="shared" si="109"/>
        <v>0</v>
      </c>
      <c r="M737" s="126" t="str">
        <f t="shared" si="111"/>
        <v/>
      </c>
    </row>
    <row r="738" spans="1:13" x14ac:dyDescent="0.25">
      <c r="A738" s="100" t="str">
        <f t="shared" si="112"/>
        <v>GENERAL SERVICE LESS THAN 50 KW SERVICE CLASSIFICATION</v>
      </c>
      <c r="C738" s="117"/>
      <c r="D738" s="118" t="s">
        <v>156</v>
      </c>
      <c r="E738" s="119"/>
      <c r="F738" s="127">
        <v>0</v>
      </c>
      <c r="G738" s="121">
        <f>IF($E726&gt;0, $E726, $E725)</f>
        <v>15000</v>
      </c>
      <c r="H738" s="122">
        <f t="shared" si="110"/>
        <v>0</v>
      </c>
      <c r="I738" s="128">
        <v>0</v>
      </c>
      <c r="J738" s="124">
        <f>IF($E726&gt;0, $E726, $E725)</f>
        <v>15000</v>
      </c>
      <c r="K738" s="122">
        <f t="shared" si="113"/>
        <v>0</v>
      </c>
      <c r="L738" s="125">
        <f t="shared" si="109"/>
        <v>0</v>
      </c>
      <c r="M738" s="126" t="str">
        <f t="shared" si="111"/>
        <v/>
      </c>
    </row>
    <row r="739" spans="1:13" x14ac:dyDescent="0.25">
      <c r="A739" s="100" t="str">
        <f t="shared" si="112"/>
        <v>GENERAL SERVICE LESS THAN 50 KW SERVICE CLASSIFICATION</v>
      </c>
      <c r="B739" s="130" t="s">
        <v>157</v>
      </c>
      <c r="C739" s="117">
        <f>B15</f>
        <v>13</v>
      </c>
      <c r="D739" s="131" t="s">
        <v>158</v>
      </c>
      <c r="E739" s="132"/>
      <c r="F739" s="133"/>
      <c r="G739" s="134"/>
      <c r="H739" s="135">
        <f>SUM(H733:H738)</f>
        <v>181.37</v>
      </c>
      <c r="I739" s="136"/>
      <c r="J739" s="137"/>
      <c r="K739" s="135">
        <f>SUM(K733:K738)</f>
        <v>183.21</v>
      </c>
      <c r="L739" s="138">
        <f t="shared" si="109"/>
        <v>1.8400000000000034</v>
      </c>
      <c r="M739" s="139">
        <f>IF((H739)=0,"",(L739/H739))</f>
        <v>1.0145007443347872E-2</v>
      </c>
    </row>
    <row r="740" spans="1:13" x14ac:dyDescent="0.25">
      <c r="A740" s="100" t="str">
        <f t="shared" si="112"/>
        <v>GENERAL SERVICE LESS THAN 50 KW SERVICE CLASSIFICATION</v>
      </c>
      <c r="C740" s="117"/>
      <c r="D740" s="140" t="s">
        <v>159</v>
      </c>
      <c r="E740" s="119"/>
      <c r="F740" s="127">
        <f>IF((E725*12&gt;=150000), 0, IF(E724="RPP",(F756*0.65+F757*0.17+F758*0.18),IF(E724="Non-RPP (Retailer)",F759,F760)))</f>
        <v>0</v>
      </c>
      <c r="G740" s="141">
        <f>IF(F740=0, 0, $E725*E727-E725)</f>
        <v>0</v>
      </c>
      <c r="H740" s="122">
        <f>G740*F740</f>
        <v>0</v>
      </c>
      <c r="I740" s="128">
        <f>IF((E725*12&gt;=150000), 0, IF(E724="RPP",(I756*0.65+I757*0.17+I758*0.18),IF(E724="Non-RPP (Retailer)",I759,I760)))</f>
        <v>0</v>
      </c>
      <c r="J740" s="141">
        <f>IF(I740=0, 0, E725*E728-E725)</f>
        <v>0</v>
      </c>
      <c r="K740" s="122">
        <f>J740*I740</f>
        <v>0</v>
      </c>
      <c r="L740" s="125">
        <f>K740-H740</f>
        <v>0</v>
      </c>
      <c r="M740" s="126" t="str">
        <f>IF(ISERROR(L740/H740), "", L740/H740)</f>
        <v/>
      </c>
    </row>
    <row r="741" spans="1:13" ht="25.5" x14ac:dyDescent="0.25">
      <c r="A741" s="100" t="str">
        <f t="shared" si="112"/>
        <v>GENERAL SERVICE LESS THAN 50 KW SERVICE CLASSIFICATION</v>
      </c>
      <c r="C741" s="117"/>
      <c r="D741" s="140" t="s">
        <v>160</v>
      </c>
      <c r="E741" s="119"/>
      <c r="F741" s="127">
        <v>-1.4E-3</v>
      </c>
      <c r="G741" s="142">
        <f>IF($E726&gt;0, $E726, $E725)</f>
        <v>15000</v>
      </c>
      <c r="H741" s="122">
        <f t="shared" si="110"/>
        <v>-21</v>
      </c>
      <c r="I741" s="128">
        <v>-5.3E-3</v>
      </c>
      <c r="J741" s="142">
        <f>IF($E726&gt;0, $E726, $E725)</f>
        <v>15000</v>
      </c>
      <c r="K741" s="122">
        <f t="shared" si="113"/>
        <v>-79.5</v>
      </c>
      <c r="L741" s="125">
        <f t="shared" si="109"/>
        <v>-58.5</v>
      </c>
      <c r="M741" s="126">
        <f t="shared" si="111"/>
        <v>2.7857142857142856</v>
      </c>
    </row>
    <row r="742" spans="1:13" x14ac:dyDescent="0.25">
      <c r="A742" s="100" t="str">
        <f t="shared" si="112"/>
        <v>GENERAL SERVICE LESS THAN 50 KW SERVICE CLASSIFICATION</v>
      </c>
      <c r="C742" s="117"/>
      <c r="D742" s="140" t="s">
        <v>161</v>
      </c>
      <c r="E742" s="119"/>
      <c r="F742" s="127">
        <v>-1E-4</v>
      </c>
      <c r="G742" s="142">
        <f>IF($E726&gt;0, $E726, $E725)</f>
        <v>15000</v>
      </c>
      <c r="H742" s="122">
        <f>G742*F742</f>
        <v>-1.5</v>
      </c>
      <c r="I742" s="128">
        <v>0</v>
      </c>
      <c r="J742" s="142">
        <f>IF($E726&gt;0, $E726, $E725)</f>
        <v>15000</v>
      </c>
      <c r="K742" s="122">
        <f>J742*I742</f>
        <v>0</v>
      </c>
      <c r="L742" s="125">
        <f t="shared" si="109"/>
        <v>1.5</v>
      </c>
      <c r="M742" s="126">
        <f t="shared" si="111"/>
        <v>-1</v>
      </c>
    </row>
    <row r="743" spans="1:13" x14ac:dyDescent="0.25">
      <c r="A743" s="100" t="str">
        <f t="shared" si="112"/>
        <v>GENERAL SERVICE LESS THAN 50 KW SERVICE CLASSIFICATION</v>
      </c>
      <c r="C743" s="117"/>
      <c r="D743" s="140" t="s">
        <v>162</v>
      </c>
      <c r="E743" s="119"/>
      <c r="F743" s="127">
        <v>0</v>
      </c>
      <c r="G743" s="142">
        <f>E725</f>
        <v>15000</v>
      </c>
      <c r="H743" s="122">
        <f>G743*F743</f>
        <v>0</v>
      </c>
      <c r="I743" s="128">
        <v>0</v>
      </c>
      <c r="J743" s="142">
        <f>E725</f>
        <v>15000</v>
      </c>
      <c r="K743" s="122">
        <f t="shared" si="113"/>
        <v>0</v>
      </c>
      <c r="L743" s="125">
        <f t="shared" si="109"/>
        <v>0</v>
      </c>
      <c r="M743" s="126" t="str">
        <f t="shared" si="111"/>
        <v/>
      </c>
    </row>
    <row r="744" spans="1:13" x14ac:dyDescent="0.25">
      <c r="A744" s="100" t="str">
        <f t="shared" si="112"/>
        <v>GENERAL SERVICE LESS THAN 50 KW SERVICE CLASSIFICATION</v>
      </c>
      <c r="C744" s="117"/>
      <c r="D744" s="143" t="s">
        <v>163</v>
      </c>
      <c r="E744" s="119"/>
      <c r="F744" s="127">
        <v>2.3999999999999998E-3</v>
      </c>
      <c r="G744" s="142">
        <f>IF($E726&gt;0, $E726, $E725)</f>
        <v>15000</v>
      </c>
      <c r="H744" s="122">
        <f t="shared" si="110"/>
        <v>36</v>
      </c>
      <c r="I744" s="128">
        <v>2.3999999999999998E-3</v>
      </c>
      <c r="J744" s="142">
        <f>IF($E726&gt;0, $E726, $E725)</f>
        <v>15000</v>
      </c>
      <c r="K744" s="122">
        <f t="shared" si="113"/>
        <v>36</v>
      </c>
      <c r="L744" s="125">
        <f t="shared" si="109"/>
        <v>0</v>
      </c>
      <c r="M744" s="126">
        <f t="shared" si="111"/>
        <v>0</v>
      </c>
    </row>
    <row r="745" spans="1:13" ht="25.5" x14ac:dyDescent="0.25">
      <c r="A745" s="100" t="str">
        <f t="shared" si="112"/>
        <v>GENERAL SERVICE LESS THAN 50 KW SERVICE CLASSIFICATION</v>
      </c>
      <c r="C745" s="117"/>
      <c r="D745" s="144" t="s">
        <v>164</v>
      </c>
      <c r="E745" s="119"/>
      <c r="F745" s="145">
        <f>IF(OR(ISNUMBER(SEARCH("RESIDENTIAL", E723))=TRUE, ISNUMBER(SEARCH("GENERAL SERVICE LESS THAN 50", E723))=TRUE), SME, 0)</f>
        <v>0.56999999999999995</v>
      </c>
      <c r="G745" s="121">
        <v>1</v>
      </c>
      <c r="H745" s="122">
        <f>G745*F745</f>
        <v>0.56999999999999995</v>
      </c>
      <c r="I745" s="146">
        <f>IF(OR(ISNUMBER(SEARCH("RESIDENTIAL", E723))=TRUE, ISNUMBER(SEARCH("GENERAL SERVICE LESS THAN 50", E723))=TRUE), SME, 0)</f>
        <v>0.56999999999999995</v>
      </c>
      <c r="J745" s="121">
        <v>1</v>
      </c>
      <c r="K745" s="122">
        <f>J745*I745</f>
        <v>0.56999999999999995</v>
      </c>
      <c r="L745" s="125">
        <f t="shared" si="109"/>
        <v>0</v>
      </c>
      <c r="M745" s="126">
        <f>IF(ISERROR(L745/H745), "", L745/H745)</f>
        <v>0</v>
      </c>
    </row>
    <row r="746" spans="1:13" x14ac:dyDescent="0.25">
      <c r="A746" s="100" t="str">
        <f t="shared" si="112"/>
        <v>GENERAL SERVICE LESS THAN 50 KW SERVICE CLASSIFICATION</v>
      </c>
      <c r="C746" s="117"/>
      <c r="D746" s="143" t="s">
        <v>165</v>
      </c>
      <c r="E746" s="119"/>
      <c r="F746" s="120">
        <v>0</v>
      </c>
      <c r="G746" s="121">
        <v>1</v>
      </c>
      <c r="H746" s="122">
        <f t="shared" si="110"/>
        <v>0</v>
      </c>
      <c r="I746" s="123">
        <v>0</v>
      </c>
      <c r="J746" s="121">
        <v>1</v>
      </c>
      <c r="K746" s="122">
        <f>J746*I746</f>
        <v>0</v>
      </c>
      <c r="L746" s="125">
        <f>K746-H746</f>
        <v>0</v>
      </c>
      <c r="M746" s="126" t="str">
        <f>IF(ISERROR(L746/H746), "", L746/H746)</f>
        <v/>
      </c>
    </row>
    <row r="747" spans="1:13" x14ac:dyDescent="0.25">
      <c r="A747" s="100" t="str">
        <f t="shared" si="112"/>
        <v>GENERAL SERVICE LESS THAN 50 KW SERVICE CLASSIFICATION</v>
      </c>
      <c r="C747" s="117"/>
      <c r="D747" s="143" t="s">
        <v>166</v>
      </c>
      <c r="E747" s="119"/>
      <c r="F747" s="127"/>
      <c r="G747" s="142">
        <f>IF($E726&gt;0, $E726, $E725)</f>
        <v>15000</v>
      </c>
      <c r="H747" s="122">
        <f>G747*F747</f>
        <v>0</v>
      </c>
      <c r="I747" s="128">
        <v>0</v>
      </c>
      <c r="J747" s="142">
        <f>IF($E726&gt;0, $E726, $E725)</f>
        <v>15000</v>
      </c>
      <c r="K747" s="122">
        <f>J747*I747</f>
        <v>0</v>
      </c>
      <c r="L747" s="125">
        <f t="shared" si="109"/>
        <v>0</v>
      </c>
      <c r="M747" s="126" t="str">
        <f>IF(ISERROR(L747/H747), "", L747/H747)</f>
        <v/>
      </c>
    </row>
    <row r="748" spans="1:13" ht="25.5" x14ac:dyDescent="0.25">
      <c r="A748" s="100" t="str">
        <f t="shared" si="112"/>
        <v>GENERAL SERVICE LESS THAN 50 KW SERVICE CLASSIFICATION</v>
      </c>
      <c r="B748" s="105" t="s">
        <v>167</v>
      </c>
      <c r="C748" s="117">
        <f>B15</f>
        <v>13</v>
      </c>
      <c r="D748" s="147" t="s">
        <v>168</v>
      </c>
      <c r="E748" s="148"/>
      <c r="F748" s="149"/>
      <c r="G748" s="150"/>
      <c r="H748" s="151">
        <f>SUM(H739:H747)</f>
        <v>195.44</v>
      </c>
      <c r="I748" s="152"/>
      <c r="J748" s="153"/>
      <c r="K748" s="151">
        <f>SUM(K739:K747)</f>
        <v>140.28</v>
      </c>
      <c r="L748" s="138">
        <f t="shared" si="109"/>
        <v>-55.16</v>
      </c>
      <c r="M748" s="139">
        <f>IF((H748)=0,"",(L748/H748))</f>
        <v>-0.2822349570200573</v>
      </c>
    </row>
    <row r="749" spans="1:13" x14ac:dyDescent="0.25">
      <c r="A749" s="100" t="str">
        <f t="shared" si="112"/>
        <v>GENERAL SERVICE LESS THAN 50 KW SERVICE CLASSIFICATION</v>
      </c>
      <c r="C749" s="117"/>
      <c r="D749" s="154" t="s">
        <v>169</v>
      </c>
      <c r="E749" s="119"/>
      <c r="F749" s="127">
        <v>6.0000000000000001E-3</v>
      </c>
      <c r="G749" s="141">
        <f>IF($E726&gt;0, $E726, $E725*$E727)</f>
        <v>15840</v>
      </c>
      <c r="H749" s="122">
        <f>G749*F749</f>
        <v>95.04</v>
      </c>
      <c r="I749" s="128">
        <v>5.7000000000000002E-3</v>
      </c>
      <c r="J749" s="141">
        <f>IF($E726&gt;0, $E726, $E725*$E728)</f>
        <v>15840</v>
      </c>
      <c r="K749" s="122">
        <f>J749*I749</f>
        <v>90.287999999999997</v>
      </c>
      <c r="L749" s="125">
        <f t="shared" si="109"/>
        <v>-4.7520000000000095</v>
      </c>
      <c r="M749" s="126">
        <f>IF(ISERROR(L749/H749), "", L749/H749)</f>
        <v>-5.00000000000001E-2</v>
      </c>
    </row>
    <row r="750" spans="1:13" ht="25.5" x14ac:dyDescent="0.25">
      <c r="A750" s="100" t="str">
        <f t="shared" si="112"/>
        <v>GENERAL SERVICE LESS THAN 50 KW SERVICE CLASSIFICATION</v>
      </c>
      <c r="C750" s="117"/>
      <c r="D750" s="155" t="s">
        <v>170</v>
      </c>
      <c r="E750" s="119"/>
      <c r="F750" s="127">
        <v>5.3E-3</v>
      </c>
      <c r="G750" s="141">
        <f>IF($E726&gt;0, $E726, $E725*$E727)</f>
        <v>15840</v>
      </c>
      <c r="H750" s="122">
        <f>G750*F750</f>
        <v>83.951999999999998</v>
      </c>
      <c r="I750" s="128">
        <v>5.0000000000000001E-3</v>
      </c>
      <c r="J750" s="141">
        <f>IF($E726&gt;0, $E726, $E725*$E728)</f>
        <v>15840</v>
      </c>
      <c r="K750" s="122">
        <f>J750*I750</f>
        <v>79.2</v>
      </c>
      <c r="L750" s="125">
        <f t="shared" si="109"/>
        <v>-4.7519999999999953</v>
      </c>
      <c r="M750" s="126">
        <f>IF(ISERROR(L750/H750), "", L750/H750)</f>
        <v>-5.6603773584905606E-2</v>
      </c>
    </row>
    <row r="751" spans="1:13" ht="25.5" x14ac:dyDescent="0.25">
      <c r="A751" s="100" t="str">
        <f t="shared" si="112"/>
        <v>GENERAL SERVICE LESS THAN 50 KW SERVICE CLASSIFICATION</v>
      </c>
      <c r="B751" s="105" t="s">
        <v>171</v>
      </c>
      <c r="C751" s="117">
        <f>B15</f>
        <v>13</v>
      </c>
      <c r="D751" s="147" t="s">
        <v>172</v>
      </c>
      <c r="E751" s="132"/>
      <c r="F751" s="149"/>
      <c r="G751" s="150"/>
      <c r="H751" s="151">
        <f>SUM(H748:H750)</f>
        <v>374.43200000000002</v>
      </c>
      <c r="I751" s="152"/>
      <c r="J751" s="137"/>
      <c r="K751" s="151">
        <f>SUM(K748:K750)</f>
        <v>309.76799999999997</v>
      </c>
      <c r="L751" s="138">
        <f t="shared" si="109"/>
        <v>-64.664000000000044</v>
      </c>
      <c r="M751" s="139">
        <f>IF((H751)=0,"",(L751/H751))</f>
        <v>-0.17269891462268194</v>
      </c>
    </row>
    <row r="752" spans="1:13" ht="25.5" x14ac:dyDescent="0.25">
      <c r="A752" s="100" t="str">
        <f t="shared" si="112"/>
        <v>GENERAL SERVICE LESS THAN 50 KW SERVICE CLASSIFICATION</v>
      </c>
      <c r="C752" s="117"/>
      <c r="D752" s="156" t="s">
        <v>173</v>
      </c>
      <c r="E752" s="119"/>
      <c r="F752" s="127">
        <v>3.6000000000000003E-3</v>
      </c>
      <c r="G752" s="141">
        <f>E725*E727</f>
        <v>15840</v>
      </c>
      <c r="H752" s="157">
        <f t="shared" ref="H752:H758" si="114">G752*F752</f>
        <v>57.024000000000008</v>
      </c>
      <c r="I752" s="128">
        <v>3.6000000000000003E-3</v>
      </c>
      <c r="J752" s="141">
        <f>E725*E728</f>
        <v>15840</v>
      </c>
      <c r="K752" s="157">
        <f t="shared" ref="K752:K758" si="115">J752*I752</f>
        <v>57.024000000000008</v>
      </c>
      <c r="L752" s="125">
        <f t="shared" si="109"/>
        <v>0</v>
      </c>
      <c r="M752" s="126">
        <f t="shared" ref="M752:M760" si="116">IF(ISERROR(L752/H752), "", L752/H752)</f>
        <v>0</v>
      </c>
    </row>
    <row r="753" spans="1:13" ht="25.5" x14ac:dyDescent="0.25">
      <c r="A753" s="100" t="str">
        <f t="shared" si="112"/>
        <v>GENERAL SERVICE LESS THAN 50 KW SERVICE CLASSIFICATION</v>
      </c>
      <c r="C753" s="117"/>
      <c r="D753" s="156" t="s">
        <v>174</v>
      </c>
      <c r="E753" s="119"/>
      <c r="F753" s="127">
        <f>'[1]17. Regulatory Charges'!$D$16</f>
        <v>2.9999999999999997E-4</v>
      </c>
      <c r="G753" s="141">
        <f>E725*E727</f>
        <v>15840</v>
      </c>
      <c r="H753" s="157">
        <f t="shared" si="114"/>
        <v>4.7519999999999998</v>
      </c>
      <c r="I753" s="128">
        <v>2.9999999999999997E-4</v>
      </c>
      <c r="J753" s="141">
        <f>E725*E728</f>
        <v>15840</v>
      </c>
      <c r="K753" s="157">
        <f t="shared" si="115"/>
        <v>4.7519999999999998</v>
      </c>
      <c r="L753" s="125">
        <f t="shared" si="109"/>
        <v>0</v>
      </c>
      <c r="M753" s="126">
        <f t="shared" si="116"/>
        <v>0</v>
      </c>
    </row>
    <row r="754" spans="1:13" x14ac:dyDescent="0.25">
      <c r="A754" s="100" t="str">
        <f t="shared" si="112"/>
        <v>GENERAL SERVICE LESS THAN 50 KW SERVICE CLASSIFICATION</v>
      </c>
      <c r="C754" s="117"/>
      <c r="D754" s="158" t="s">
        <v>175</v>
      </c>
      <c r="E754" s="119"/>
      <c r="F754" s="145">
        <v>0.25</v>
      </c>
      <c r="G754" s="121">
        <v>1</v>
      </c>
      <c r="H754" s="157">
        <f t="shared" si="114"/>
        <v>0.25</v>
      </c>
      <c r="I754" s="146">
        <f>'[1]17. Regulatory Charges'!$D$17</f>
        <v>0.25</v>
      </c>
      <c r="J754" s="124">
        <v>1</v>
      </c>
      <c r="K754" s="157">
        <f t="shared" si="115"/>
        <v>0.25</v>
      </c>
      <c r="L754" s="125">
        <f t="shared" si="109"/>
        <v>0</v>
      </c>
      <c r="M754" s="126">
        <f t="shared" si="116"/>
        <v>0</v>
      </c>
    </row>
    <row r="755" spans="1:13" ht="25.5" x14ac:dyDescent="0.25">
      <c r="A755" s="100" t="str">
        <f t="shared" si="112"/>
        <v>GENERAL SERVICE LESS THAN 50 KW SERVICE CLASSIFICATION</v>
      </c>
      <c r="C755" s="117"/>
      <c r="D755" s="156" t="s">
        <v>176</v>
      </c>
      <c r="E755" s="119"/>
      <c r="F755" s="127"/>
      <c r="G755" s="141"/>
      <c r="H755" s="157"/>
      <c r="I755" s="128"/>
      <c r="J755" s="141"/>
      <c r="K755" s="157"/>
      <c r="L755" s="125"/>
      <c r="M755" s="126"/>
    </row>
    <row r="756" spans="1:13" x14ac:dyDescent="0.25">
      <c r="A756" s="100" t="str">
        <f t="shared" si="112"/>
        <v>GENERAL SERVICE LESS THAN 50 KW SERVICE CLASSIFICATION</v>
      </c>
      <c r="B756" s="105" t="s">
        <v>117</v>
      </c>
      <c r="C756" s="117"/>
      <c r="D756" s="159" t="s">
        <v>177</v>
      </c>
      <c r="E756" s="119"/>
      <c r="F756" s="160">
        <f>OffPeak</f>
        <v>6.5000000000000002E-2</v>
      </c>
      <c r="G756" s="161">
        <f>IF(AND(E725*12&gt;=150000),0.65*E725*E727,0.65*E725)</f>
        <v>10296</v>
      </c>
      <c r="H756" s="157">
        <f t="shared" si="114"/>
        <v>669.24</v>
      </c>
      <c r="I756" s="162">
        <f>OffPeak</f>
        <v>6.5000000000000002E-2</v>
      </c>
      <c r="J756" s="161">
        <f>IF(AND(E725*12&gt;=150000),0.65*E725*E728,0.65*E725)</f>
        <v>10296</v>
      </c>
      <c r="K756" s="157">
        <f t="shared" si="115"/>
        <v>669.24</v>
      </c>
      <c r="L756" s="125">
        <f>K756-H756</f>
        <v>0</v>
      </c>
      <c r="M756" s="126">
        <f t="shared" si="116"/>
        <v>0</v>
      </c>
    </row>
    <row r="757" spans="1:13" x14ac:dyDescent="0.25">
      <c r="A757" s="100" t="str">
        <f t="shared" si="112"/>
        <v>GENERAL SERVICE LESS THAN 50 KW SERVICE CLASSIFICATION</v>
      </c>
      <c r="B757" s="105" t="s">
        <v>117</v>
      </c>
      <c r="C757" s="117"/>
      <c r="D757" s="159" t="s">
        <v>178</v>
      </c>
      <c r="E757" s="119"/>
      <c r="F757" s="160">
        <f>MidPeak</f>
        <v>9.4E-2</v>
      </c>
      <c r="G757" s="161">
        <f>IF(AND(E725*12&gt;=150000),0.17*E725*E727,0.17*E725)</f>
        <v>2692.8</v>
      </c>
      <c r="H757" s="157">
        <f t="shared" si="114"/>
        <v>253.12320000000003</v>
      </c>
      <c r="I757" s="162">
        <f>MidPeak</f>
        <v>9.4E-2</v>
      </c>
      <c r="J757" s="161">
        <f>IF(AND(E725*12&gt;=150000),0.17*E725*E728,0.17*E725)</f>
        <v>2692.8</v>
      </c>
      <c r="K757" s="157">
        <f t="shared" si="115"/>
        <v>253.12320000000003</v>
      </c>
      <c r="L757" s="125">
        <f>K757-H757</f>
        <v>0</v>
      </c>
      <c r="M757" s="126">
        <f t="shared" si="116"/>
        <v>0</v>
      </c>
    </row>
    <row r="758" spans="1:13" ht="15.75" thickBot="1" x14ac:dyDescent="0.3">
      <c r="A758" s="100" t="str">
        <f t="shared" si="112"/>
        <v>GENERAL SERVICE LESS THAN 50 KW SERVICE CLASSIFICATION</v>
      </c>
      <c r="B758" s="105" t="s">
        <v>117</v>
      </c>
      <c r="C758" s="117"/>
      <c r="D758" s="105" t="s">
        <v>179</v>
      </c>
      <c r="E758" s="119"/>
      <c r="F758" s="160">
        <f>OnPeak</f>
        <v>0.13200000000000001</v>
      </c>
      <c r="G758" s="161">
        <f>IF(AND(E725*12&gt;=150000),0.18*E725*E727,0.18*E725)</f>
        <v>2851.2000000000003</v>
      </c>
      <c r="H758" s="157">
        <f t="shared" si="114"/>
        <v>376.35840000000007</v>
      </c>
      <c r="I758" s="162">
        <f>OnPeak</f>
        <v>0.13200000000000001</v>
      </c>
      <c r="J758" s="161">
        <f>IF(AND(E725*12&gt;=150000),0.18*E725*E728,0.18*E725)</f>
        <v>2851.2000000000003</v>
      </c>
      <c r="K758" s="157">
        <f t="shared" si="115"/>
        <v>376.35840000000007</v>
      </c>
      <c r="L758" s="125">
        <f>K758-H758</f>
        <v>0</v>
      </c>
      <c r="M758" s="126">
        <f t="shared" si="116"/>
        <v>0</v>
      </c>
    </row>
    <row r="759" spans="1:13" hidden="1" x14ac:dyDescent="0.25">
      <c r="A759" s="100" t="str">
        <f t="shared" si="112"/>
        <v>GENERAL SERVICE LESS THAN 50 KW SERVICE CLASSIFICATION</v>
      </c>
      <c r="B759" s="100" t="s">
        <v>180</v>
      </c>
      <c r="C759" s="117"/>
      <c r="D759" s="159" t="s">
        <v>181</v>
      </c>
      <c r="E759" s="119"/>
      <c r="F759" s="163">
        <v>0.1101</v>
      </c>
      <c r="G759" s="161">
        <f>IF(AND(E725*12&gt;=150000),E725*E727,E725)</f>
        <v>15840</v>
      </c>
      <c r="H759" s="157">
        <f>G759*F759</f>
        <v>1743.9840000000002</v>
      </c>
      <c r="I759" s="164">
        <f>F759</f>
        <v>0.1101</v>
      </c>
      <c r="J759" s="161">
        <f>IF(AND(E725*12&gt;=150000),E725*E728,E725)</f>
        <v>15840</v>
      </c>
      <c r="K759" s="157">
        <f>J759*I759</f>
        <v>1743.9840000000002</v>
      </c>
      <c r="L759" s="125">
        <f>K759-H759</f>
        <v>0</v>
      </c>
      <c r="M759" s="126">
        <f t="shared" si="116"/>
        <v>0</v>
      </c>
    </row>
    <row r="760" spans="1:13" ht="15.75" hidden="1" thickBot="1" x14ac:dyDescent="0.3">
      <c r="A760" s="100" t="str">
        <f t="shared" si="112"/>
        <v>GENERAL SERVICE LESS THAN 50 KW SERVICE CLASSIFICATION</v>
      </c>
      <c r="B760" s="100" t="s">
        <v>121</v>
      </c>
      <c r="C760" s="117"/>
      <c r="D760" s="159" t="s">
        <v>182</v>
      </c>
      <c r="E760" s="119"/>
      <c r="F760" s="163">
        <v>0.1101</v>
      </c>
      <c r="G760" s="161">
        <f>IF(AND(E725*12&gt;=150000),E725*E727,E725)</f>
        <v>15840</v>
      </c>
      <c r="H760" s="157">
        <f>G760*F760</f>
        <v>1743.9840000000002</v>
      </c>
      <c r="I760" s="164">
        <f>F760</f>
        <v>0.1101</v>
      </c>
      <c r="J760" s="161">
        <f>IF(AND(E725*12&gt;=150000),E725*E728,E725)</f>
        <v>15840</v>
      </c>
      <c r="K760" s="157">
        <f>J760*I760</f>
        <v>1743.9840000000002</v>
      </c>
      <c r="L760" s="125">
        <f>K760-H760</f>
        <v>0</v>
      </c>
      <c r="M760" s="126">
        <f t="shared" si="116"/>
        <v>0</v>
      </c>
    </row>
    <row r="761" spans="1:13" ht="15.75" thickBot="1" x14ac:dyDescent="0.3">
      <c r="A761" s="100" t="str">
        <f t="shared" si="112"/>
        <v>GENERAL SERVICE LESS THAN 50 KW SERVICE CLASSIFICATION</v>
      </c>
      <c r="B761" s="105"/>
      <c r="C761" s="117"/>
      <c r="D761" s="165"/>
      <c r="E761" s="166"/>
      <c r="F761" s="167"/>
      <c r="G761" s="168"/>
      <c r="H761" s="169"/>
      <c r="I761" s="167"/>
      <c r="J761" s="170"/>
      <c r="K761" s="169"/>
      <c r="L761" s="171"/>
      <c r="M761" s="172"/>
    </row>
    <row r="762" spans="1:13" x14ac:dyDescent="0.25">
      <c r="A762" s="100" t="str">
        <f t="shared" si="112"/>
        <v>GENERAL SERVICE LESS THAN 50 KW SERVICE CLASSIFICATION</v>
      </c>
      <c r="B762" s="105" t="s">
        <v>117</v>
      </c>
      <c r="C762" s="117"/>
      <c r="D762" s="173" t="s">
        <v>183</v>
      </c>
      <c r="E762" s="158"/>
      <c r="F762" s="174"/>
      <c r="G762" s="175"/>
      <c r="H762" s="176">
        <f>SUM(H752:H758,H751)</f>
        <v>1735.1796000000002</v>
      </c>
      <c r="I762" s="177"/>
      <c r="J762" s="177"/>
      <c r="K762" s="176">
        <f>SUM(K752:K758,K751)</f>
        <v>1670.5156000000002</v>
      </c>
      <c r="L762" s="178">
        <f>K762-H762</f>
        <v>-64.663999999999987</v>
      </c>
      <c r="M762" s="179">
        <f>IF((H762)=0,"",(L762/H762))</f>
        <v>-3.7266459333662051E-2</v>
      </c>
    </row>
    <row r="763" spans="1:13" x14ac:dyDescent="0.25">
      <c r="A763" s="100" t="str">
        <f t="shared" si="112"/>
        <v>GENERAL SERVICE LESS THAN 50 KW SERVICE CLASSIFICATION</v>
      </c>
      <c r="B763" s="105" t="s">
        <v>117</v>
      </c>
      <c r="C763" s="117"/>
      <c r="D763" s="180" t="s">
        <v>184</v>
      </c>
      <c r="E763" s="158"/>
      <c r="F763" s="174">
        <v>0.13</v>
      </c>
      <c r="G763" s="181"/>
      <c r="H763" s="182">
        <f>H762*F763</f>
        <v>225.57334800000004</v>
      </c>
      <c r="I763" s="183">
        <v>0.13</v>
      </c>
      <c r="J763" s="121"/>
      <c r="K763" s="182">
        <f>K762*I763</f>
        <v>217.16702800000004</v>
      </c>
      <c r="L763" s="184">
        <f>K763-H763</f>
        <v>-8.4063199999999938</v>
      </c>
      <c r="M763" s="185">
        <f>IF((H763)=0,"",(L763/H763))</f>
        <v>-3.7266459333662023E-2</v>
      </c>
    </row>
    <row r="764" spans="1:13" x14ac:dyDescent="0.25">
      <c r="A764" s="100" t="str">
        <f t="shared" si="112"/>
        <v>GENERAL SERVICE LESS THAN 50 KW SERVICE CLASSIFICATION</v>
      </c>
      <c r="B764" s="105" t="s">
        <v>117</v>
      </c>
      <c r="C764" s="117"/>
      <c r="D764" s="180" t="s">
        <v>185</v>
      </c>
      <c r="E764" s="158"/>
      <c r="F764" s="174">
        <v>0.08</v>
      </c>
      <c r="G764" s="181"/>
      <c r="H764" s="182">
        <f>H762*-F764</f>
        <v>-138.81436800000003</v>
      </c>
      <c r="I764" s="174">
        <v>0.08</v>
      </c>
      <c r="J764" s="121"/>
      <c r="K764" s="182">
        <f>K762*-I764</f>
        <v>-133.64124800000002</v>
      </c>
      <c r="L764" s="184">
        <f>K764-H764</f>
        <v>5.1731200000000115</v>
      </c>
      <c r="M764" s="185"/>
    </row>
    <row r="765" spans="1:13" ht="15.75" thickBot="1" x14ac:dyDescent="0.3">
      <c r="A765" s="100" t="str">
        <f t="shared" si="112"/>
        <v>GENERAL SERVICE LESS THAN 50 KW SERVICE CLASSIFICATION</v>
      </c>
      <c r="B765" s="105" t="s">
        <v>186</v>
      </c>
      <c r="C765" s="117">
        <f>B15</f>
        <v>13</v>
      </c>
      <c r="D765" s="301" t="s">
        <v>187</v>
      </c>
      <c r="E765" s="301"/>
      <c r="F765" s="186"/>
      <c r="G765" s="187"/>
      <c r="H765" s="188">
        <f>H762+H763+H764</f>
        <v>1821.9385800000002</v>
      </c>
      <c r="I765" s="189"/>
      <c r="J765" s="189"/>
      <c r="K765" s="190">
        <f>K762+K763+K764</f>
        <v>1754.0413800000001</v>
      </c>
      <c r="L765" s="191">
        <f>K765-H765</f>
        <v>-67.897200000000112</v>
      </c>
      <c r="M765" s="192">
        <f>IF((H765)=0,"",(L765/H765))</f>
        <v>-3.7266459333662114E-2</v>
      </c>
    </row>
    <row r="766" spans="1:13" ht="15.75" hidden="1" thickBot="1" x14ac:dyDescent="0.3">
      <c r="A766" s="100" t="str">
        <f t="shared" si="112"/>
        <v>GENERAL SERVICE LESS THAN 50 KW SERVICE CLASSIFICATION</v>
      </c>
      <c r="B766" s="100" t="s">
        <v>117</v>
      </c>
      <c r="C766" s="117"/>
      <c r="D766" s="165"/>
      <c r="E766" s="166"/>
      <c r="F766" s="167"/>
      <c r="G766" s="168"/>
      <c r="H766" s="169"/>
      <c r="I766" s="167"/>
      <c r="J766" s="170"/>
      <c r="K766" s="169"/>
      <c r="L766" s="171"/>
      <c r="M766" s="172"/>
    </row>
    <row r="767" spans="1:13" hidden="1" x14ac:dyDescent="0.25">
      <c r="A767" s="100" t="str">
        <f t="shared" si="112"/>
        <v>GENERAL SERVICE LESS THAN 50 KW SERVICE CLASSIFICATION</v>
      </c>
      <c r="B767" s="100" t="s">
        <v>180</v>
      </c>
      <c r="C767" s="117"/>
      <c r="D767" s="173" t="s">
        <v>188</v>
      </c>
      <c r="E767" s="158"/>
      <c r="F767" s="174"/>
      <c r="G767" s="175"/>
      <c r="H767" s="176">
        <f>SUM(H759,H752:H755,H751)</f>
        <v>2180.442</v>
      </c>
      <c r="I767" s="177"/>
      <c r="J767" s="177"/>
      <c r="K767" s="176">
        <f>SUM(K759,K752:K755,K751)</f>
        <v>2115.7780000000002</v>
      </c>
      <c r="L767" s="178">
        <f>K767-H767</f>
        <v>-64.66399999999976</v>
      </c>
      <c r="M767" s="179">
        <f>IF((H767)=0,"",(L767/H767))</f>
        <v>-2.9656372423572726E-2</v>
      </c>
    </row>
    <row r="768" spans="1:13" hidden="1" x14ac:dyDescent="0.25">
      <c r="A768" s="100" t="str">
        <f t="shared" si="112"/>
        <v>GENERAL SERVICE LESS THAN 50 KW SERVICE CLASSIFICATION</v>
      </c>
      <c r="B768" s="100" t="s">
        <v>180</v>
      </c>
      <c r="C768" s="117"/>
      <c r="D768" s="180" t="s">
        <v>184</v>
      </c>
      <c r="E768" s="158"/>
      <c r="F768" s="174">
        <v>0.13</v>
      </c>
      <c r="G768" s="175"/>
      <c r="H768" s="182">
        <f>H767*F768</f>
        <v>283.45746000000003</v>
      </c>
      <c r="I768" s="174">
        <v>0.13</v>
      </c>
      <c r="J768" s="183"/>
      <c r="K768" s="182">
        <f>K767*I768</f>
        <v>275.05114000000003</v>
      </c>
      <c r="L768" s="184">
        <f>K768-H768</f>
        <v>-8.4063199999999938</v>
      </c>
      <c r="M768" s="185">
        <f>IF((H768)=0,"",(L768/H768))</f>
        <v>-2.9656372423572809E-2</v>
      </c>
    </row>
    <row r="769" spans="1:13" hidden="1" x14ac:dyDescent="0.25">
      <c r="A769" s="100" t="str">
        <f t="shared" si="112"/>
        <v>GENERAL SERVICE LESS THAN 50 KW SERVICE CLASSIFICATION</v>
      </c>
      <c r="B769" s="100" t="s">
        <v>180</v>
      </c>
      <c r="C769" s="117"/>
      <c r="D769" s="180" t="s">
        <v>185</v>
      </c>
      <c r="E769" s="158"/>
      <c r="F769" s="174">
        <v>0.08</v>
      </c>
      <c r="G769" s="175"/>
      <c r="H769" s="182"/>
      <c r="I769" s="174">
        <v>0.08</v>
      </c>
      <c r="J769" s="183"/>
      <c r="K769" s="182"/>
      <c r="L769" s="184"/>
      <c r="M769" s="185"/>
    </row>
    <row r="770" spans="1:13" ht="15.75" hidden="1" thickBot="1" x14ac:dyDescent="0.3">
      <c r="A770" s="100" t="str">
        <f t="shared" si="112"/>
        <v>GENERAL SERVICE LESS THAN 50 KW SERVICE CLASSIFICATION</v>
      </c>
      <c r="B770" s="100" t="s">
        <v>189</v>
      </c>
      <c r="C770" s="117"/>
      <c r="D770" s="301" t="s">
        <v>188</v>
      </c>
      <c r="E770" s="301"/>
      <c r="F770" s="193"/>
      <c r="G770" s="194"/>
      <c r="H770" s="188">
        <f>SUM(H767,H768)</f>
        <v>2463.8994600000001</v>
      </c>
      <c r="I770" s="195"/>
      <c r="J770" s="195"/>
      <c r="K770" s="188">
        <f>SUM(K767,K768)</f>
        <v>2390.8291400000003</v>
      </c>
      <c r="L770" s="196">
        <f>K770-H770</f>
        <v>-73.070319999999811</v>
      </c>
      <c r="M770" s="197">
        <f>IF((H770)=0,"",(L770/H770))</f>
        <v>-2.9656372423572757E-2</v>
      </c>
    </row>
    <row r="771" spans="1:13" ht="15.75" hidden="1" thickBot="1" x14ac:dyDescent="0.3">
      <c r="A771" s="100" t="str">
        <f t="shared" si="112"/>
        <v>GENERAL SERVICE LESS THAN 50 KW SERVICE CLASSIFICATION</v>
      </c>
      <c r="B771" s="100" t="s">
        <v>180</v>
      </c>
      <c r="C771" s="117"/>
      <c r="D771" s="165"/>
      <c r="E771" s="166"/>
      <c r="F771" s="198"/>
      <c r="G771" s="199"/>
      <c r="H771" s="200"/>
      <c r="I771" s="198"/>
      <c r="J771" s="168"/>
      <c r="K771" s="200"/>
      <c r="L771" s="201"/>
      <c r="M771" s="172"/>
    </row>
    <row r="772" spans="1:13" hidden="1" x14ac:dyDescent="0.25">
      <c r="A772" s="100" t="str">
        <f t="shared" si="112"/>
        <v>GENERAL SERVICE LESS THAN 50 KW SERVICE CLASSIFICATION</v>
      </c>
      <c r="B772" s="100" t="s">
        <v>121</v>
      </c>
      <c r="C772" s="117"/>
      <c r="D772" s="173" t="s">
        <v>190</v>
      </c>
      <c r="E772" s="158"/>
      <c r="F772" s="174"/>
      <c r="G772" s="175"/>
      <c r="H772" s="176">
        <f>SUM(H760,H752:H755,H751)</f>
        <v>2180.442</v>
      </c>
      <c r="I772" s="177"/>
      <c r="J772" s="177"/>
      <c r="K772" s="176">
        <f>SUM(K760,K752:K755,K751)</f>
        <v>2115.7780000000002</v>
      </c>
      <c r="L772" s="178">
        <f>K772-H772</f>
        <v>-64.66399999999976</v>
      </c>
      <c r="M772" s="179">
        <f>IF((H772)=0,"",(L772/H772))</f>
        <v>-2.9656372423572726E-2</v>
      </c>
    </row>
    <row r="773" spans="1:13" hidden="1" x14ac:dyDescent="0.25">
      <c r="A773" s="100" t="str">
        <f t="shared" si="112"/>
        <v>GENERAL SERVICE LESS THAN 50 KW SERVICE CLASSIFICATION</v>
      </c>
      <c r="B773" s="100" t="s">
        <v>121</v>
      </c>
      <c r="C773" s="117"/>
      <c r="D773" s="180" t="s">
        <v>184</v>
      </c>
      <c r="E773" s="158"/>
      <c r="F773" s="174">
        <v>0.13</v>
      </c>
      <c r="G773" s="175"/>
      <c r="H773" s="182">
        <f>H772*F773</f>
        <v>283.45746000000003</v>
      </c>
      <c r="I773" s="174">
        <v>0.13</v>
      </c>
      <c r="J773" s="183"/>
      <c r="K773" s="182">
        <f>K772*I773</f>
        <v>275.05114000000003</v>
      </c>
      <c r="L773" s="184">
        <f>K773-H773</f>
        <v>-8.4063199999999938</v>
      </c>
      <c r="M773" s="185">
        <f>IF((H773)=0,"",(L773/H773))</f>
        <v>-2.9656372423572809E-2</v>
      </c>
    </row>
    <row r="774" spans="1:13" hidden="1" x14ac:dyDescent="0.25">
      <c r="A774" s="100" t="str">
        <f t="shared" si="112"/>
        <v>GENERAL SERVICE LESS THAN 50 KW SERVICE CLASSIFICATION</v>
      </c>
      <c r="B774" s="100" t="s">
        <v>121</v>
      </c>
      <c r="C774" s="117"/>
      <c r="D774" s="180" t="s">
        <v>185</v>
      </c>
      <c r="E774" s="158"/>
      <c r="F774" s="174">
        <v>0.08</v>
      </c>
      <c r="G774" s="175"/>
      <c r="H774" s="182"/>
      <c r="I774" s="174">
        <v>0.08</v>
      </c>
      <c r="J774" s="183"/>
      <c r="K774" s="182"/>
      <c r="L774" s="184"/>
      <c r="M774" s="185"/>
    </row>
    <row r="775" spans="1:13" ht="15.75" hidden="1" thickBot="1" x14ac:dyDescent="0.3">
      <c r="A775" s="100" t="str">
        <f t="shared" si="112"/>
        <v>GENERAL SERVICE LESS THAN 50 KW SERVICE CLASSIFICATION</v>
      </c>
      <c r="B775" s="100" t="s">
        <v>191</v>
      </c>
      <c r="C775" s="117"/>
      <c r="D775" s="301" t="s">
        <v>190</v>
      </c>
      <c r="E775" s="301"/>
      <c r="F775" s="193"/>
      <c r="G775" s="194"/>
      <c r="H775" s="188">
        <f>SUM(H772,H773)</f>
        <v>2463.8994600000001</v>
      </c>
      <c r="I775" s="195"/>
      <c r="J775" s="195"/>
      <c r="K775" s="188">
        <f>SUM(K772,K773)</f>
        <v>2390.8291400000003</v>
      </c>
      <c r="L775" s="196">
        <f>K775-H775</f>
        <v>-73.070319999999811</v>
      </c>
      <c r="M775" s="197">
        <f>IF((H775)=0,"",(L775/H775))</f>
        <v>-2.9656372423572757E-2</v>
      </c>
    </row>
    <row r="776" spans="1:13" ht="15.75" thickBot="1" x14ac:dyDescent="0.3">
      <c r="A776" s="100" t="str">
        <f t="shared" si="112"/>
        <v>GENERAL SERVICE LESS THAN 50 KW SERVICE CLASSIFICATION</v>
      </c>
      <c r="B776" s="100" t="s">
        <v>121</v>
      </c>
      <c r="C776" s="117"/>
      <c r="D776" s="165"/>
      <c r="E776" s="166"/>
      <c r="F776" s="202"/>
      <c r="G776" s="203"/>
      <c r="H776" s="204"/>
      <c r="I776" s="202"/>
      <c r="J776" s="205"/>
      <c r="K776" s="204"/>
      <c r="L776" s="206"/>
      <c r="M776" s="207"/>
    </row>
    <row r="779" spans="1:13" x14ac:dyDescent="0.25">
      <c r="C779" s="100"/>
      <c r="D779" s="101" t="s">
        <v>134</v>
      </c>
      <c r="E779" s="302" t="str">
        <f>D16</f>
        <v>GENERAL SERVICE 50 TO 999 KW SERVICE CLASSIFICATION</v>
      </c>
      <c r="F779" s="302"/>
      <c r="G779" s="302"/>
      <c r="H779" s="302"/>
      <c r="I779" s="302"/>
      <c r="J779" s="302"/>
      <c r="K779" s="100" t="str">
        <f>IF(N16="DEMAND - INTERVAL","RTSR - INTERVAL METERED","")</f>
        <v/>
      </c>
    </row>
    <row r="780" spans="1:13" x14ac:dyDescent="0.25">
      <c r="C780" s="100"/>
      <c r="D780" s="101" t="s">
        <v>135</v>
      </c>
      <c r="E780" s="303" t="str">
        <f>H16</f>
        <v>Non-RPP (Other)</v>
      </c>
      <c r="F780" s="303"/>
      <c r="G780" s="303"/>
      <c r="H780" s="102"/>
      <c r="I780" s="102"/>
    </row>
    <row r="781" spans="1:13" ht="15.75" x14ac:dyDescent="0.25">
      <c r="C781" s="100"/>
      <c r="D781" s="101" t="s">
        <v>136</v>
      </c>
      <c r="E781" s="103">
        <f>K16</f>
        <v>20000</v>
      </c>
      <c r="F781" s="104" t="s">
        <v>137</v>
      </c>
      <c r="G781" s="105"/>
      <c r="J781" s="106"/>
      <c r="K781" s="106"/>
      <c r="L781" s="106"/>
      <c r="M781" s="106"/>
    </row>
    <row r="782" spans="1:13" ht="15.75" x14ac:dyDescent="0.25">
      <c r="C782" s="100"/>
      <c r="D782" s="101" t="s">
        <v>138</v>
      </c>
      <c r="E782" s="103">
        <f>L16</f>
        <v>60</v>
      </c>
      <c r="F782" s="107" t="s">
        <v>139</v>
      </c>
      <c r="G782" s="108"/>
      <c r="H782" s="109"/>
      <c r="I782" s="109"/>
      <c r="J782" s="109"/>
    </row>
    <row r="783" spans="1:13" x14ac:dyDescent="0.25">
      <c r="C783" s="100"/>
      <c r="D783" s="101" t="s">
        <v>140</v>
      </c>
      <c r="E783" s="110">
        <f>I16</f>
        <v>1.056</v>
      </c>
    </row>
    <row r="784" spans="1:13" x14ac:dyDescent="0.25">
      <c r="C784" s="100"/>
      <c r="D784" s="101" t="s">
        <v>141</v>
      </c>
      <c r="E784" s="110">
        <f>J16</f>
        <v>1.056</v>
      </c>
    </row>
    <row r="785" spans="1:13" x14ac:dyDescent="0.25">
      <c r="C785" s="100"/>
      <c r="D785" s="105"/>
    </row>
    <row r="786" spans="1:13" x14ac:dyDescent="0.25">
      <c r="C786" s="100"/>
      <c r="D786" s="105"/>
      <c r="E786" s="111"/>
      <c r="F786" s="304" t="s">
        <v>142</v>
      </c>
      <c r="G786" s="305"/>
      <c r="H786" s="306"/>
      <c r="I786" s="304" t="s">
        <v>143</v>
      </c>
      <c r="J786" s="305"/>
      <c r="K786" s="306"/>
      <c r="L786" s="304" t="s">
        <v>144</v>
      </c>
      <c r="M786" s="306"/>
    </row>
    <row r="787" spans="1:13" x14ac:dyDescent="0.25">
      <c r="C787" s="100"/>
      <c r="D787" s="105"/>
      <c r="E787" s="295"/>
      <c r="F787" s="112" t="s">
        <v>145</v>
      </c>
      <c r="G787" s="112" t="s">
        <v>146</v>
      </c>
      <c r="H787" s="113" t="s">
        <v>147</v>
      </c>
      <c r="I787" s="112" t="s">
        <v>145</v>
      </c>
      <c r="J787" s="114" t="s">
        <v>146</v>
      </c>
      <c r="K787" s="113" t="s">
        <v>147</v>
      </c>
      <c r="L787" s="297" t="s">
        <v>148</v>
      </c>
      <c r="M787" s="299" t="s">
        <v>149</v>
      </c>
    </row>
    <row r="788" spans="1:13" x14ac:dyDescent="0.25">
      <c r="C788" s="100"/>
      <c r="D788" s="105"/>
      <c r="E788" s="296"/>
      <c r="F788" s="115" t="s">
        <v>150</v>
      </c>
      <c r="G788" s="115"/>
      <c r="H788" s="116" t="s">
        <v>150</v>
      </c>
      <c r="I788" s="115" t="s">
        <v>150</v>
      </c>
      <c r="J788" s="116"/>
      <c r="K788" s="116" t="s">
        <v>150</v>
      </c>
      <c r="L788" s="298"/>
      <c r="M788" s="300"/>
    </row>
    <row r="789" spans="1:13" x14ac:dyDescent="0.25">
      <c r="A789" s="100" t="str">
        <f>$E779</f>
        <v>GENERAL SERVICE 50 TO 999 KW SERVICE CLASSIFICATION</v>
      </c>
      <c r="C789" s="117"/>
      <c r="D789" s="118" t="s">
        <v>151</v>
      </c>
      <c r="E789" s="119"/>
      <c r="F789" s="120">
        <v>86.83</v>
      </c>
      <c r="G789" s="121">
        <v>1</v>
      </c>
      <c r="H789" s="122">
        <f>G789*F789</f>
        <v>86.83</v>
      </c>
      <c r="I789" s="123">
        <v>87.87</v>
      </c>
      <c r="J789" s="124">
        <f>G789</f>
        <v>1</v>
      </c>
      <c r="K789" s="122">
        <f>J789*I789</f>
        <v>87.87</v>
      </c>
      <c r="L789" s="125">
        <f t="shared" ref="L789:L810" si="117">K789-H789</f>
        <v>1.0400000000000063</v>
      </c>
      <c r="M789" s="126">
        <f>IF(ISERROR(L789/H789), "", L789/H789)</f>
        <v>1.1977427156512798E-2</v>
      </c>
    </row>
    <row r="790" spans="1:13" x14ac:dyDescent="0.25">
      <c r="A790" s="100" t="str">
        <f>A789</f>
        <v>GENERAL SERVICE 50 TO 999 KW SERVICE CLASSIFICATION</v>
      </c>
      <c r="C790" s="117"/>
      <c r="D790" s="118" t="s">
        <v>152</v>
      </c>
      <c r="E790" s="119"/>
      <c r="F790" s="127">
        <v>3.8580000000000001</v>
      </c>
      <c r="G790" s="121">
        <f>IF($E782&gt;0, $E782, $E781)</f>
        <v>60</v>
      </c>
      <c r="H790" s="122">
        <f t="shared" ref="H790:H802" si="118">G790*F790</f>
        <v>231.48000000000002</v>
      </c>
      <c r="I790" s="128">
        <v>3.9043000000000001</v>
      </c>
      <c r="J790" s="124">
        <f>IF($E782&gt;0, $E782, $E781)</f>
        <v>60</v>
      </c>
      <c r="K790" s="122">
        <f>J790*I790</f>
        <v>234.25800000000001</v>
      </c>
      <c r="L790" s="125">
        <f t="shared" si="117"/>
        <v>2.7779999999999916</v>
      </c>
      <c r="M790" s="126">
        <f t="shared" ref="M790:M800" si="119">IF(ISERROR(L790/H790), "", L790/H790)</f>
        <v>1.2001036806635525E-2</v>
      </c>
    </row>
    <row r="791" spans="1:13" x14ac:dyDescent="0.25">
      <c r="A791" s="100" t="str">
        <f t="shared" ref="A791:A832" si="120">A790</f>
        <v>GENERAL SERVICE 50 TO 999 KW SERVICE CLASSIFICATION</v>
      </c>
      <c r="C791" s="117"/>
      <c r="D791" s="118" t="s">
        <v>153</v>
      </c>
      <c r="E791" s="119"/>
      <c r="F791" s="127"/>
      <c r="G791" s="121">
        <f>IF($E782&gt;0, $E782, $E781)</f>
        <v>60</v>
      </c>
      <c r="H791" s="122">
        <v>0</v>
      </c>
      <c r="I791" s="128"/>
      <c r="J791" s="124">
        <f>IF($E782&gt;0, $E782, $E781)</f>
        <v>60</v>
      </c>
      <c r="K791" s="122">
        <v>0</v>
      </c>
      <c r="L791" s="125"/>
      <c r="M791" s="126"/>
    </row>
    <row r="792" spans="1:13" x14ac:dyDescent="0.25">
      <c r="A792" s="100" t="str">
        <f t="shared" si="120"/>
        <v>GENERAL SERVICE 50 TO 999 KW SERVICE CLASSIFICATION</v>
      </c>
      <c r="C792" s="117"/>
      <c r="D792" s="118" t="s">
        <v>154</v>
      </c>
      <c r="E792" s="119"/>
      <c r="F792" s="127"/>
      <c r="G792" s="121">
        <f>IF($E782&gt;0, $E782, $E781)</f>
        <v>60</v>
      </c>
      <c r="H792" s="122">
        <v>0</v>
      </c>
      <c r="I792" s="128"/>
      <c r="J792" s="121">
        <f>IF($E782&gt;0, $E782, $E781)</f>
        <v>60</v>
      </c>
      <c r="K792" s="122">
        <v>0</v>
      </c>
      <c r="L792" s="125">
        <f>K792-H792</f>
        <v>0</v>
      </c>
      <c r="M792" s="126" t="str">
        <f>IF(ISERROR(L792/H792), "", L792/H792)</f>
        <v/>
      </c>
    </row>
    <row r="793" spans="1:13" x14ac:dyDescent="0.25">
      <c r="A793" s="100" t="str">
        <f t="shared" si="120"/>
        <v>GENERAL SERVICE 50 TO 999 KW SERVICE CLASSIFICATION</v>
      </c>
      <c r="C793" s="117"/>
      <c r="D793" s="129" t="s">
        <v>155</v>
      </c>
      <c r="E793" s="119"/>
      <c r="F793" s="120">
        <v>0</v>
      </c>
      <c r="G793" s="121">
        <v>1</v>
      </c>
      <c r="H793" s="122">
        <f t="shared" si="118"/>
        <v>0</v>
      </c>
      <c r="I793" s="123">
        <v>0</v>
      </c>
      <c r="J793" s="124">
        <f>G793</f>
        <v>1</v>
      </c>
      <c r="K793" s="122">
        <f t="shared" ref="K793:K800" si="121">J793*I793</f>
        <v>0</v>
      </c>
      <c r="L793" s="125">
        <f t="shared" si="117"/>
        <v>0</v>
      </c>
      <c r="M793" s="126" t="str">
        <f t="shared" si="119"/>
        <v/>
      </c>
    </row>
    <row r="794" spans="1:13" x14ac:dyDescent="0.25">
      <c r="A794" s="100" t="str">
        <f t="shared" si="120"/>
        <v>GENERAL SERVICE 50 TO 999 KW SERVICE CLASSIFICATION</v>
      </c>
      <c r="C794" s="117"/>
      <c r="D794" s="118" t="s">
        <v>156</v>
      </c>
      <c r="E794" s="119"/>
      <c r="F794" s="127">
        <v>0</v>
      </c>
      <c r="G794" s="121">
        <f>IF($E782&gt;0, $E782, $E781)</f>
        <v>60</v>
      </c>
      <c r="H794" s="122">
        <f t="shared" si="118"/>
        <v>0</v>
      </c>
      <c r="I794" s="128">
        <v>0</v>
      </c>
      <c r="J794" s="124">
        <f>IF($E782&gt;0, $E782, $E781)</f>
        <v>60</v>
      </c>
      <c r="K794" s="122">
        <f t="shared" si="121"/>
        <v>0</v>
      </c>
      <c r="L794" s="125">
        <f t="shared" si="117"/>
        <v>0</v>
      </c>
      <c r="M794" s="126" t="str">
        <f t="shared" si="119"/>
        <v/>
      </c>
    </row>
    <row r="795" spans="1:13" x14ac:dyDescent="0.25">
      <c r="A795" s="100" t="str">
        <f t="shared" si="120"/>
        <v>GENERAL SERVICE 50 TO 999 KW SERVICE CLASSIFICATION</v>
      </c>
      <c r="B795" s="130" t="s">
        <v>157</v>
      </c>
      <c r="C795" s="117">
        <f>B16</f>
        <v>14</v>
      </c>
      <c r="D795" s="131" t="s">
        <v>158</v>
      </c>
      <c r="E795" s="132"/>
      <c r="F795" s="133"/>
      <c r="G795" s="134"/>
      <c r="H795" s="135">
        <f>SUM(H789:H794)</f>
        <v>318.31</v>
      </c>
      <c r="I795" s="136"/>
      <c r="J795" s="137"/>
      <c r="K795" s="135">
        <f>SUM(K789:K794)</f>
        <v>322.12800000000004</v>
      </c>
      <c r="L795" s="138">
        <f t="shared" si="117"/>
        <v>3.8180000000000405</v>
      </c>
      <c r="M795" s="139">
        <f>IF((H795)=0,"",(L795/H795))</f>
        <v>1.1994596462568063E-2</v>
      </c>
    </row>
    <row r="796" spans="1:13" x14ac:dyDescent="0.25">
      <c r="A796" s="100" t="str">
        <f t="shared" si="120"/>
        <v>GENERAL SERVICE 50 TO 999 KW SERVICE CLASSIFICATION</v>
      </c>
      <c r="C796" s="117"/>
      <c r="D796" s="140" t="s">
        <v>159</v>
      </c>
      <c r="E796" s="119"/>
      <c r="F796" s="127">
        <f>IF((E781*12&gt;=150000), 0, IF(E780="RPP",(F812*0.65+F813*0.17+F814*0.18),IF(E780="Non-RPP (Retailer)",F815,F816)))</f>
        <v>0</v>
      </c>
      <c r="G796" s="141">
        <f>IF(F796=0, 0, $E781*E783-E781)</f>
        <v>0</v>
      </c>
      <c r="H796" s="122">
        <f>G796*F796</f>
        <v>0</v>
      </c>
      <c r="I796" s="128">
        <f>IF((E781*12&gt;=150000), 0, IF(E780="RPP",(I812*0.65+I813*0.17+I814*0.18),IF(E780="Non-RPP (Retailer)",I815,I816)))</f>
        <v>0</v>
      </c>
      <c r="J796" s="141">
        <f>IF(I796=0, 0, E781*E784-E781)</f>
        <v>0</v>
      </c>
      <c r="K796" s="122">
        <f>J796*I796</f>
        <v>0</v>
      </c>
      <c r="L796" s="125">
        <f>K796-H796</f>
        <v>0</v>
      </c>
      <c r="M796" s="126" t="str">
        <f>IF(ISERROR(L796/H796), "", L796/H796)</f>
        <v/>
      </c>
    </row>
    <row r="797" spans="1:13" ht="25.5" x14ac:dyDescent="0.25">
      <c r="A797" s="100" t="str">
        <f t="shared" si="120"/>
        <v>GENERAL SERVICE 50 TO 999 KW SERVICE CLASSIFICATION</v>
      </c>
      <c r="C797" s="117"/>
      <c r="D797" s="140" t="s">
        <v>160</v>
      </c>
      <c r="E797" s="119"/>
      <c r="F797" s="127">
        <v>-0.70650000000000002</v>
      </c>
      <c r="G797" s="142">
        <f>IF($E782&gt;0, $E782, $E781)</f>
        <v>60</v>
      </c>
      <c r="H797" s="122">
        <f t="shared" si="118"/>
        <v>-42.39</v>
      </c>
      <c r="I797" s="128">
        <v>-1.7801</v>
      </c>
      <c r="J797" s="142">
        <f>IF($E782&gt;0, $E782, $E781)</f>
        <v>60</v>
      </c>
      <c r="K797" s="122">
        <f t="shared" si="121"/>
        <v>-106.806</v>
      </c>
      <c r="L797" s="125">
        <f t="shared" si="117"/>
        <v>-64.415999999999997</v>
      </c>
      <c r="M797" s="126">
        <f t="shared" si="119"/>
        <v>1.5196036801132342</v>
      </c>
    </row>
    <row r="798" spans="1:13" x14ac:dyDescent="0.25">
      <c r="A798" s="100" t="str">
        <f t="shared" si="120"/>
        <v>GENERAL SERVICE 50 TO 999 KW SERVICE CLASSIFICATION</v>
      </c>
      <c r="C798" s="117"/>
      <c r="D798" s="140" t="s">
        <v>161</v>
      </c>
      <c r="E798" s="119"/>
      <c r="F798" s="127">
        <v>-2.76E-2</v>
      </c>
      <c r="G798" s="142">
        <f>IF($E782&gt;0, $E782, $E781)</f>
        <v>60</v>
      </c>
      <c r="H798" s="122">
        <f>G798*F798</f>
        <v>-1.6559999999999999</v>
      </c>
      <c r="I798" s="128">
        <v>0</v>
      </c>
      <c r="J798" s="142">
        <f>IF($E782&gt;0, $E782, $E781)</f>
        <v>60</v>
      </c>
      <c r="K798" s="122">
        <f>J798*I798</f>
        <v>0</v>
      </c>
      <c r="L798" s="125">
        <f t="shared" si="117"/>
        <v>1.6559999999999999</v>
      </c>
      <c r="M798" s="126">
        <f t="shared" si="119"/>
        <v>-1</v>
      </c>
    </row>
    <row r="799" spans="1:13" x14ac:dyDescent="0.25">
      <c r="A799" s="100" t="str">
        <f t="shared" si="120"/>
        <v>GENERAL SERVICE 50 TO 999 KW SERVICE CLASSIFICATION</v>
      </c>
      <c r="C799" s="117"/>
      <c r="D799" s="140" t="s">
        <v>162</v>
      </c>
      <c r="E799" s="119"/>
      <c r="F799" s="127">
        <v>-1E-3</v>
      </c>
      <c r="G799" s="142">
        <f>E781</f>
        <v>20000</v>
      </c>
      <c r="H799" s="122">
        <f>G799*F799</f>
        <v>-20</v>
      </c>
      <c r="I799" s="128">
        <v>1.37E-2</v>
      </c>
      <c r="J799" s="142">
        <f>E781</f>
        <v>20000</v>
      </c>
      <c r="K799" s="122">
        <f t="shared" si="121"/>
        <v>274</v>
      </c>
      <c r="L799" s="125">
        <f t="shared" si="117"/>
        <v>294</v>
      </c>
      <c r="M799" s="126">
        <f t="shared" si="119"/>
        <v>-14.7</v>
      </c>
    </row>
    <row r="800" spans="1:13" x14ac:dyDescent="0.25">
      <c r="A800" s="100" t="str">
        <f t="shared" si="120"/>
        <v>GENERAL SERVICE 50 TO 999 KW SERVICE CLASSIFICATION</v>
      </c>
      <c r="C800" s="117"/>
      <c r="D800" s="143" t="s">
        <v>163</v>
      </c>
      <c r="E800" s="119"/>
      <c r="F800" s="127">
        <v>1.0483</v>
      </c>
      <c r="G800" s="142">
        <f>IF($E782&gt;0, $E782, $E781)</f>
        <v>60</v>
      </c>
      <c r="H800" s="122">
        <f t="shared" si="118"/>
        <v>62.898000000000003</v>
      </c>
      <c r="I800" s="128">
        <v>1.0483</v>
      </c>
      <c r="J800" s="142">
        <f>IF($E782&gt;0, $E782, $E781)</f>
        <v>60</v>
      </c>
      <c r="K800" s="122">
        <f t="shared" si="121"/>
        <v>62.898000000000003</v>
      </c>
      <c r="L800" s="125">
        <f t="shared" si="117"/>
        <v>0</v>
      </c>
      <c r="M800" s="126">
        <f t="shared" si="119"/>
        <v>0</v>
      </c>
    </row>
    <row r="801" spans="1:13" ht="25.5" x14ac:dyDescent="0.25">
      <c r="A801" s="100" t="str">
        <f t="shared" si="120"/>
        <v>GENERAL SERVICE 50 TO 999 KW SERVICE CLASSIFICATION</v>
      </c>
      <c r="C801" s="117"/>
      <c r="D801" s="144" t="s">
        <v>164</v>
      </c>
      <c r="E801" s="119"/>
      <c r="F801" s="145">
        <f>IF(OR(ISNUMBER(SEARCH("RESIDENTIAL", E779))=TRUE, ISNUMBER(SEARCH("GENERAL SERVICE LESS THAN 50", E779))=TRUE), SME, 0)</f>
        <v>0</v>
      </c>
      <c r="G801" s="121">
        <v>1</v>
      </c>
      <c r="H801" s="122">
        <f>G801*F801</f>
        <v>0</v>
      </c>
      <c r="I801" s="146">
        <f>IF(OR(ISNUMBER(SEARCH("RESIDENTIAL", E779))=TRUE, ISNUMBER(SEARCH("GENERAL SERVICE LESS THAN 50", E779))=TRUE), SME, 0)</f>
        <v>0</v>
      </c>
      <c r="J801" s="121">
        <v>1</v>
      </c>
      <c r="K801" s="122">
        <f>J801*I801</f>
        <v>0</v>
      </c>
      <c r="L801" s="125">
        <f t="shared" si="117"/>
        <v>0</v>
      </c>
      <c r="M801" s="126" t="str">
        <f>IF(ISERROR(L801/H801), "", L801/H801)</f>
        <v/>
      </c>
    </row>
    <row r="802" spans="1:13" x14ac:dyDescent="0.25">
      <c r="A802" s="100" t="str">
        <f t="shared" si="120"/>
        <v>GENERAL SERVICE 50 TO 999 KW SERVICE CLASSIFICATION</v>
      </c>
      <c r="C802" s="117"/>
      <c r="D802" s="143" t="s">
        <v>165</v>
      </c>
      <c r="E802" s="119"/>
      <c r="F802" s="120">
        <v>0</v>
      </c>
      <c r="G802" s="121">
        <v>1</v>
      </c>
      <c r="H802" s="122">
        <f t="shared" si="118"/>
        <v>0</v>
      </c>
      <c r="I802" s="123">
        <v>0</v>
      </c>
      <c r="J802" s="121">
        <v>1</v>
      </c>
      <c r="K802" s="122">
        <f>J802*I802</f>
        <v>0</v>
      </c>
      <c r="L802" s="125">
        <f>K802-H802</f>
        <v>0</v>
      </c>
      <c r="M802" s="126" t="str">
        <f>IF(ISERROR(L802/H802), "", L802/H802)</f>
        <v/>
      </c>
    </row>
    <row r="803" spans="1:13" x14ac:dyDescent="0.25">
      <c r="A803" s="100" t="str">
        <f t="shared" si="120"/>
        <v>GENERAL SERVICE 50 TO 999 KW SERVICE CLASSIFICATION</v>
      </c>
      <c r="C803" s="117"/>
      <c r="D803" s="143" t="s">
        <v>166</v>
      </c>
      <c r="E803" s="119"/>
      <c r="F803" s="127"/>
      <c r="G803" s="142">
        <f>IF($E782&gt;0, $E782, $E781)</f>
        <v>60</v>
      </c>
      <c r="H803" s="122">
        <f>G803*F803</f>
        <v>0</v>
      </c>
      <c r="I803" s="128">
        <v>0</v>
      </c>
      <c r="J803" s="142">
        <f>IF($E782&gt;0, $E782, $E781)</f>
        <v>60</v>
      </c>
      <c r="K803" s="122">
        <f>J803*I803</f>
        <v>0</v>
      </c>
      <c r="L803" s="125">
        <f t="shared" si="117"/>
        <v>0</v>
      </c>
      <c r="M803" s="126" t="str">
        <f>IF(ISERROR(L803/H803), "", L803/H803)</f>
        <v/>
      </c>
    </row>
    <row r="804" spans="1:13" ht="25.5" x14ac:dyDescent="0.25">
      <c r="A804" s="100" t="str">
        <f t="shared" si="120"/>
        <v>GENERAL SERVICE 50 TO 999 KW SERVICE CLASSIFICATION</v>
      </c>
      <c r="B804" s="105" t="s">
        <v>167</v>
      </c>
      <c r="C804" s="117">
        <f>B16</f>
        <v>14</v>
      </c>
      <c r="D804" s="147" t="s">
        <v>168</v>
      </c>
      <c r="E804" s="148"/>
      <c r="F804" s="149"/>
      <c r="G804" s="150"/>
      <c r="H804" s="151">
        <f>SUM(H795:H803)</f>
        <v>317.16200000000003</v>
      </c>
      <c r="I804" s="152"/>
      <c r="J804" s="153"/>
      <c r="K804" s="151">
        <f>SUM(K795:K803)</f>
        <v>552.22</v>
      </c>
      <c r="L804" s="138">
        <f t="shared" si="117"/>
        <v>235.05799999999999</v>
      </c>
      <c r="M804" s="139">
        <f>IF((H804)=0,"",(L804/H804))</f>
        <v>0.74112913905196698</v>
      </c>
    </row>
    <row r="805" spans="1:13" x14ac:dyDescent="0.25">
      <c r="A805" s="100" t="str">
        <f t="shared" si="120"/>
        <v>GENERAL SERVICE 50 TO 999 KW SERVICE CLASSIFICATION</v>
      </c>
      <c r="C805" s="117"/>
      <c r="D805" s="154" t="s">
        <v>169</v>
      </c>
      <c r="E805" s="119"/>
      <c r="F805" s="127">
        <v>2.6217000000000001</v>
      </c>
      <c r="G805" s="141">
        <f>IF($E782&gt;0, $E782, $E781*$E783)</f>
        <v>60</v>
      </c>
      <c r="H805" s="122">
        <f>G805*F805</f>
        <v>157.30200000000002</v>
      </c>
      <c r="I805" s="128">
        <v>2.4868999999999999</v>
      </c>
      <c r="J805" s="141">
        <f>IF($E782&gt;0, $E782, $E781*$E784)</f>
        <v>60</v>
      </c>
      <c r="K805" s="122">
        <f>J805*I805</f>
        <v>149.214</v>
      </c>
      <c r="L805" s="125">
        <f t="shared" si="117"/>
        <v>-8.0880000000000223</v>
      </c>
      <c r="M805" s="126">
        <f>IF(ISERROR(L805/H805), "", L805/H805)</f>
        <v>-5.1417019491169988E-2</v>
      </c>
    </row>
    <row r="806" spans="1:13" ht="25.5" x14ac:dyDescent="0.25">
      <c r="A806" s="100" t="str">
        <f t="shared" si="120"/>
        <v>GENERAL SERVICE 50 TO 999 KW SERVICE CLASSIFICATION</v>
      </c>
      <c r="C806" s="117"/>
      <c r="D806" s="155" t="s">
        <v>170</v>
      </c>
      <c r="E806" s="119"/>
      <c r="F806" s="127">
        <v>2.2145999999999999</v>
      </c>
      <c r="G806" s="141">
        <f>IF($E782&gt;0, $E782, $E781*$E783)</f>
        <v>60</v>
      </c>
      <c r="H806" s="122">
        <f>G806*F806</f>
        <v>132.876</v>
      </c>
      <c r="I806" s="128">
        <v>2.0933000000000002</v>
      </c>
      <c r="J806" s="141">
        <f>IF($E782&gt;0, $E782, $E781*$E784)</f>
        <v>60</v>
      </c>
      <c r="K806" s="122">
        <f>J806*I806</f>
        <v>125.59800000000001</v>
      </c>
      <c r="L806" s="125">
        <f t="shared" si="117"/>
        <v>-7.2779999999999916</v>
      </c>
      <c r="M806" s="126">
        <f>IF(ISERROR(L806/H806), "", L806/H806)</f>
        <v>-5.4772870947349346E-2</v>
      </c>
    </row>
    <row r="807" spans="1:13" ht="25.5" x14ac:dyDescent="0.25">
      <c r="A807" s="100" t="str">
        <f t="shared" si="120"/>
        <v>GENERAL SERVICE 50 TO 999 KW SERVICE CLASSIFICATION</v>
      </c>
      <c r="B807" s="105" t="s">
        <v>171</v>
      </c>
      <c r="C807" s="117">
        <f>B16</f>
        <v>14</v>
      </c>
      <c r="D807" s="147" t="s">
        <v>172</v>
      </c>
      <c r="E807" s="132"/>
      <c r="F807" s="149"/>
      <c r="G807" s="150"/>
      <c r="H807" s="151">
        <f>SUM(H804:H806)</f>
        <v>607.34</v>
      </c>
      <c r="I807" s="152"/>
      <c r="J807" s="137"/>
      <c r="K807" s="151">
        <f>SUM(K804:K806)</f>
        <v>827.03199999999993</v>
      </c>
      <c r="L807" s="138">
        <f t="shared" si="117"/>
        <v>219.69199999999989</v>
      </c>
      <c r="M807" s="139">
        <f>IF((H807)=0,"",(L807/H807))</f>
        <v>0.36172819178713717</v>
      </c>
    </row>
    <row r="808" spans="1:13" ht="25.5" x14ac:dyDescent="0.25">
      <c r="A808" s="100" t="str">
        <f t="shared" si="120"/>
        <v>GENERAL SERVICE 50 TO 999 KW SERVICE CLASSIFICATION</v>
      </c>
      <c r="C808" s="117"/>
      <c r="D808" s="156" t="s">
        <v>173</v>
      </c>
      <c r="E808" s="119"/>
      <c r="F808" s="127">
        <v>3.6000000000000003E-3</v>
      </c>
      <c r="G808" s="141">
        <f>E781*E783</f>
        <v>21120</v>
      </c>
      <c r="H808" s="157">
        <f t="shared" ref="H808:H814" si="122">G808*F808</f>
        <v>76.032000000000011</v>
      </c>
      <c r="I808" s="128">
        <v>3.6000000000000003E-3</v>
      </c>
      <c r="J808" s="141">
        <f>E781*E784</f>
        <v>21120</v>
      </c>
      <c r="K808" s="157">
        <f t="shared" ref="K808:K814" si="123">J808*I808</f>
        <v>76.032000000000011</v>
      </c>
      <c r="L808" s="125">
        <f t="shared" si="117"/>
        <v>0</v>
      </c>
      <c r="M808" s="126">
        <f t="shared" ref="M808:M816" si="124">IF(ISERROR(L808/H808), "", L808/H808)</f>
        <v>0</v>
      </c>
    </row>
    <row r="809" spans="1:13" ht="25.5" x14ac:dyDescent="0.25">
      <c r="A809" s="100" t="str">
        <f t="shared" si="120"/>
        <v>GENERAL SERVICE 50 TO 999 KW SERVICE CLASSIFICATION</v>
      </c>
      <c r="C809" s="117"/>
      <c r="D809" s="156" t="s">
        <v>174</v>
      </c>
      <c r="E809" s="119"/>
      <c r="F809" s="127">
        <f>'[1]17. Regulatory Charges'!$D$16</f>
        <v>2.9999999999999997E-4</v>
      </c>
      <c r="G809" s="141">
        <f>E781*E783</f>
        <v>21120</v>
      </c>
      <c r="H809" s="157">
        <f t="shared" si="122"/>
        <v>6.3359999999999994</v>
      </c>
      <c r="I809" s="128">
        <v>2.9999999999999997E-4</v>
      </c>
      <c r="J809" s="141">
        <f>E781*E784</f>
        <v>21120</v>
      </c>
      <c r="K809" s="157">
        <f t="shared" si="123"/>
        <v>6.3359999999999994</v>
      </c>
      <c r="L809" s="125">
        <f t="shared" si="117"/>
        <v>0</v>
      </c>
      <c r="M809" s="126">
        <f t="shared" si="124"/>
        <v>0</v>
      </c>
    </row>
    <row r="810" spans="1:13" x14ac:dyDescent="0.25">
      <c r="A810" s="100" t="str">
        <f t="shared" si="120"/>
        <v>GENERAL SERVICE 50 TO 999 KW SERVICE CLASSIFICATION</v>
      </c>
      <c r="C810" s="117"/>
      <c r="D810" s="158" t="s">
        <v>175</v>
      </c>
      <c r="E810" s="119"/>
      <c r="F810" s="145">
        <v>0.25</v>
      </c>
      <c r="G810" s="121">
        <v>1</v>
      </c>
      <c r="H810" s="157">
        <f t="shared" si="122"/>
        <v>0.25</v>
      </c>
      <c r="I810" s="146">
        <f>'[1]17. Regulatory Charges'!$D$17</f>
        <v>0.25</v>
      </c>
      <c r="J810" s="124">
        <v>1</v>
      </c>
      <c r="K810" s="157">
        <f t="shared" si="123"/>
        <v>0.25</v>
      </c>
      <c r="L810" s="125">
        <f t="shared" si="117"/>
        <v>0</v>
      </c>
      <c r="M810" s="126">
        <f t="shared" si="124"/>
        <v>0</v>
      </c>
    </row>
    <row r="811" spans="1:13" ht="25.5" x14ac:dyDescent="0.25">
      <c r="A811" s="100" t="str">
        <f t="shared" si="120"/>
        <v>GENERAL SERVICE 50 TO 999 KW SERVICE CLASSIFICATION</v>
      </c>
      <c r="C811" s="117"/>
      <c r="D811" s="156" t="s">
        <v>176</v>
      </c>
      <c r="E811" s="119"/>
      <c r="F811" s="127"/>
      <c r="G811" s="141"/>
      <c r="H811" s="157"/>
      <c r="I811" s="128"/>
      <c r="J811" s="141"/>
      <c r="K811" s="157"/>
      <c r="L811" s="125"/>
      <c r="M811" s="126"/>
    </row>
    <row r="812" spans="1:13" hidden="1" x14ac:dyDescent="0.25">
      <c r="A812" s="100" t="str">
        <f t="shared" si="120"/>
        <v>GENERAL SERVICE 50 TO 999 KW SERVICE CLASSIFICATION</v>
      </c>
      <c r="B812" s="105" t="s">
        <v>117</v>
      </c>
      <c r="C812" s="117"/>
      <c r="D812" s="159" t="s">
        <v>177</v>
      </c>
      <c r="E812" s="119"/>
      <c r="F812" s="160">
        <f>OffPeak</f>
        <v>6.5000000000000002E-2</v>
      </c>
      <c r="G812" s="161">
        <f>IF(AND(E781*12&gt;=150000),0.65*E781*E783,0.65*E781)</f>
        <v>13728</v>
      </c>
      <c r="H812" s="157">
        <f t="shared" si="122"/>
        <v>892.32</v>
      </c>
      <c r="I812" s="162">
        <f>OffPeak</f>
        <v>6.5000000000000002E-2</v>
      </c>
      <c r="J812" s="161">
        <f>IF(AND(E781*12&gt;=150000),0.65*E781*E784,0.65*E781)</f>
        <v>13728</v>
      </c>
      <c r="K812" s="157">
        <f t="shared" si="123"/>
        <v>892.32</v>
      </c>
      <c r="L812" s="125">
        <f>K812-H812</f>
        <v>0</v>
      </c>
      <c r="M812" s="126">
        <f t="shared" si="124"/>
        <v>0</v>
      </c>
    </row>
    <row r="813" spans="1:13" hidden="1" x14ac:dyDescent="0.25">
      <c r="A813" s="100" t="str">
        <f t="shared" si="120"/>
        <v>GENERAL SERVICE 50 TO 999 KW SERVICE CLASSIFICATION</v>
      </c>
      <c r="B813" s="105" t="s">
        <v>117</v>
      </c>
      <c r="C813" s="117"/>
      <c r="D813" s="159" t="s">
        <v>178</v>
      </c>
      <c r="E813" s="119"/>
      <c r="F813" s="160">
        <f>MidPeak</f>
        <v>9.4E-2</v>
      </c>
      <c r="G813" s="161">
        <f>IF(AND(E781*12&gt;=150000),0.17*E781*E783,0.17*E781)</f>
        <v>3590.4000000000005</v>
      </c>
      <c r="H813" s="157">
        <f t="shared" si="122"/>
        <v>337.49760000000003</v>
      </c>
      <c r="I813" s="162">
        <f>MidPeak</f>
        <v>9.4E-2</v>
      </c>
      <c r="J813" s="161">
        <f>IF(AND(E781*12&gt;=150000),0.17*E781*E784,0.17*E781)</f>
        <v>3590.4000000000005</v>
      </c>
      <c r="K813" s="157">
        <f t="shared" si="123"/>
        <v>337.49760000000003</v>
      </c>
      <c r="L813" s="125">
        <f>K813-H813</f>
        <v>0</v>
      </c>
      <c r="M813" s="126">
        <f t="shared" si="124"/>
        <v>0</v>
      </c>
    </row>
    <row r="814" spans="1:13" hidden="1" x14ac:dyDescent="0.25">
      <c r="A814" s="100" t="str">
        <f t="shared" si="120"/>
        <v>GENERAL SERVICE 50 TO 999 KW SERVICE CLASSIFICATION</v>
      </c>
      <c r="B814" s="105" t="s">
        <v>117</v>
      </c>
      <c r="C814" s="117"/>
      <c r="D814" s="105" t="s">
        <v>179</v>
      </c>
      <c r="E814" s="119"/>
      <c r="F814" s="160">
        <f>OnPeak</f>
        <v>0.13200000000000001</v>
      </c>
      <c r="G814" s="161">
        <f>IF(AND(E781*12&gt;=150000),0.18*E781*E783,0.18*E781)</f>
        <v>3801.6000000000004</v>
      </c>
      <c r="H814" s="157">
        <f t="shared" si="122"/>
        <v>501.8112000000001</v>
      </c>
      <c r="I814" s="162">
        <f>OnPeak</f>
        <v>0.13200000000000001</v>
      </c>
      <c r="J814" s="161">
        <f>IF(AND(E781*12&gt;=150000),0.18*E781*E784,0.18*E781)</f>
        <v>3801.6000000000004</v>
      </c>
      <c r="K814" s="157">
        <f t="shared" si="123"/>
        <v>501.8112000000001</v>
      </c>
      <c r="L814" s="125">
        <f>K814-H814</f>
        <v>0</v>
      </c>
      <c r="M814" s="126">
        <f t="shared" si="124"/>
        <v>0</v>
      </c>
    </row>
    <row r="815" spans="1:13" hidden="1" x14ac:dyDescent="0.25">
      <c r="A815" s="100" t="str">
        <f t="shared" si="120"/>
        <v>GENERAL SERVICE 50 TO 999 KW SERVICE CLASSIFICATION</v>
      </c>
      <c r="B815" s="100" t="s">
        <v>180</v>
      </c>
      <c r="C815" s="117"/>
      <c r="D815" s="159" t="s">
        <v>181</v>
      </c>
      <c r="E815" s="119"/>
      <c r="F815" s="163">
        <v>0.1101</v>
      </c>
      <c r="G815" s="161">
        <f>IF(AND(E781*12&gt;=150000),E781*E783,E781)</f>
        <v>21120</v>
      </c>
      <c r="H815" s="157">
        <f>G815*F815</f>
        <v>2325.3119999999999</v>
      </c>
      <c r="I815" s="164">
        <f>F815</f>
        <v>0.1101</v>
      </c>
      <c r="J815" s="161">
        <f>IF(AND(E781*12&gt;=150000),E781*E784,E781)</f>
        <v>21120</v>
      </c>
      <c r="K815" s="157">
        <f>J815*I815</f>
        <v>2325.3119999999999</v>
      </c>
      <c r="L815" s="125">
        <f>K815-H815</f>
        <v>0</v>
      </c>
      <c r="M815" s="126">
        <f t="shared" si="124"/>
        <v>0</v>
      </c>
    </row>
    <row r="816" spans="1:13" ht="15.75" thickBot="1" x14ac:dyDescent="0.3">
      <c r="A816" s="100" t="str">
        <f t="shared" si="120"/>
        <v>GENERAL SERVICE 50 TO 999 KW SERVICE CLASSIFICATION</v>
      </c>
      <c r="B816" s="100" t="s">
        <v>121</v>
      </c>
      <c r="C816" s="117"/>
      <c r="D816" s="159" t="s">
        <v>182</v>
      </c>
      <c r="E816" s="119"/>
      <c r="F816" s="163">
        <v>0.1101</v>
      </c>
      <c r="G816" s="161">
        <f>IF(AND(E781*12&gt;=150000),E781*E783,E781)</f>
        <v>21120</v>
      </c>
      <c r="H816" s="157">
        <f>G816*F816</f>
        <v>2325.3119999999999</v>
      </c>
      <c r="I816" s="164">
        <f>F816</f>
        <v>0.1101</v>
      </c>
      <c r="J816" s="161">
        <f>IF(AND(E781*12&gt;=150000),E781*E784,E781)</f>
        <v>21120</v>
      </c>
      <c r="K816" s="157">
        <f>J816*I816</f>
        <v>2325.3119999999999</v>
      </c>
      <c r="L816" s="125">
        <f>K816-H816</f>
        <v>0</v>
      </c>
      <c r="M816" s="126">
        <f t="shared" si="124"/>
        <v>0</v>
      </c>
    </row>
    <row r="817" spans="1:13" ht="15.75" thickBot="1" x14ac:dyDescent="0.3">
      <c r="A817" s="100" t="str">
        <f t="shared" si="120"/>
        <v>GENERAL SERVICE 50 TO 999 KW SERVICE CLASSIFICATION</v>
      </c>
      <c r="B817" s="105"/>
      <c r="C817" s="117"/>
      <c r="D817" s="165"/>
      <c r="E817" s="166"/>
      <c r="F817" s="167"/>
      <c r="G817" s="168"/>
      <c r="H817" s="169"/>
      <c r="I817" s="167"/>
      <c r="J817" s="170"/>
      <c r="K817" s="169"/>
      <c r="L817" s="171"/>
      <c r="M817" s="172"/>
    </row>
    <row r="818" spans="1:13" hidden="1" x14ac:dyDescent="0.25">
      <c r="A818" s="100" t="str">
        <f t="shared" si="120"/>
        <v>GENERAL SERVICE 50 TO 999 KW SERVICE CLASSIFICATION</v>
      </c>
      <c r="B818" s="105" t="s">
        <v>117</v>
      </c>
      <c r="C818" s="117"/>
      <c r="D818" s="173" t="s">
        <v>183</v>
      </c>
      <c r="E818" s="158"/>
      <c r="F818" s="174"/>
      <c r="G818" s="175"/>
      <c r="H818" s="176">
        <f>SUM(H808:H814,H807)</f>
        <v>2421.5868000000005</v>
      </c>
      <c r="I818" s="177"/>
      <c r="J818" s="177"/>
      <c r="K818" s="176">
        <f>SUM(K808:K814,K807)</f>
        <v>2641.2788</v>
      </c>
      <c r="L818" s="178">
        <f>K818-H818</f>
        <v>219.69199999999955</v>
      </c>
      <c r="M818" s="179">
        <f>IF((H818)=0,"",(L818/H818))</f>
        <v>9.0722331324237279E-2</v>
      </c>
    </row>
    <row r="819" spans="1:13" hidden="1" x14ac:dyDescent="0.25">
      <c r="A819" s="100" t="str">
        <f t="shared" si="120"/>
        <v>GENERAL SERVICE 50 TO 999 KW SERVICE CLASSIFICATION</v>
      </c>
      <c r="B819" s="105" t="s">
        <v>117</v>
      </c>
      <c r="C819" s="117"/>
      <c r="D819" s="180" t="s">
        <v>184</v>
      </c>
      <c r="E819" s="158"/>
      <c r="F819" s="174">
        <v>0.13</v>
      </c>
      <c r="G819" s="181"/>
      <c r="H819" s="182">
        <f>H818*F819</f>
        <v>314.80628400000006</v>
      </c>
      <c r="I819" s="183">
        <v>0.13</v>
      </c>
      <c r="J819" s="121"/>
      <c r="K819" s="182">
        <f>K818*I819</f>
        <v>343.36624399999999</v>
      </c>
      <c r="L819" s="184">
        <f>K819-H819</f>
        <v>28.559959999999933</v>
      </c>
      <c r="M819" s="185">
        <f>IF((H819)=0,"",(L819/H819))</f>
        <v>9.0722331324237251E-2</v>
      </c>
    </row>
    <row r="820" spans="1:13" hidden="1" x14ac:dyDescent="0.25">
      <c r="A820" s="100" t="str">
        <f t="shared" si="120"/>
        <v>GENERAL SERVICE 50 TO 999 KW SERVICE CLASSIFICATION</v>
      </c>
      <c r="B820" s="105" t="s">
        <v>117</v>
      </c>
      <c r="C820" s="117"/>
      <c r="D820" s="180" t="s">
        <v>185</v>
      </c>
      <c r="E820" s="158"/>
      <c r="F820" s="174">
        <v>0.08</v>
      </c>
      <c r="G820" s="181"/>
      <c r="H820" s="182">
        <v>0</v>
      </c>
      <c r="I820" s="174">
        <v>0.08</v>
      </c>
      <c r="J820" s="121"/>
      <c r="K820" s="182">
        <v>0</v>
      </c>
      <c r="L820" s="184">
        <f>K820-H820</f>
        <v>0</v>
      </c>
      <c r="M820" s="185"/>
    </row>
    <row r="821" spans="1:13" ht="15.75" hidden="1" thickBot="1" x14ac:dyDescent="0.3">
      <c r="A821" s="100" t="str">
        <f t="shared" si="120"/>
        <v>GENERAL SERVICE 50 TO 999 KW SERVICE CLASSIFICATION</v>
      </c>
      <c r="B821" s="105" t="s">
        <v>186</v>
      </c>
      <c r="C821" s="117"/>
      <c r="D821" s="301" t="s">
        <v>187</v>
      </c>
      <c r="E821" s="301"/>
      <c r="F821" s="186"/>
      <c r="G821" s="187"/>
      <c r="H821" s="188">
        <f>H818+H819+H820</f>
        <v>2736.3930840000007</v>
      </c>
      <c r="I821" s="189"/>
      <c r="J821" s="189"/>
      <c r="K821" s="190">
        <f>K818+K819+K820</f>
        <v>2984.6450439999999</v>
      </c>
      <c r="L821" s="191">
        <f>K821-H821</f>
        <v>248.25195999999914</v>
      </c>
      <c r="M821" s="192">
        <f>IF((H821)=0,"",(L821/H821))</f>
        <v>9.072233132423714E-2</v>
      </c>
    </row>
    <row r="822" spans="1:13" ht="15.75" hidden="1" thickBot="1" x14ac:dyDescent="0.3">
      <c r="A822" s="100" t="str">
        <f t="shared" si="120"/>
        <v>GENERAL SERVICE 50 TO 999 KW SERVICE CLASSIFICATION</v>
      </c>
      <c r="B822" s="100" t="s">
        <v>117</v>
      </c>
      <c r="C822" s="117"/>
      <c r="D822" s="165"/>
      <c r="E822" s="166"/>
      <c r="F822" s="167"/>
      <c r="G822" s="168"/>
      <c r="H822" s="169"/>
      <c r="I822" s="167"/>
      <c r="J822" s="170"/>
      <c r="K822" s="169"/>
      <c r="L822" s="171"/>
      <c r="M822" s="172"/>
    </row>
    <row r="823" spans="1:13" hidden="1" x14ac:dyDescent="0.25">
      <c r="A823" s="100" t="str">
        <f t="shared" si="120"/>
        <v>GENERAL SERVICE 50 TO 999 KW SERVICE CLASSIFICATION</v>
      </c>
      <c r="B823" s="100" t="s">
        <v>180</v>
      </c>
      <c r="C823" s="117"/>
      <c r="D823" s="173" t="s">
        <v>188</v>
      </c>
      <c r="E823" s="158"/>
      <c r="F823" s="174"/>
      <c r="G823" s="175"/>
      <c r="H823" s="176">
        <f>SUM(H815,H808:H811,H807)</f>
        <v>3015.27</v>
      </c>
      <c r="I823" s="177"/>
      <c r="J823" s="177"/>
      <c r="K823" s="176">
        <f>SUM(K815,K808:K811,K807)</f>
        <v>3234.9619999999995</v>
      </c>
      <c r="L823" s="178">
        <f>K823-H823</f>
        <v>219.69199999999955</v>
      </c>
      <c r="M823" s="179">
        <f>IF((H823)=0,"",(L823/H823))</f>
        <v>7.2859810232582672E-2</v>
      </c>
    </row>
    <row r="824" spans="1:13" hidden="1" x14ac:dyDescent="0.25">
      <c r="A824" s="100" t="str">
        <f t="shared" si="120"/>
        <v>GENERAL SERVICE 50 TO 999 KW SERVICE CLASSIFICATION</v>
      </c>
      <c r="B824" s="100" t="s">
        <v>180</v>
      </c>
      <c r="C824" s="117"/>
      <c r="D824" s="180" t="s">
        <v>184</v>
      </c>
      <c r="E824" s="158"/>
      <c r="F824" s="174">
        <v>0.13</v>
      </c>
      <c r="G824" s="175"/>
      <c r="H824" s="182">
        <f>H823*F824</f>
        <v>391.98509999999999</v>
      </c>
      <c r="I824" s="174">
        <v>0.13</v>
      </c>
      <c r="J824" s="183"/>
      <c r="K824" s="182">
        <f>K823*I824</f>
        <v>420.54505999999998</v>
      </c>
      <c r="L824" s="184">
        <f>K824-H824</f>
        <v>28.55995999999999</v>
      </c>
      <c r="M824" s="185">
        <f>IF((H824)=0,"",(L824/H824))</f>
        <v>7.2859810232582797E-2</v>
      </c>
    </row>
    <row r="825" spans="1:13" hidden="1" x14ac:dyDescent="0.25">
      <c r="A825" s="100" t="str">
        <f t="shared" si="120"/>
        <v>GENERAL SERVICE 50 TO 999 KW SERVICE CLASSIFICATION</v>
      </c>
      <c r="B825" s="100" t="s">
        <v>180</v>
      </c>
      <c r="C825" s="117"/>
      <c r="D825" s="180" t="s">
        <v>185</v>
      </c>
      <c r="E825" s="158"/>
      <c r="F825" s="174">
        <v>0.08</v>
      </c>
      <c r="G825" s="175"/>
      <c r="H825" s="182">
        <v>0</v>
      </c>
      <c r="I825" s="174">
        <v>0.08</v>
      </c>
      <c r="J825" s="183"/>
      <c r="K825" s="182">
        <v>0</v>
      </c>
      <c r="L825" s="184"/>
      <c r="M825" s="185"/>
    </row>
    <row r="826" spans="1:13" ht="15.75" hidden="1" thickBot="1" x14ac:dyDescent="0.3">
      <c r="A826" s="100" t="str">
        <f t="shared" si="120"/>
        <v>GENERAL SERVICE 50 TO 999 KW SERVICE CLASSIFICATION</v>
      </c>
      <c r="B826" s="100" t="s">
        <v>189</v>
      </c>
      <c r="C826" s="117"/>
      <c r="D826" s="301" t="s">
        <v>188</v>
      </c>
      <c r="E826" s="301"/>
      <c r="F826" s="193"/>
      <c r="G826" s="194"/>
      <c r="H826" s="188">
        <f>SUM(H823,H824)</f>
        <v>3407.2550999999999</v>
      </c>
      <c r="I826" s="195"/>
      <c r="J826" s="195"/>
      <c r="K826" s="188">
        <f>SUM(K823,K824)</f>
        <v>3655.5070599999995</v>
      </c>
      <c r="L826" s="196">
        <f>K826-H826</f>
        <v>248.2519599999996</v>
      </c>
      <c r="M826" s="197">
        <f>IF((H826)=0,"",(L826/H826))</f>
        <v>7.28598102325827E-2</v>
      </c>
    </row>
    <row r="827" spans="1:13" ht="15.75" hidden="1" thickBot="1" x14ac:dyDescent="0.3">
      <c r="A827" s="100" t="str">
        <f t="shared" si="120"/>
        <v>GENERAL SERVICE 50 TO 999 KW SERVICE CLASSIFICATION</v>
      </c>
      <c r="B827" s="100" t="s">
        <v>180</v>
      </c>
      <c r="C827" s="117"/>
      <c r="D827" s="165"/>
      <c r="E827" s="166"/>
      <c r="F827" s="198"/>
      <c r="G827" s="199"/>
      <c r="H827" s="200"/>
      <c r="I827" s="198"/>
      <c r="J827" s="168"/>
      <c r="K827" s="200"/>
      <c r="L827" s="201"/>
      <c r="M827" s="172"/>
    </row>
    <row r="828" spans="1:13" x14ac:dyDescent="0.25">
      <c r="A828" s="100" t="str">
        <f t="shared" si="120"/>
        <v>GENERAL SERVICE 50 TO 999 KW SERVICE CLASSIFICATION</v>
      </c>
      <c r="B828" s="100" t="s">
        <v>121</v>
      </c>
      <c r="C828" s="117"/>
      <c r="D828" s="173" t="s">
        <v>190</v>
      </c>
      <c r="E828" s="158"/>
      <c r="F828" s="174"/>
      <c r="G828" s="175"/>
      <c r="H828" s="176">
        <f>SUM(H816,H808:H811,H807)</f>
        <v>3015.27</v>
      </c>
      <c r="I828" s="177"/>
      <c r="J828" s="177"/>
      <c r="K828" s="176">
        <f>SUM(K816,K808:K811,K807)</f>
        <v>3234.9619999999995</v>
      </c>
      <c r="L828" s="178">
        <f>K828-H828</f>
        <v>219.69199999999955</v>
      </c>
      <c r="M828" s="179">
        <f>IF((H828)=0,"",(L828/H828))</f>
        <v>7.2859810232582672E-2</v>
      </c>
    </row>
    <row r="829" spans="1:13" x14ac:dyDescent="0.25">
      <c r="A829" s="100" t="str">
        <f t="shared" si="120"/>
        <v>GENERAL SERVICE 50 TO 999 KW SERVICE CLASSIFICATION</v>
      </c>
      <c r="B829" s="100" t="s">
        <v>121</v>
      </c>
      <c r="C829" s="117"/>
      <c r="D829" s="180" t="s">
        <v>184</v>
      </c>
      <c r="E829" s="158"/>
      <c r="F829" s="174">
        <v>0.13</v>
      </c>
      <c r="G829" s="175"/>
      <c r="H829" s="182">
        <f>H828*F829</f>
        <v>391.98509999999999</v>
      </c>
      <c r="I829" s="174">
        <v>0.13</v>
      </c>
      <c r="J829" s="183"/>
      <c r="K829" s="182">
        <f>K828*I829</f>
        <v>420.54505999999998</v>
      </c>
      <c r="L829" s="184">
        <f>K829-H829</f>
        <v>28.55995999999999</v>
      </c>
      <c r="M829" s="185">
        <f>IF((H829)=0,"",(L829/H829))</f>
        <v>7.2859810232582797E-2</v>
      </c>
    </row>
    <row r="830" spans="1:13" x14ac:dyDescent="0.25">
      <c r="A830" s="100" t="str">
        <f t="shared" si="120"/>
        <v>GENERAL SERVICE 50 TO 999 KW SERVICE CLASSIFICATION</v>
      </c>
      <c r="B830" s="100" t="s">
        <v>121</v>
      </c>
      <c r="C830" s="117"/>
      <c r="D830" s="180" t="s">
        <v>185</v>
      </c>
      <c r="E830" s="158"/>
      <c r="F830" s="174">
        <v>0.08</v>
      </c>
      <c r="G830" s="175"/>
      <c r="H830" s="182">
        <v>0</v>
      </c>
      <c r="I830" s="174">
        <v>0.08</v>
      </c>
      <c r="J830" s="183"/>
      <c r="K830" s="182">
        <v>0</v>
      </c>
      <c r="L830" s="184"/>
      <c r="M830" s="185"/>
    </row>
    <row r="831" spans="1:13" ht="15.75" thickBot="1" x14ac:dyDescent="0.3">
      <c r="A831" s="100" t="str">
        <f t="shared" si="120"/>
        <v>GENERAL SERVICE 50 TO 999 KW SERVICE CLASSIFICATION</v>
      </c>
      <c r="B831" s="100" t="s">
        <v>191</v>
      </c>
      <c r="C831" s="117">
        <f>B16</f>
        <v>14</v>
      </c>
      <c r="D831" s="301" t="s">
        <v>190</v>
      </c>
      <c r="E831" s="301"/>
      <c r="F831" s="193"/>
      <c r="G831" s="194"/>
      <c r="H831" s="188">
        <f>SUM(H828,H829)</f>
        <v>3407.2550999999999</v>
      </c>
      <c r="I831" s="195"/>
      <c r="J831" s="195"/>
      <c r="K831" s="188">
        <f>SUM(K828,K829)</f>
        <v>3655.5070599999995</v>
      </c>
      <c r="L831" s="196">
        <f>K831-H831</f>
        <v>248.2519599999996</v>
      </c>
      <c r="M831" s="197">
        <f>IF((H831)=0,"",(L831/H831))</f>
        <v>7.28598102325827E-2</v>
      </c>
    </row>
    <row r="832" spans="1:13" ht="15.75" thickBot="1" x14ac:dyDescent="0.3">
      <c r="A832" s="100" t="str">
        <f t="shared" si="120"/>
        <v>GENERAL SERVICE 50 TO 999 KW SERVICE CLASSIFICATION</v>
      </c>
      <c r="B832" s="100" t="s">
        <v>121</v>
      </c>
      <c r="C832" s="117"/>
      <c r="D832" s="165"/>
      <c r="E832" s="166"/>
      <c r="F832" s="202"/>
      <c r="G832" s="203"/>
      <c r="H832" s="204"/>
      <c r="I832" s="202"/>
      <c r="J832" s="205"/>
      <c r="K832" s="204"/>
      <c r="L832" s="206"/>
      <c r="M832" s="207"/>
    </row>
    <row r="835" spans="1:13" x14ac:dyDescent="0.25">
      <c r="C835" s="100"/>
      <c r="D835" s="101" t="s">
        <v>134</v>
      </c>
      <c r="E835" s="302" t="str">
        <f>D17</f>
        <v>GENERAL SERVICE 50 TO 999 KW SERVICE CLASSIFICATION</v>
      </c>
      <c r="F835" s="302"/>
      <c r="G835" s="302"/>
      <c r="H835" s="302"/>
      <c r="I835" s="302"/>
      <c r="J835" s="302"/>
      <c r="K835" s="100" t="str">
        <f>IF(N17="DEMAND - INTERVAL","RTSR - INTERVAL METERED","")</f>
        <v/>
      </c>
    </row>
    <row r="836" spans="1:13" x14ac:dyDescent="0.25">
      <c r="C836" s="100"/>
      <c r="D836" s="101" t="s">
        <v>135</v>
      </c>
      <c r="E836" s="303" t="str">
        <f>H17</f>
        <v>Non-RPP (Other)</v>
      </c>
      <c r="F836" s="303"/>
      <c r="G836" s="303"/>
      <c r="H836" s="102"/>
      <c r="I836" s="102"/>
    </row>
    <row r="837" spans="1:13" ht="15.75" x14ac:dyDescent="0.25">
      <c r="C837" s="100"/>
      <c r="D837" s="101" t="s">
        <v>136</v>
      </c>
      <c r="E837" s="103">
        <f>K17</f>
        <v>500000</v>
      </c>
      <c r="F837" s="104" t="s">
        <v>137</v>
      </c>
      <c r="G837" s="105"/>
      <c r="J837" s="106"/>
      <c r="K837" s="106"/>
      <c r="L837" s="106"/>
      <c r="M837" s="106"/>
    </row>
    <row r="838" spans="1:13" ht="15.75" x14ac:dyDescent="0.25">
      <c r="C838" s="100"/>
      <c r="D838" s="101" t="s">
        <v>138</v>
      </c>
      <c r="E838" s="103">
        <f>L17</f>
        <v>750</v>
      </c>
      <c r="F838" s="107" t="s">
        <v>139</v>
      </c>
      <c r="G838" s="108"/>
      <c r="H838" s="109"/>
      <c r="I838" s="109"/>
      <c r="J838" s="109"/>
    </row>
    <row r="839" spans="1:13" x14ac:dyDescent="0.25">
      <c r="C839" s="100"/>
      <c r="D839" s="101" t="s">
        <v>140</v>
      </c>
      <c r="E839" s="110">
        <f>I17</f>
        <v>1.056</v>
      </c>
    </row>
    <row r="840" spans="1:13" x14ac:dyDescent="0.25">
      <c r="C840" s="100"/>
      <c r="D840" s="101" t="s">
        <v>141</v>
      </c>
      <c r="E840" s="110">
        <f>J17</f>
        <v>1.056</v>
      </c>
    </row>
    <row r="841" spans="1:13" x14ac:dyDescent="0.25">
      <c r="C841" s="100"/>
      <c r="D841" s="105"/>
    </row>
    <row r="842" spans="1:13" x14ac:dyDescent="0.25">
      <c r="C842" s="100"/>
      <c r="D842" s="105"/>
      <c r="E842" s="111"/>
      <c r="F842" s="304" t="s">
        <v>142</v>
      </c>
      <c r="G842" s="305"/>
      <c r="H842" s="306"/>
      <c r="I842" s="304" t="s">
        <v>143</v>
      </c>
      <c r="J842" s="305"/>
      <c r="K842" s="306"/>
      <c r="L842" s="304" t="s">
        <v>144</v>
      </c>
      <c r="M842" s="306"/>
    </row>
    <row r="843" spans="1:13" x14ac:dyDescent="0.25">
      <c r="C843" s="100"/>
      <c r="D843" s="105"/>
      <c r="E843" s="295"/>
      <c r="F843" s="112" t="s">
        <v>145</v>
      </c>
      <c r="G843" s="112" t="s">
        <v>146</v>
      </c>
      <c r="H843" s="113" t="s">
        <v>147</v>
      </c>
      <c r="I843" s="112" t="s">
        <v>145</v>
      </c>
      <c r="J843" s="114" t="s">
        <v>146</v>
      </c>
      <c r="K843" s="113" t="s">
        <v>147</v>
      </c>
      <c r="L843" s="297" t="s">
        <v>148</v>
      </c>
      <c r="M843" s="299" t="s">
        <v>149</v>
      </c>
    </row>
    <row r="844" spans="1:13" x14ac:dyDescent="0.25">
      <c r="C844" s="100"/>
      <c r="D844" s="105"/>
      <c r="E844" s="296"/>
      <c r="F844" s="115" t="s">
        <v>150</v>
      </c>
      <c r="G844" s="115"/>
      <c r="H844" s="116" t="s">
        <v>150</v>
      </c>
      <c r="I844" s="115" t="s">
        <v>150</v>
      </c>
      <c r="J844" s="116"/>
      <c r="K844" s="116" t="s">
        <v>150</v>
      </c>
      <c r="L844" s="298"/>
      <c r="M844" s="300"/>
    </row>
    <row r="845" spans="1:13" x14ac:dyDescent="0.25">
      <c r="A845" s="100" t="str">
        <f>$E835</f>
        <v>GENERAL SERVICE 50 TO 999 KW SERVICE CLASSIFICATION</v>
      </c>
      <c r="C845" s="117"/>
      <c r="D845" s="118" t="s">
        <v>151</v>
      </c>
      <c r="E845" s="119"/>
      <c r="F845" s="120">
        <v>86.83</v>
      </c>
      <c r="G845" s="121">
        <v>1</v>
      </c>
      <c r="H845" s="122">
        <f>G845*F845</f>
        <v>86.83</v>
      </c>
      <c r="I845" s="123">
        <v>87.87</v>
      </c>
      <c r="J845" s="124">
        <f>G845</f>
        <v>1</v>
      </c>
      <c r="K845" s="122">
        <f>J845*I845</f>
        <v>87.87</v>
      </c>
      <c r="L845" s="125">
        <f t="shared" ref="L845:L866" si="125">K845-H845</f>
        <v>1.0400000000000063</v>
      </c>
      <c r="M845" s="126">
        <f>IF(ISERROR(L845/H845), "", L845/H845)</f>
        <v>1.1977427156512798E-2</v>
      </c>
    </row>
    <row r="846" spans="1:13" x14ac:dyDescent="0.25">
      <c r="A846" s="100" t="str">
        <f>A845</f>
        <v>GENERAL SERVICE 50 TO 999 KW SERVICE CLASSIFICATION</v>
      </c>
      <c r="C846" s="117"/>
      <c r="D846" s="118" t="s">
        <v>152</v>
      </c>
      <c r="E846" s="119"/>
      <c r="F846" s="127">
        <v>3.8580000000000001</v>
      </c>
      <c r="G846" s="121">
        <f>IF($E838&gt;0, $E838, $E837)</f>
        <v>750</v>
      </c>
      <c r="H846" s="122">
        <f t="shared" ref="H846:H858" si="126">G846*F846</f>
        <v>2893.5</v>
      </c>
      <c r="I846" s="128">
        <v>3.9043000000000001</v>
      </c>
      <c r="J846" s="124">
        <f>IF($E838&gt;0, $E838, $E837)</f>
        <v>750</v>
      </c>
      <c r="K846" s="122">
        <f>J846*I846</f>
        <v>2928.2249999999999</v>
      </c>
      <c r="L846" s="125">
        <f t="shared" si="125"/>
        <v>34.724999999999909</v>
      </c>
      <c r="M846" s="126">
        <f t="shared" ref="M846:M856" si="127">IF(ISERROR(L846/H846), "", L846/H846)</f>
        <v>1.2001036806635531E-2</v>
      </c>
    </row>
    <row r="847" spans="1:13" x14ac:dyDescent="0.25">
      <c r="A847" s="100" t="str">
        <f t="shared" ref="A847:A888" si="128">A846</f>
        <v>GENERAL SERVICE 50 TO 999 KW SERVICE CLASSIFICATION</v>
      </c>
      <c r="C847" s="117"/>
      <c r="D847" s="118" t="s">
        <v>153</v>
      </c>
      <c r="E847" s="119"/>
      <c r="F847" s="127"/>
      <c r="G847" s="121">
        <f>IF($E838&gt;0, $E838, $E837)</f>
        <v>750</v>
      </c>
      <c r="H847" s="122">
        <v>0</v>
      </c>
      <c r="I847" s="128"/>
      <c r="J847" s="124">
        <f>IF($E838&gt;0, $E838, $E837)</f>
        <v>750</v>
      </c>
      <c r="K847" s="122">
        <v>0</v>
      </c>
      <c r="L847" s="125"/>
      <c r="M847" s="126"/>
    </row>
    <row r="848" spans="1:13" x14ac:dyDescent="0.25">
      <c r="A848" s="100" t="str">
        <f t="shared" si="128"/>
        <v>GENERAL SERVICE 50 TO 999 KW SERVICE CLASSIFICATION</v>
      </c>
      <c r="C848" s="117"/>
      <c r="D848" s="118" t="s">
        <v>154</v>
      </c>
      <c r="E848" s="119"/>
      <c r="F848" s="127"/>
      <c r="G848" s="121">
        <f>IF($E838&gt;0, $E838, $E837)</f>
        <v>750</v>
      </c>
      <c r="H848" s="122">
        <v>0</v>
      </c>
      <c r="I848" s="128"/>
      <c r="J848" s="121">
        <f>IF($E838&gt;0, $E838, $E837)</f>
        <v>750</v>
      </c>
      <c r="K848" s="122">
        <v>0</v>
      </c>
      <c r="L848" s="125">
        <f>K848-H848</f>
        <v>0</v>
      </c>
      <c r="M848" s="126" t="str">
        <f>IF(ISERROR(L848/H848), "", L848/H848)</f>
        <v/>
      </c>
    </row>
    <row r="849" spans="1:13" x14ac:dyDescent="0.25">
      <c r="A849" s="100" t="str">
        <f t="shared" si="128"/>
        <v>GENERAL SERVICE 50 TO 999 KW SERVICE CLASSIFICATION</v>
      </c>
      <c r="C849" s="117"/>
      <c r="D849" s="129" t="s">
        <v>155</v>
      </c>
      <c r="E849" s="119"/>
      <c r="F849" s="120">
        <v>0</v>
      </c>
      <c r="G849" s="121">
        <v>1</v>
      </c>
      <c r="H849" s="122">
        <f t="shared" si="126"/>
        <v>0</v>
      </c>
      <c r="I849" s="123">
        <v>0</v>
      </c>
      <c r="J849" s="124">
        <f>G849</f>
        <v>1</v>
      </c>
      <c r="K849" s="122">
        <f t="shared" ref="K849:K856" si="129">J849*I849</f>
        <v>0</v>
      </c>
      <c r="L849" s="125">
        <f t="shared" si="125"/>
        <v>0</v>
      </c>
      <c r="M849" s="126" t="str">
        <f t="shared" si="127"/>
        <v/>
      </c>
    </row>
    <row r="850" spans="1:13" x14ac:dyDescent="0.25">
      <c r="A850" s="100" t="str">
        <f t="shared" si="128"/>
        <v>GENERAL SERVICE 50 TO 999 KW SERVICE CLASSIFICATION</v>
      </c>
      <c r="C850" s="117"/>
      <c r="D850" s="118" t="s">
        <v>156</v>
      </c>
      <c r="E850" s="119"/>
      <c r="F850" s="127">
        <v>0</v>
      </c>
      <c r="G850" s="121">
        <f>IF($E838&gt;0, $E838, $E837)</f>
        <v>750</v>
      </c>
      <c r="H850" s="122">
        <f t="shared" si="126"/>
        <v>0</v>
      </c>
      <c r="I850" s="128">
        <v>0</v>
      </c>
      <c r="J850" s="124">
        <f>IF($E838&gt;0, $E838, $E837)</f>
        <v>750</v>
      </c>
      <c r="K850" s="122">
        <f t="shared" si="129"/>
        <v>0</v>
      </c>
      <c r="L850" s="125">
        <f t="shared" si="125"/>
        <v>0</v>
      </c>
      <c r="M850" s="126" t="str">
        <f t="shared" si="127"/>
        <v/>
      </c>
    </row>
    <row r="851" spans="1:13" x14ac:dyDescent="0.25">
      <c r="A851" s="100" t="str">
        <f t="shared" si="128"/>
        <v>GENERAL SERVICE 50 TO 999 KW SERVICE CLASSIFICATION</v>
      </c>
      <c r="B851" s="130" t="s">
        <v>157</v>
      </c>
      <c r="C851" s="117">
        <f>B17</f>
        <v>15</v>
      </c>
      <c r="D851" s="131" t="s">
        <v>158</v>
      </c>
      <c r="E851" s="132"/>
      <c r="F851" s="133"/>
      <c r="G851" s="134"/>
      <c r="H851" s="135">
        <f>SUM(H845:H850)</f>
        <v>2980.33</v>
      </c>
      <c r="I851" s="136"/>
      <c r="J851" s="137"/>
      <c r="K851" s="135">
        <f>SUM(K845:K850)</f>
        <v>3016.0949999999998</v>
      </c>
      <c r="L851" s="138">
        <f t="shared" si="125"/>
        <v>35.764999999999873</v>
      </c>
      <c r="M851" s="139">
        <f>IF((H851)=0,"",(L851/H851))</f>
        <v>1.2000348954645919E-2</v>
      </c>
    </row>
    <row r="852" spans="1:13" x14ac:dyDescent="0.25">
      <c r="A852" s="100" t="str">
        <f t="shared" si="128"/>
        <v>GENERAL SERVICE 50 TO 999 KW SERVICE CLASSIFICATION</v>
      </c>
      <c r="C852" s="117"/>
      <c r="D852" s="140" t="s">
        <v>159</v>
      </c>
      <c r="E852" s="119"/>
      <c r="F852" s="127">
        <f>IF((E837*12&gt;=150000), 0, IF(E836="RPP",(F868*0.65+F869*0.17+F870*0.18),IF(E836="Non-RPP (Retailer)",F871,F872)))</f>
        <v>0</v>
      </c>
      <c r="G852" s="141">
        <f>IF(F852=0, 0, $E837*E839-E837)</f>
        <v>0</v>
      </c>
      <c r="H852" s="122">
        <f>G852*F852</f>
        <v>0</v>
      </c>
      <c r="I852" s="128">
        <f>IF((E837*12&gt;=150000), 0, IF(E836="RPP",(I868*0.65+I869*0.17+I870*0.18),IF(E836="Non-RPP (Retailer)",I871,I872)))</f>
        <v>0</v>
      </c>
      <c r="J852" s="141">
        <f>IF(I852=0, 0, E837*E840-E837)</f>
        <v>0</v>
      </c>
      <c r="K852" s="122">
        <f>J852*I852</f>
        <v>0</v>
      </c>
      <c r="L852" s="125">
        <f>K852-H852</f>
        <v>0</v>
      </c>
      <c r="M852" s="126" t="str">
        <f>IF(ISERROR(L852/H852), "", L852/H852)</f>
        <v/>
      </c>
    </row>
    <row r="853" spans="1:13" ht="25.5" x14ac:dyDescent="0.25">
      <c r="A853" s="100" t="str">
        <f t="shared" si="128"/>
        <v>GENERAL SERVICE 50 TO 999 KW SERVICE CLASSIFICATION</v>
      </c>
      <c r="C853" s="117"/>
      <c r="D853" s="140" t="s">
        <v>160</v>
      </c>
      <c r="E853" s="119"/>
      <c r="F853" s="127">
        <v>-0.70650000000000002</v>
      </c>
      <c r="G853" s="142">
        <f>IF($E838&gt;0, $E838, $E837)</f>
        <v>750</v>
      </c>
      <c r="H853" s="122">
        <f t="shared" si="126"/>
        <v>-529.875</v>
      </c>
      <c r="I853" s="128">
        <v>-1.7801</v>
      </c>
      <c r="J853" s="142">
        <f>IF($E838&gt;0, $E838, $E837)</f>
        <v>750</v>
      </c>
      <c r="K853" s="122">
        <f t="shared" si="129"/>
        <v>-1335.075</v>
      </c>
      <c r="L853" s="125">
        <f t="shared" si="125"/>
        <v>-805.2</v>
      </c>
      <c r="M853" s="126">
        <f t="shared" si="127"/>
        <v>1.5196036801132344</v>
      </c>
    </row>
    <row r="854" spans="1:13" x14ac:dyDescent="0.25">
      <c r="A854" s="100" t="str">
        <f t="shared" si="128"/>
        <v>GENERAL SERVICE 50 TO 999 KW SERVICE CLASSIFICATION</v>
      </c>
      <c r="C854" s="117"/>
      <c r="D854" s="140" t="s">
        <v>161</v>
      </c>
      <c r="E854" s="119"/>
      <c r="F854" s="127">
        <v>-2.76E-2</v>
      </c>
      <c r="G854" s="142">
        <f>IF($E838&gt;0, $E838, $E837)</f>
        <v>750</v>
      </c>
      <c r="H854" s="122">
        <f>G854*F854</f>
        <v>-20.7</v>
      </c>
      <c r="I854" s="128">
        <v>0</v>
      </c>
      <c r="J854" s="142">
        <f>IF($E838&gt;0, $E838, $E837)</f>
        <v>750</v>
      </c>
      <c r="K854" s="122">
        <f>J854*I854</f>
        <v>0</v>
      </c>
      <c r="L854" s="125">
        <f t="shared" si="125"/>
        <v>20.7</v>
      </c>
      <c r="M854" s="126">
        <f t="shared" si="127"/>
        <v>-1</v>
      </c>
    </row>
    <row r="855" spans="1:13" x14ac:dyDescent="0.25">
      <c r="A855" s="100" t="str">
        <f t="shared" si="128"/>
        <v>GENERAL SERVICE 50 TO 999 KW SERVICE CLASSIFICATION</v>
      </c>
      <c r="C855" s="117"/>
      <c r="D855" s="140" t="s">
        <v>162</v>
      </c>
      <c r="E855" s="119"/>
      <c r="F855" s="127">
        <v>-1E-3</v>
      </c>
      <c r="G855" s="142">
        <f>E837</f>
        <v>500000</v>
      </c>
      <c r="H855" s="122">
        <f>G855*F855</f>
        <v>-500</v>
      </c>
      <c r="I855" s="128">
        <v>1.37E-2</v>
      </c>
      <c r="J855" s="142">
        <f>E837</f>
        <v>500000</v>
      </c>
      <c r="K855" s="122">
        <f t="shared" si="129"/>
        <v>6850</v>
      </c>
      <c r="L855" s="125">
        <f t="shared" si="125"/>
        <v>7350</v>
      </c>
      <c r="M855" s="126">
        <f t="shared" si="127"/>
        <v>-14.7</v>
      </c>
    </row>
    <row r="856" spans="1:13" x14ac:dyDescent="0.25">
      <c r="A856" s="100" t="str">
        <f t="shared" si="128"/>
        <v>GENERAL SERVICE 50 TO 999 KW SERVICE CLASSIFICATION</v>
      </c>
      <c r="C856" s="117"/>
      <c r="D856" s="143" t="s">
        <v>163</v>
      </c>
      <c r="E856" s="119"/>
      <c r="F856" s="127">
        <v>1.0483</v>
      </c>
      <c r="G856" s="142">
        <f>IF($E838&gt;0, $E838, $E837)</f>
        <v>750</v>
      </c>
      <c r="H856" s="122">
        <f t="shared" si="126"/>
        <v>786.22500000000002</v>
      </c>
      <c r="I856" s="128">
        <v>1.0483</v>
      </c>
      <c r="J856" s="142">
        <f>IF($E838&gt;0, $E838, $E837)</f>
        <v>750</v>
      </c>
      <c r="K856" s="122">
        <f t="shared" si="129"/>
        <v>786.22500000000002</v>
      </c>
      <c r="L856" s="125">
        <f t="shared" si="125"/>
        <v>0</v>
      </c>
      <c r="M856" s="126">
        <f t="shared" si="127"/>
        <v>0</v>
      </c>
    </row>
    <row r="857" spans="1:13" ht="25.5" x14ac:dyDescent="0.25">
      <c r="A857" s="100" t="str">
        <f t="shared" si="128"/>
        <v>GENERAL SERVICE 50 TO 999 KW SERVICE CLASSIFICATION</v>
      </c>
      <c r="C857" s="117"/>
      <c r="D857" s="144" t="s">
        <v>164</v>
      </c>
      <c r="E857" s="119"/>
      <c r="F857" s="145">
        <f>IF(OR(ISNUMBER(SEARCH("RESIDENTIAL", E835))=TRUE, ISNUMBER(SEARCH("GENERAL SERVICE LESS THAN 50", E835))=TRUE), SME, 0)</f>
        <v>0</v>
      </c>
      <c r="G857" s="121">
        <v>1</v>
      </c>
      <c r="H857" s="122">
        <f>G857*F857</f>
        <v>0</v>
      </c>
      <c r="I857" s="146">
        <f>IF(OR(ISNUMBER(SEARCH("RESIDENTIAL", E835))=TRUE, ISNUMBER(SEARCH("GENERAL SERVICE LESS THAN 50", E835))=TRUE), SME, 0)</f>
        <v>0</v>
      </c>
      <c r="J857" s="121">
        <v>1</v>
      </c>
      <c r="K857" s="122">
        <f>J857*I857</f>
        <v>0</v>
      </c>
      <c r="L857" s="125">
        <f t="shared" si="125"/>
        <v>0</v>
      </c>
      <c r="M857" s="126" t="str">
        <f>IF(ISERROR(L857/H857), "", L857/H857)</f>
        <v/>
      </c>
    </row>
    <row r="858" spans="1:13" x14ac:dyDescent="0.25">
      <c r="A858" s="100" t="str">
        <f t="shared" si="128"/>
        <v>GENERAL SERVICE 50 TO 999 KW SERVICE CLASSIFICATION</v>
      </c>
      <c r="C858" s="117"/>
      <c r="D858" s="143" t="s">
        <v>165</v>
      </c>
      <c r="E858" s="119"/>
      <c r="F858" s="120">
        <v>0</v>
      </c>
      <c r="G858" s="121">
        <v>1</v>
      </c>
      <c r="H858" s="122">
        <f t="shared" si="126"/>
        <v>0</v>
      </c>
      <c r="I858" s="123">
        <v>0</v>
      </c>
      <c r="J858" s="121">
        <v>1</v>
      </c>
      <c r="K858" s="122">
        <f>J858*I858</f>
        <v>0</v>
      </c>
      <c r="L858" s="125">
        <f>K858-H858</f>
        <v>0</v>
      </c>
      <c r="M858" s="126" t="str">
        <f>IF(ISERROR(L858/H858), "", L858/H858)</f>
        <v/>
      </c>
    </row>
    <row r="859" spans="1:13" x14ac:dyDescent="0.25">
      <c r="A859" s="100" t="str">
        <f t="shared" si="128"/>
        <v>GENERAL SERVICE 50 TO 999 KW SERVICE CLASSIFICATION</v>
      </c>
      <c r="C859" s="117"/>
      <c r="D859" s="143" t="s">
        <v>166</v>
      </c>
      <c r="E859" s="119"/>
      <c r="F859" s="127"/>
      <c r="G859" s="142">
        <f>IF($E838&gt;0, $E838, $E837)</f>
        <v>750</v>
      </c>
      <c r="H859" s="122">
        <f>G859*F859</f>
        <v>0</v>
      </c>
      <c r="I859" s="128">
        <v>0</v>
      </c>
      <c r="J859" s="142">
        <f>IF($E838&gt;0, $E838, $E837)</f>
        <v>750</v>
      </c>
      <c r="K859" s="122">
        <f>J859*I859</f>
        <v>0</v>
      </c>
      <c r="L859" s="125">
        <f t="shared" si="125"/>
        <v>0</v>
      </c>
      <c r="M859" s="126" t="str">
        <f>IF(ISERROR(L859/H859), "", L859/H859)</f>
        <v/>
      </c>
    </row>
    <row r="860" spans="1:13" ht="25.5" x14ac:dyDescent="0.25">
      <c r="A860" s="100" t="str">
        <f t="shared" si="128"/>
        <v>GENERAL SERVICE 50 TO 999 KW SERVICE CLASSIFICATION</v>
      </c>
      <c r="B860" s="105" t="s">
        <v>167</v>
      </c>
      <c r="C860" s="117">
        <f>B17</f>
        <v>15</v>
      </c>
      <c r="D860" s="147" t="s">
        <v>168</v>
      </c>
      <c r="E860" s="148"/>
      <c r="F860" s="149"/>
      <c r="G860" s="150"/>
      <c r="H860" s="151">
        <f>SUM(H851:H859)</f>
        <v>2715.98</v>
      </c>
      <c r="I860" s="152"/>
      <c r="J860" s="153"/>
      <c r="K860" s="151">
        <f>SUM(K851:K859)</f>
        <v>9317.2450000000008</v>
      </c>
      <c r="L860" s="138">
        <f t="shared" si="125"/>
        <v>6601.2650000000012</v>
      </c>
      <c r="M860" s="139">
        <f>IF((H860)=0,"",(L860/H860))</f>
        <v>2.4305278389384317</v>
      </c>
    </row>
    <row r="861" spans="1:13" x14ac:dyDescent="0.25">
      <c r="A861" s="100" t="str">
        <f t="shared" si="128"/>
        <v>GENERAL SERVICE 50 TO 999 KW SERVICE CLASSIFICATION</v>
      </c>
      <c r="C861" s="117"/>
      <c r="D861" s="154" t="s">
        <v>169</v>
      </c>
      <c r="E861" s="119"/>
      <c r="F861" s="127">
        <v>2.6217000000000001</v>
      </c>
      <c r="G861" s="141">
        <f>IF($E838&gt;0, $E838, $E837*$E839)</f>
        <v>750</v>
      </c>
      <c r="H861" s="122">
        <f>G861*F861</f>
        <v>1966.2750000000001</v>
      </c>
      <c r="I861" s="128">
        <v>2.4868999999999999</v>
      </c>
      <c r="J861" s="141">
        <f>IF($E838&gt;0, $E838, $E837*$E840)</f>
        <v>750</v>
      </c>
      <c r="K861" s="122">
        <f>J861*I861</f>
        <v>1865.175</v>
      </c>
      <c r="L861" s="125">
        <f t="shared" si="125"/>
        <v>-101.10000000000014</v>
      </c>
      <c r="M861" s="126">
        <f>IF(ISERROR(L861/H861), "", L861/H861)</f>
        <v>-5.1417019491169919E-2</v>
      </c>
    </row>
    <row r="862" spans="1:13" ht="25.5" x14ac:dyDescent="0.25">
      <c r="A862" s="100" t="str">
        <f t="shared" si="128"/>
        <v>GENERAL SERVICE 50 TO 999 KW SERVICE CLASSIFICATION</v>
      </c>
      <c r="C862" s="117"/>
      <c r="D862" s="155" t="s">
        <v>170</v>
      </c>
      <c r="E862" s="119"/>
      <c r="F862" s="127">
        <v>2.2145999999999999</v>
      </c>
      <c r="G862" s="141">
        <f>IF($E838&gt;0, $E838, $E837*$E839)</f>
        <v>750</v>
      </c>
      <c r="H862" s="122">
        <f>G862*F862</f>
        <v>1660.9499999999998</v>
      </c>
      <c r="I862" s="128">
        <v>2.0933000000000002</v>
      </c>
      <c r="J862" s="141">
        <f>IF($E838&gt;0, $E838, $E837*$E840)</f>
        <v>750</v>
      </c>
      <c r="K862" s="122">
        <f>J862*I862</f>
        <v>1569.9750000000001</v>
      </c>
      <c r="L862" s="125">
        <f t="shared" si="125"/>
        <v>-90.974999999999682</v>
      </c>
      <c r="M862" s="126">
        <f>IF(ISERROR(L862/H862), "", L862/H862)</f>
        <v>-5.4772870947349221E-2</v>
      </c>
    </row>
    <row r="863" spans="1:13" ht="25.5" x14ac:dyDescent="0.25">
      <c r="A863" s="100" t="str">
        <f t="shared" si="128"/>
        <v>GENERAL SERVICE 50 TO 999 KW SERVICE CLASSIFICATION</v>
      </c>
      <c r="B863" s="105" t="s">
        <v>171</v>
      </c>
      <c r="C863" s="117">
        <f>B17</f>
        <v>15</v>
      </c>
      <c r="D863" s="147" t="s">
        <v>172</v>
      </c>
      <c r="E863" s="132"/>
      <c r="F863" s="149"/>
      <c r="G863" s="150"/>
      <c r="H863" s="151">
        <f>SUM(H860:H862)</f>
        <v>6343.2049999999999</v>
      </c>
      <c r="I863" s="152"/>
      <c r="J863" s="137"/>
      <c r="K863" s="151">
        <f>SUM(K860:K862)</f>
        <v>12752.395</v>
      </c>
      <c r="L863" s="138">
        <f t="shared" si="125"/>
        <v>6409.1900000000005</v>
      </c>
      <c r="M863" s="139">
        <f>IF((H863)=0,"",(L863/H863))</f>
        <v>1.0104024700447172</v>
      </c>
    </row>
    <row r="864" spans="1:13" ht="25.5" x14ac:dyDescent="0.25">
      <c r="A864" s="100" t="str">
        <f t="shared" si="128"/>
        <v>GENERAL SERVICE 50 TO 999 KW SERVICE CLASSIFICATION</v>
      </c>
      <c r="C864" s="117"/>
      <c r="D864" s="156" t="s">
        <v>173</v>
      </c>
      <c r="E864" s="119"/>
      <c r="F864" s="127">
        <v>3.6000000000000003E-3</v>
      </c>
      <c r="G864" s="141">
        <f>E837*E839</f>
        <v>528000</v>
      </c>
      <c r="H864" s="157">
        <f t="shared" ref="H864:H870" si="130">G864*F864</f>
        <v>1900.8000000000002</v>
      </c>
      <c r="I864" s="128">
        <v>3.6000000000000003E-3</v>
      </c>
      <c r="J864" s="141">
        <f>E837*E840</f>
        <v>528000</v>
      </c>
      <c r="K864" s="157">
        <f t="shared" ref="K864:K870" si="131">J864*I864</f>
        <v>1900.8000000000002</v>
      </c>
      <c r="L864" s="125">
        <f t="shared" si="125"/>
        <v>0</v>
      </c>
      <c r="M864" s="126">
        <f t="shared" ref="M864:M872" si="132">IF(ISERROR(L864/H864), "", L864/H864)</f>
        <v>0</v>
      </c>
    </row>
    <row r="865" spans="1:13" ht="25.5" x14ac:dyDescent="0.25">
      <c r="A865" s="100" t="str">
        <f t="shared" si="128"/>
        <v>GENERAL SERVICE 50 TO 999 KW SERVICE CLASSIFICATION</v>
      </c>
      <c r="C865" s="117"/>
      <c r="D865" s="156" t="s">
        <v>174</v>
      </c>
      <c r="E865" s="119"/>
      <c r="F865" s="127">
        <f>'[1]17. Regulatory Charges'!$D$16</f>
        <v>2.9999999999999997E-4</v>
      </c>
      <c r="G865" s="141">
        <f>E837*E839</f>
        <v>528000</v>
      </c>
      <c r="H865" s="157">
        <f t="shared" si="130"/>
        <v>158.39999999999998</v>
      </c>
      <c r="I865" s="128">
        <v>2.9999999999999997E-4</v>
      </c>
      <c r="J865" s="141">
        <f>E837*E840</f>
        <v>528000</v>
      </c>
      <c r="K865" s="157">
        <f t="shared" si="131"/>
        <v>158.39999999999998</v>
      </c>
      <c r="L865" s="125">
        <f t="shared" si="125"/>
        <v>0</v>
      </c>
      <c r="M865" s="126">
        <f t="shared" si="132"/>
        <v>0</v>
      </c>
    </row>
    <row r="866" spans="1:13" x14ac:dyDescent="0.25">
      <c r="A866" s="100" t="str">
        <f t="shared" si="128"/>
        <v>GENERAL SERVICE 50 TO 999 KW SERVICE CLASSIFICATION</v>
      </c>
      <c r="C866" s="117"/>
      <c r="D866" s="158" t="s">
        <v>175</v>
      </c>
      <c r="E866" s="119"/>
      <c r="F866" s="145">
        <v>0.25</v>
      </c>
      <c r="G866" s="121">
        <v>1</v>
      </c>
      <c r="H866" s="157">
        <f t="shared" si="130"/>
        <v>0.25</v>
      </c>
      <c r="I866" s="146">
        <f>'[1]17. Regulatory Charges'!$D$17</f>
        <v>0.25</v>
      </c>
      <c r="J866" s="124">
        <v>1</v>
      </c>
      <c r="K866" s="157">
        <f t="shared" si="131"/>
        <v>0.25</v>
      </c>
      <c r="L866" s="125">
        <f t="shared" si="125"/>
        <v>0</v>
      </c>
      <c r="M866" s="126">
        <f t="shared" si="132"/>
        <v>0</v>
      </c>
    </row>
    <row r="867" spans="1:13" ht="25.5" x14ac:dyDescent="0.25">
      <c r="A867" s="100" t="str">
        <f t="shared" si="128"/>
        <v>GENERAL SERVICE 50 TO 999 KW SERVICE CLASSIFICATION</v>
      </c>
      <c r="C867" s="117"/>
      <c r="D867" s="156" t="s">
        <v>176</v>
      </c>
      <c r="E867" s="119"/>
      <c r="F867" s="127"/>
      <c r="G867" s="141"/>
      <c r="H867" s="157"/>
      <c r="I867" s="128"/>
      <c r="J867" s="141"/>
      <c r="K867" s="157"/>
      <c r="L867" s="125"/>
      <c r="M867" s="126"/>
    </row>
    <row r="868" spans="1:13" hidden="1" x14ac:dyDescent="0.25">
      <c r="A868" s="100" t="str">
        <f t="shared" si="128"/>
        <v>GENERAL SERVICE 50 TO 999 KW SERVICE CLASSIFICATION</v>
      </c>
      <c r="B868" s="105" t="s">
        <v>117</v>
      </c>
      <c r="C868" s="117"/>
      <c r="D868" s="159" t="s">
        <v>177</v>
      </c>
      <c r="E868" s="119"/>
      <c r="F868" s="160">
        <f>OffPeak</f>
        <v>6.5000000000000002E-2</v>
      </c>
      <c r="G868" s="161">
        <f>IF(AND(E837*12&gt;=150000),0.65*E837*E839,0.65*E837)</f>
        <v>343200</v>
      </c>
      <c r="H868" s="157">
        <f t="shared" si="130"/>
        <v>22308</v>
      </c>
      <c r="I868" s="162">
        <f>OffPeak</f>
        <v>6.5000000000000002E-2</v>
      </c>
      <c r="J868" s="161">
        <f>IF(AND(E837*12&gt;=150000),0.65*E837*E840,0.65*E837)</f>
        <v>343200</v>
      </c>
      <c r="K868" s="157">
        <f t="shared" si="131"/>
        <v>22308</v>
      </c>
      <c r="L868" s="125">
        <f>K868-H868</f>
        <v>0</v>
      </c>
      <c r="M868" s="126">
        <f t="shared" si="132"/>
        <v>0</v>
      </c>
    </row>
    <row r="869" spans="1:13" hidden="1" x14ac:dyDescent="0.25">
      <c r="A869" s="100" t="str">
        <f t="shared" si="128"/>
        <v>GENERAL SERVICE 50 TO 999 KW SERVICE CLASSIFICATION</v>
      </c>
      <c r="B869" s="105" t="s">
        <v>117</v>
      </c>
      <c r="C869" s="117"/>
      <c r="D869" s="159" t="s">
        <v>178</v>
      </c>
      <c r="E869" s="119"/>
      <c r="F869" s="160">
        <f>MidPeak</f>
        <v>9.4E-2</v>
      </c>
      <c r="G869" s="161">
        <f>IF(AND(E837*12&gt;=150000),0.17*E837*E839,0.17*E837)</f>
        <v>89760</v>
      </c>
      <c r="H869" s="157">
        <f t="shared" si="130"/>
        <v>8437.44</v>
      </c>
      <c r="I869" s="162">
        <f>MidPeak</f>
        <v>9.4E-2</v>
      </c>
      <c r="J869" s="161">
        <f>IF(AND(E837*12&gt;=150000),0.17*E837*E840,0.17*E837)</f>
        <v>89760</v>
      </c>
      <c r="K869" s="157">
        <f t="shared" si="131"/>
        <v>8437.44</v>
      </c>
      <c r="L869" s="125">
        <f>K869-H869</f>
        <v>0</v>
      </c>
      <c r="M869" s="126">
        <f t="shared" si="132"/>
        <v>0</v>
      </c>
    </row>
    <row r="870" spans="1:13" hidden="1" x14ac:dyDescent="0.25">
      <c r="A870" s="100" t="str">
        <f t="shared" si="128"/>
        <v>GENERAL SERVICE 50 TO 999 KW SERVICE CLASSIFICATION</v>
      </c>
      <c r="B870" s="105" t="s">
        <v>117</v>
      </c>
      <c r="C870" s="117"/>
      <c r="D870" s="105" t="s">
        <v>179</v>
      </c>
      <c r="E870" s="119"/>
      <c r="F870" s="160">
        <f>OnPeak</f>
        <v>0.13200000000000001</v>
      </c>
      <c r="G870" s="161">
        <f>IF(AND(E837*12&gt;=150000),0.18*E837*E839,0.18*E837)</f>
        <v>95040</v>
      </c>
      <c r="H870" s="157">
        <f t="shared" si="130"/>
        <v>12545.28</v>
      </c>
      <c r="I870" s="162">
        <f>OnPeak</f>
        <v>0.13200000000000001</v>
      </c>
      <c r="J870" s="161">
        <f>IF(AND(E837*12&gt;=150000),0.18*E837*E840,0.18*E837)</f>
        <v>95040</v>
      </c>
      <c r="K870" s="157">
        <f t="shared" si="131"/>
        <v>12545.28</v>
      </c>
      <c r="L870" s="125">
        <f>K870-H870</f>
        <v>0</v>
      </c>
      <c r="M870" s="126">
        <f t="shared" si="132"/>
        <v>0</v>
      </c>
    </row>
    <row r="871" spans="1:13" hidden="1" x14ac:dyDescent="0.25">
      <c r="A871" s="100" t="str">
        <f t="shared" si="128"/>
        <v>GENERAL SERVICE 50 TO 999 KW SERVICE CLASSIFICATION</v>
      </c>
      <c r="B871" s="100" t="s">
        <v>180</v>
      </c>
      <c r="C871" s="117"/>
      <c r="D871" s="159" t="s">
        <v>181</v>
      </c>
      <c r="E871" s="119"/>
      <c r="F871" s="163">
        <v>0.1101</v>
      </c>
      <c r="G871" s="161">
        <f>IF(AND(E837*12&gt;=150000),E837*E839,E837)</f>
        <v>528000</v>
      </c>
      <c r="H871" s="157">
        <f>G871*F871</f>
        <v>58132.800000000003</v>
      </c>
      <c r="I871" s="164">
        <f>F871</f>
        <v>0.1101</v>
      </c>
      <c r="J871" s="161">
        <f>IF(AND(E837*12&gt;=150000),E837*E840,E837)</f>
        <v>528000</v>
      </c>
      <c r="K871" s="157">
        <f>J871*I871</f>
        <v>58132.800000000003</v>
      </c>
      <c r="L871" s="125">
        <f>K871-H871</f>
        <v>0</v>
      </c>
      <c r="M871" s="126">
        <f t="shared" si="132"/>
        <v>0</v>
      </c>
    </row>
    <row r="872" spans="1:13" ht="15.75" thickBot="1" x14ac:dyDescent="0.3">
      <c r="A872" s="100" t="str">
        <f t="shared" si="128"/>
        <v>GENERAL SERVICE 50 TO 999 KW SERVICE CLASSIFICATION</v>
      </c>
      <c r="B872" s="100" t="s">
        <v>121</v>
      </c>
      <c r="C872" s="117"/>
      <c r="D872" s="159" t="s">
        <v>182</v>
      </c>
      <c r="E872" s="119"/>
      <c r="F872" s="163">
        <v>0.1101</v>
      </c>
      <c r="G872" s="161">
        <f>IF(AND(E837*12&gt;=150000),E837*E839,E837)</f>
        <v>528000</v>
      </c>
      <c r="H872" s="157">
        <f>G872*F872</f>
        <v>58132.800000000003</v>
      </c>
      <c r="I872" s="164">
        <f>F872</f>
        <v>0.1101</v>
      </c>
      <c r="J872" s="161">
        <f>IF(AND(E837*12&gt;=150000),E837*E840,E837)</f>
        <v>528000</v>
      </c>
      <c r="K872" s="157">
        <f>J872*I872</f>
        <v>58132.800000000003</v>
      </c>
      <c r="L872" s="125">
        <f>K872-H872</f>
        <v>0</v>
      </c>
      <c r="M872" s="126">
        <f t="shared" si="132"/>
        <v>0</v>
      </c>
    </row>
    <row r="873" spans="1:13" ht="15.75" thickBot="1" x14ac:dyDescent="0.3">
      <c r="A873" s="100" t="str">
        <f t="shared" si="128"/>
        <v>GENERAL SERVICE 50 TO 999 KW SERVICE CLASSIFICATION</v>
      </c>
      <c r="B873" s="105"/>
      <c r="C873" s="117"/>
      <c r="D873" s="165"/>
      <c r="E873" s="166"/>
      <c r="F873" s="167"/>
      <c r="G873" s="168"/>
      <c r="H873" s="169"/>
      <c r="I873" s="167"/>
      <c r="J873" s="170"/>
      <c r="K873" s="169"/>
      <c r="L873" s="171"/>
      <c r="M873" s="172"/>
    </row>
    <row r="874" spans="1:13" hidden="1" x14ac:dyDescent="0.25">
      <c r="A874" s="100" t="str">
        <f t="shared" si="128"/>
        <v>GENERAL SERVICE 50 TO 999 KW SERVICE CLASSIFICATION</v>
      </c>
      <c r="B874" s="105" t="s">
        <v>117</v>
      </c>
      <c r="C874" s="117"/>
      <c r="D874" s="173" t="s">
        <v>183</v>
      </c>
      <c r="E874" s="158"/>
      <c r="F874" s="174"/>
      <c r="G874" s="175"/>
      <c r="H874" s="176">
        <f>SUM(H864:H870,H863)</f>
        <v>51693.375</v>
      </c>
      <c r="I874" s="177"/>
      <c r="J874" s="177"/>
      <c r="K874" s="176">
        <f>SUM(K864:K870,K863)</f>
        <v>58102.565000000002</v>
      </c>
      <c r="L874" s="178">
        <f>K874-H874</f>
        <v>6409.1900000000023</v>
      </c>
      <c r="M874" s="179">
        <f>IF((H874)=0,"",(L874/H874))</f>
        <v>0.12398474659470392</v>
      </c>
    </row>
    <row r="875" spans="1:13" hidden="1" x14ac:dyDescent="0.25">
      <c r="A875" s="100" t="str">
        <f t="shared" si="128"/>
        <v>GENERAL SERVICE 50 TO 999 KW SERVICE CLASSIFICATION</v>
      </c>
      <c r="B875" s="105" t="s">
        <v>117</v>
      </c>
      <c r="C875" s="117"/>
      <c r="D875" s="180" t="s">
        <v>184</v>
      </c>
      <c r="E875" s="158"/>
      <c r="F875" s="174">
        <v>0.13</v>
      </c>
      <c r="G875" s="181"/>
      <c r="H875" s="182">
        <f>H874*F875</f>
        <v>6720.1387500000001</v>
      </c>
      <c r="I875" s="183">
        <v>0.13</v>
      </c>
      <c r="J875" s="121"/>
      <c r="K875" s="182">
        <f>K874*I875</f>
        <v>7553.333450000001</v>
      </c>
      <c r="L875" s="184">
        <f>K875-H875</f>
        <v>833.19470000000092</v>
      </c>
      <c r="M875" s="185">
        <f>IF((H875)=0,"",(L875/H875))</f>
        <v>0.123984746594704</v>
      </c>
    </row>
    <row r="876" spans="1:13" hidden="1" x14ac:dyDescent="0.25">
      <c r="A876" s="100" t="str">
        <f t="shared" si="128"/>
        <v>GENERAL SERVICE 50 TO 999 KW SERVICE CLASSIFICATION</v>
      </c>
      <c r="B876" s="105" t="s">
        <v>117</v>
      </c>
      <c r="C876" s="117"/>
      <c r="D876" s="180" t="s">
        <v>185</v>
      </c>
      <c r="E876" s="158"/>
      <c r="F876" s="174">
        <v>0.08</v>
      </c>
      <c r="G876" s="181"/>
      <c r="H876" s="182">
        <v>0</v>
      </c>
      <c r="I876" s="174">
        <v>0.08</v>
      </c>
      <c r="J876" s="121"/>
      <c r="K876" s="182">
        <v>0</v>
      </c>
      <c r="L876" s="184">
        <f>K876-H876</f>
        <v>0</v>
      </c>
      <c r="M876" s="185"/>
    </row>
    <row r="877" spans="1:13" ht="15.75" hidden="1" thickBot="1" x14ac:dyDescent="0.3">
      <c r="A877" s="100" t="str">
        <f t="shared" si="128"/>
        <v>GENERAL SERVICE 50 TO 999 KW SERVICE CLASSIFICATION</v>
      </c>
      <c r="B877" s="105" t="s">
        <v>186</v>
      </c>
      <c r="C877" s="117"/>
      <c r="D877" s="301" t="s">
        <v>187</v>
      </c>
      <c r="E877" s="301"/>
      <c r="F877" s="186"/>
      <c r="G877" s="187"/>
      <c r="H877" s="188">
        <f>H874+H875+H876</f>
        <v>58413.513749999998</v>
      </c>
      <c r="I877" s="189"/>
      <c r="J877" s="189"/>
      <c r="K877" s="190">
        <f>K874+K875+K876</f>
        <v>65655.898450000008</v>
      </c>
      <c r="L877" s="191">
        <f>K877-H877</f>
        <v>7242.3847000000096</v>
      </c>
      <c r="M877" s="192">
        <f>IF((H877)=0,"",(L877/H877))</f>
        <v>0.12398474659470403</v>
      </c>
    </row>
    <row r="878" spans="1:13" ht="15.75" hidden="1" thickBot="1" x14ac:dyDescent="0.3">
      <c r="A878" s="100" t="str">
        <f t="shared" si="128"/>
        <v>GENERAL SERVICE 50 TO 999 KW SERVICE CLASSIFICATION</v>
      </c>
      <c r="B878" s="100" t="s">
        <v>117</v>
      </c>
      <c r="C878" s="117"/>
      <c r="D878" s="165"/>
      <c r="E878" s="166"/>
      <c r="F878" s="167"/>
      <c r="G878" s="168"/>
      <c r="H878" s="169"/>
      <c r="I878" s="167"/>
      <c r="J878" s="170"/>
      <c r="K878" s="169"/>
      <c r="L878" s="171"/>
      <c r="M878" s="172"/>
    </row>
    <row r="879" spans="1:13" hidden="1" x14ac:dyDescent="0.25">
      <c r="A879" s="100" t="str">
        <f t="shared" si="128"/>
        <v>GENERAL SERVICE 50 TO 999 KW SERVICE CLASSIFICATION</v>
      </c>
      <c r="B879" s="100" t="s">
        <v>180</v>
      </c>
      <c r="C879" s="117"/>
      <c r="D879" s="173" t="s">
        <v>188</v>
      </c>
      <c r="E879" s="158"/>
      <c r="F879" s="174"/>
      <c r="G879" s="175"/>
      <c r="H879" s="176">
        <f>SUM(H871,H864:H867,H863)</f>
        <v>66535.455000000002</v>
      </c>
      <c r="I879" s="177"/>
      <c r="J879" s="177"/>
      <c r="K879" s="176">
        <f>SUM(K871,K864:K867,K863)</f>
        <v>72944.645000000004</v>
      </c>
      <c r="L879" s="178">
        <f>K879-H879</f>
        <v>6409.1900000000023</v>
      </c>
      <c r="M879" s="179">
        <f>IF((H879)=0,"",(L879/H879))</f>
        <v>9.6327439257761174E-2</v>
      </c>
    </row>
    <row r="880" spans="1:13" hidden="1" x14ac:dyDescent="0.25">
      <c r="A880" s="100" t="str">
        <f t="shared" si="128"/>
        <v>GENERAL SERVICE 50 TO 999 KW SERVICE CLASSIFICATION</v>
      </c>
      <c r="B880" s="100" t="s">
        <v>180</v>
      </c>
      <c r="C880" s="117"/>
      <c r="D880" s="180" t="s">
        <v>184</v>
      </c>
      <c r="E880" s="158"/>
      <c r="F880" s="174">
        <v>0.13</v>
      </c>
      <c r="G880" s="175"/>
      <c r="H880" s="182">
        <f>H879*F880</f>
        <v>8649.6091500000002</v>
      </c>
      <c r="I880" s="174">
        <v>0.13</v>
      </c>
      <c r="J880" s="183"/>
      <c r="K880" s="182">
        <f>K879*I880</f>
        <v>9482.8038500000002</v>
      </c>
      <c r="L880" s="184">
        <f>K880-H880</f>
        <v>833.19470000000001</v>
      </c>
      <c r="M880" s="185">
        <f>IF((H880)=0,"",(L880/H880))</f>
        <v>9.6327439257761147E-2</v>
      </c>
    </row>
    <row r="881" spans="1:13" hidden="1" x14ac:dyDescent="0.25">
      <c r="A881" s="100" t="str">
        <f t="shared" si="128"/>
        <v>GENERAL SERVICE 50 TO 999 KW SERVICE CLASSIFICATION</v>
      </c>
      <c r="B881" s="100" t="s">
        <v>180</v>
      </c>
      <c r="C881" s="117"/>
      <c r="D881" s="180" t="s">
        <v>185</v>
      </c>
      <c r="E881" s="158"/>
      <c r="F881" s="174">
        <v>0.08</v>
      </c>
      <c r="G881" s="175"/>
      <c r="H881" s="182">
        <v>0</v>
      </c>
      <c r="I881" s="174">
        <v>0.08</v>
      </c>
      <c r="J881" s="183"/>
      <c r="K881" s="182">
        <v>0</v>
      </c>
      <c r="L881" s="184"/>
      <c r="M881" s="185"/>
    </row>
    <row r="882" spans="1:13" ht="15.75" hidden="1" thickBot="1" x14ac:dyDescent="0.3">
      <c r="A882" s="100" t="str">
        <f t="shared" si="128"/>
        <v>GENERAL SERVICE 50 TO 999 KW SERVICE CLASSIFICATION</v>
      </c>
      <c r="B882" s="100" t="s">
        <v>189</v>
      </c>
      <c r="C882" s="117"/>
      <c r="D882" s="301" t="s">
        <v>188</v>
      </c>
      <c r="E882" s="301"/>
      <c r="F882" s="193"/>
      <c r="G882" s="194"/>
      <c r="H882" s="188">
        <f>SUM(H879,H880)</f>
        <v>75185.064150000006</v>
      </c>
      <c r="I882" s="195"/>
      <c r="J882" s="195"/>
      <c r="K882" s="188">
        <f>SUM(K879,K880)</f>
        <v>82427.448850000001</v>
      </c>
      <c r="L882" s="196">
        <f>K882-H882</f>
        <v>7242.3846999999951</v>
      </c>
      <c r="M882" s="197">
        <f>IF((H882)=0,"",(L882/H882))</f>
        <v>9.6327439257761077E-2</v>
      </c>
    </row>
    <row r="883" spans="1:13" ht="15.75" hidden="1" thickBot="1" x14ac:dyDescent="0.3">
      <c r="A883" s="100" t="str">
        <f t="shared" si="128"/>
        <v>GENERAL SERVICE 50 TO 999 KW SERVICE CLASSIFICATION</v>
      </c>
      <c r="B883" s="100" t="s">
        <v>180</v>
      </c>
      <c r="C883" s="117"/>
      <c r="D883" s="165"/>
      <c r="E883" s="166"/>
      <c r="F883" s="198"/>
      <c r="G883" s="199"/>
      <c r="H883" s="200"/>
      <c r="I883" s="198"/>
      <c r="J883" s="168"/>
      <c r="K883" s="200"/>
      <c r="L883" s="201"/>
      <c r="M883" s="172"/>
    </row>
    <row r="884" spans="1:13" x14ac:dyDescent="0.25">
      <c r="A884" s="100" t="str">
        <f t="shared" si="128"/>
        <v>GENERAL SERVICE 50 TO 999 KW SERVICE CLASSIFICATION</v>
      </c>
      <c r="B884" s="100" t="s">
        <v>121</v>
      </c>
      <c r="C884" s="117"/>
      <c r="D884" s="173" t="s">
        <v>190</v>
      </c>
      <c r="E884" s="158"/>
      <c r="F884" s="174"/>
      <c r="G884" s="175"/>
      <c r="H884" s="176">
        <f>SUM(H872,H864:H867,H863)</f>
        <v>66535.455000000002</v>
      </c>
      <c r="I884" s="177"/>
      <c r="J884" s="177"/>
      <c r="K884" s="176">
        <f>SUM(K872,K864:K867,K863)</f>
        <v>72944.645000000004</v>
      </c>
      <c r="L884" s="178">
        <f>K884-H884</f>
        <v>6409.1900000000023</v>
      </c>
      <c r="M884" s="179">
        <f>IF((H884)=0,"",(L884/H884))</f>
        <v>9.6327439257761174E-2</v>
      </c>
    </row>
    <row r="885" spans="1:13" x14ac:dyDescent="0.25">
      <c r="A885" s="100" t="str">
        <f t="shared" si="128"/>
        <v>GENERAL SERVICE 50 TO 999 KW SERVICE CLASSIFICATION</v>
      </c>
      <c r="B885" s="100" t="s">
        <v>121</v>
      </c>
      <c r="C885" s="117"/>
      <c r="D885" s="180" t="s">
        <v>184</v>
      </c>
      <c r="E885" s="158"/>
      <c r="F885" s="174">
        <v>0.13</v>
      </c>
      <c r="G885" s="175"/>
      <c r="H885" s="182">
        <f>H884*F885</f>
        <v>8649.6091500000002</v>
      </c>
      <c r="I885" s="174">
        <v>0.13</v>
      </c>
      <c r="J885" s="183"/>
      <c r="K885" s="182">
        <f>K884*I885</f>
        <v>9482.8038500000002</v>
      </c>
      <c r="L885" s="184">
        <f>K885-H885</f>
        <v>833.19470000000001</v>
      </c>
      <c r="M885" s="185">
        <f>IF((H885)=0,"",(L885/H885))</f>
        <v>9.6327439257761147E-2</v>
      </c>
    </row>
    <row r="886" spans="1:13" x14ac:dyDescent="0.25">
      <c r="A886" s="100" t="str">
        <f t="shared" si="128"/>
        <v>GENERAL SERVICE 50 TO 999 KW SERVICE CLASSIFICATION</v>
      </c>
      <c r="B886" s="100" t="s">
        <v>121</v>
      </c>
      <c r="C886" s="117"/>
      <c r="D886" s="180" t="s">
        <v>185</v>
      </c>
      <c r="E886" s="158"/>
      <c r="F886" s="174">
        <v>0.08</v>
      </c>
      <c r="G886" s="175"/>
      <c r="H886" s="182">
        <v>0</v>
      </c>
      <c r="I886" s="174">
        <v>0.08</v>
      </c>
      <c r="J886" s="183"/>
      <c r="K886" s="182">
        <v>0</v>
      </c>
      <c r="L886" s="184"/>
      <c r="M886" s="185"/>
    </row>
    <row r="887" spans="1:13" ht="15.75" thickBot="1" x14ac:dyDescent="0.3">
      <c r="A887" s="100" t="str">
        <f t="shared" si="128"/>
        <v>GENERAL SERVICE 50 TO 999 KW SERVICE CLASSIFICATION</v>
      </c>
      <c r="B887" s="100" t="s">
        <v>191</v>
      </c>
      <c r="C887" s="117">
        <f>B17</f>
        <v>15</v>
      </c>
      <c r="D887" s="301" t="s">
        <v>190</v>
      </c>
      <c r="E887" s="301"/>
      <c r="F887" s="193"/>
      <c r="G887" s="194"/>
      <c r="H887" s="188">
        <f>SUM(H884,H885)</f>
        <v>75185.064150000006</v>
      </c>
      <c r="I887" s="195"/>
      <c r="J887" s="195"/>
      <c r="K887" s="188">
        <f>SUM(K884,K885)</f>
        <v>82427.448850000001</v>
      </c>
      <c r="L887" s="196">
        <f>K887-H887</f>
        <v>7242.3846999999951</v>
      </c>
      <c r="M887" s="197">
        <f>IF((H887)=0,"",(L887/H887))</f>
        <v>9.6327439257761077E-2</v>
      </c>
    </row>
    <row r="888" spans="1:13" ht="15.75" thickBot="1" x14ac:dyDescent="0.3">
      <c r="A888" s="100" t="str">
        <f t="shared" si="128"/>
        <v>GENERAL SERVICE 50 TO 999 KW SERVICE CLASSIFICATION</v>
      </c>
      <c r="B888" s="100" t="s">
        <v>121</v>
      </c>
      <c r="C888" s="117"/>
      <c r="D888" s="165"/>
      <c r="E888" s="166"/>
      <c r="F888" s="202"/>
      <c r="G888" s="203"/>
      <c r="H888" s="204"/>
      <c r="I888" s="202"/>
      <c r="J888" s="205"/>
      <c r="K888" s="204"/>
      <c r="L888" s="206"/>
      <c r="M888" s="207"/>
    </row>
    <row r="891" spans="1:13" x14ac:dyDescent="0.25">
      <c r="C891" s="100"/>
      <c r="D891" s="101" t="s">
        <v>134</v>
      </c>
      <c r="E891" s="302" t="str">
        <f>D18</f>
        <v>GENERAL SERVICE 1,000 TO 4,999 KW SERVICE CLASSIFICATION</v>
      </c>
      <c r="F891" s="302"/>
      <c r="G891" s="302"/>
      <c r="H891" s="302"/>
      <c r="I891" s="302"/>
      <c r="J891" s="302"/>
      <c r="K891" s="100" t="str">
        <f>IF(N18="DEMAND - INTERVAL","RTSR - INTERVAL METERED","")</f>
        <v/>
      </c>
    </row>
    <row r="892" spans="1:13" x14ac:dyDescent="0.25">
      <c r="C892" s="100"/>
      <c r="D892" s="101" t="s">
        <v>135</v>
      </c>
      <c r="E892" s="303" t="str">
        <f>H18</f>
        <v>Non-RPP (Other)</v>
      </c>
      <c r="F892" s="303"/>
      <c r="G892" s="303"/>
      <c r="H892" s="102"/>
      <c r="I892" s="102"/>
    </row>
    <row r="893" spans="1:13" ht="15.75" x14ac:dyDescent="0.25">
      <c r="C893" s="100"/>
      <c r="D893" s="101" t="s">
        <v>136</v>
      </c>
      <c r="E893" s="103">
        <f>K18</f>
        <v>1000000</v>
      </c>
      <c r="F893" s="104" t="s">
        <v>137</v>
      </c>
      <c r="G893" s="105"/>
      <c r="J893" s="106"/>
      <c r="K893" s="106"/>
      <c r="L893" s="106"/>
      <c r="M893" s="106"/>
    </row>
    <row r="894" spans="1:13" ht="15.75" x14ac:dyDescent="0.25">
      <c r="C894" s="100"/>
      <c r="D894" s="101" t="s">
        <v>138</v>
      </c>
      <c r="E894" s="103">
        <f>L18</f>
        <v>2000</v>
      </c>
      <c r="F894" s="107" t="s">
        <v>139</v>
      </c>
      <c r="G894" s="108"/>
      <c r="H894" s="109"/>
      <c r="I894" s="109"/>
      <c r="J894" s="109"/>
    </row>
    <row r="895" spans="1:13" x14ac:dyDescent="0.25">
      <c r="C895" s="100"/>
      <c r="D895" s="101" t="s">
        <v>140</v>
      </c>
      <c r="E895" s="110">
        <f>I18</f>
        <v>1.056</v>
      </c>
    </row>
    <row r="896" spans="1:13" x14ac:dyDescent="0.25">
      <c r="C896" s="100"/>
      <c r="D896" s="101" t="s">
        <v>141</v>
      </c>
      <c r="E896" s="110">
        <f>J18</f>
        <v>1.056</v>
      </c>
    </row>
    <row r="897" spans="1:13" x14ac:dyDescent="0.25">
      <c r="C897" s="100"/>
      <c r="D897" s="105"/>
    </row>
    <row r="898" spans="1:13" x14ac:dyDescent="0.25">
      <c r="C898" s="100"/>
      <c r="D898" s="105"/>
      <c r="E898" s="111"/>
      <c r="F898" s="304" t="s">
        <v>142</v>
      </c>
      <c r="G898" s="305"/>
      <c r="H898" s="306"/>
      <c r="I898" s="304" t="s">
        <v>143</v>
      </c>
      <c r="J898" s="305"/>
      <c r="K898" s="306"/>
      <c r="L898" s="304" t="s">
        <v>144</v>
      </c>
      <c r="M898" s="306"/>
    </row>
    <row r="899" spans="1:13" x14ac:dyDescent="0.25">
      <c r="C899" s="100"/>
      <c r="D899" s="105"/>
      <c r="E899" s="295"/>
      <c r="F899" s="112" t="s">
        <v>145</v>
      </c>
      <c r="G899" s="112" t="s">
        <v>146</v>
      </c>
      <c r="H899" s="113" t="s">
        <v>147</v>
      </c>
      <c r="I899" s="112" t="s">
        <v>145</v>
      </c>
      <c r="J899" s="114" t="s">
        <v>146</v>
      </c>
      <c r="K899" s="113" t="s">
        <v>147</v>
      </c>
      <c r="L899" s="297" t="s">
        <v>148</v>
      </c>
      <c r="M899" s="299" t="s">
        <v>149</v>
      </c>
    </row>
    <row r="900" spans="1:13" x14ac:dyDescent="0.25">
      <c r="C900" s="100"/>
      <c r="D900" s="105"/>
      <c r="E900" s="296"/>
      <c r="F900" s="115" t="s">
        <v>150</v>
      </c>
      <c r="G900" s="115"/>
      <c r="H900" s="116" t="s">
        <v>150</v>
      </c>
      <c r="I900" s="115" t="s">
        <v>150</v>
      </c>
      <c r="J900" s="116"/>
      <c r="K900" s="116" t="s">
        <v>150</v>
      </c>
      <c r="L900" s="298"/>
      <c r="M900" s="300"/>
    </row>
    <row r="901" spans="1:13" x14ac:dyDescent="0.25">
      <c r="A901" s="100" t="str">
        <f>$E891</f>
        <v>GENERAL SERVICE 1,000 TO 4,999 KW SERVICE CLASSIFICATION</v>
      </c>
      <c r="C901" s="117"/>
      <c r="D901" s="118" t="s">
        <v>151</v>
      </c>
      <c r="E901" s="119"/>
      <c r="F901" s="120">
        <v>185.55</v>
      </c>
      <c r="G901" s="121">
        <v>1</v>
      </c>
      <c r="H901" s="122">
        <f>G901*F901</f>
        <v>185.55</v>
      </c>
      <c r="I901" s="123">
        <v>187.78</v>
      </c>
      <c r="J901" s="124">
        <f>G901</f>
        <v>1</v>
      </c>
      <c r="K901" s="122">
        <f>J901*I901</f>
        <v>187.78</v>
      </c>
      <c r="L901" s="125">
        <f t="shared" ref="L901:L922" si="133">K901-H901</f>
        <v>2.2299999999999898</v>
      </c>
      <c r="M901" s="126">
        <f>IF(ISERROR(L901/H901), "", L901/H901)</f>
        <v>1.2018323901913175E-2</v>
      </c>
    </row>
    <row r="902" spans="1:13" x14ac:dyDescent="0.25">
      <c r="A902" s="100" t="str">
        <f>A901</f>
        <v>GENERAL SERVICE 1,000 TO 4,999 KW SERVICE CLASSIFICATION</v>
      </c>
      <c r="C902" s="117"/>
      <c r="D902" s="118" t="s">
        <v>152</v>
      </c>
      <c r="E902" s="119"/>
      <c r="F902" s="127">
        <v>3.4704999999999999</v>
      </c>
      <c r="G902" s="121">
        <f>IF($E894&gt;0, $E894, $E893)</f>
        <v>2000</v>
      </c>
      <c r="H902" s="122">
        <f t="shared" ref="H902:H914" si="134">G902*F902</f>
        <v>6941</v>
      </c>
      <c r="I902" s="128">
        <v>3.5121000000000002</v>
      </c>
      <c r="J902" s="124">
        <f>IF($E894&gt;0, $E894, $E893)</f>
        <v>2000</v>
      </c>
      <c r="K902" s="122">
        <f>J902*I902</f>
        <v>7024.2000000000007</v>
      </c>
      <c r="L902" s="125">
        <f t="shared" si="133"/>
        <v>83.200000000000728</v>
      </c>
      <c r="M902" s="126">
        <f t="shared" ref="M902:M912" si="135">IF(ISERROR(L902/H902), "", L902/H902)</f>
        <v>1.1986745425731268E-2</v>
      </c>
    </row>
    <row r="903" spans="1:13" x14ac:dyDescent="0.25">
      <c r="A903" s="100" t="str">
        <f t="shared" ref="A903:A944" si="136">A902</f>
        <v>GENERAL SERVICE 1,000 TO 4,999 KW SERVICE CLASSIFICATION</v>
      </c>
      <c r="C903" s="117"/>
      <c r="D903" s="118" t="s">
        <v>153</v>
      </c>
      <c r="E903" s="119"/>
      <c r="F903" s="127"/>
      <c r="G903" s="121">
        <f>IF($E894&gt;0, $E894, $E893)</f>
        <v>2000</v>
      </c>
      <c r="H903" s="122">
        <v>0</v>
      </c>
      <c r="I903" s="128"/>
      <c r="J903" s="124">
        <f>IF($E894&gt;0, $E894, $E893)</f>
        <v>2000</v>
      </c>
      <c r="K903" s="122">
        <v>0</v>
      </c>
      <c r="L903" s="125"/>
      <c r="M903" s="126"/>
    </row>
    <row r="904" spans="1:13" x14ac:dyDescent="0.25">
      <c r="A904" s="100" t="str">
        <f t="shared" si="136"/>
        <v>GENERAL SERVICE 1,000 TO 4,999 KW SERVICE CLASSIFICATION</v>
      </c>
      <c r="C904" s="117"/>
      <c r="D904" s="118" t="s">
        <v>154</v>
      </c>
      <c r="E904" s="119"/>
      <c r="F904" s="127"/>
      <c r="G904" s="121">
        <f>IF($E894&gt;0, $E894, $E893)</f>
        <v>2000</v>
      </c>
      <c r="H904" s="122">
        <v>0</v>
      </c>
      <c r="I904" s="128"/>
      <c r="J904" s="121">
        <f>IF($E894&gt;0, $E894, $E893)</f>
        <v>2000</v>
      </c>
      <c r="K904" s="122">
        <v>0</v>
      </c>
      <c r="L904" s="125">
        <f>K904-H904</f>
        <v>0</v>
      </c>
      <c r="M904" s="126" t="str">
        <f>IF(ISERROR(L904/H904), "", L904/H904)</f>
        <v/>
      </c>
    </row>
    <row r="905" spans="1:13" x14ac:dyDescent="0.25">
      <c r="A905" s="100" t="str">
        <f t="shared" si="136"/>
        <v>GENERAL SERVICE 1,000 TO 4,999 KW SERVICE CLASSIFICATION</v>
      </c>
      <c r="C905" s="117"/>
      <c r="D905" s="129" t="s">
        <v>155</v>
      </c>
      <c r="E905" s="119"/>
      <c r="F905" s="120">
        <v>0</v>
      </c>
      <c r="G905" s="121">
        <v>1</v>
      </c>
      <c r="H905" s="122">
        <f t="shared" si="134"/>
        <v>0</v>
      </c>
      <c r="I905" s="123">
        <v>0</v>
      </c>
      <c r="J905" s="124">
        <f>G905</f>
        <v>1</v>
      </c>
      <c r="K905" s="122">
        <f t="shared" ref="K905:K912" si="137">J905*I905</f>
        <v>0</v>
      </c>
      <c r="L905" s="125">
        <f t="shared" si="133"/>
        <v>0</v>
      </c>
      <c r="M905" s="126" t="str">
        <f t="shared" si="135"/>
        <v/>
      </c>
    </row>
    <row r="906" spans="1:13" x14ac:dyDescent="0.25">
      <c r="A906" s="100" t="str">
        <f t="shared" si="136"/>
        <v>GENERAL SERVICE 1,000 TO 4,999 KW SERVICE CLASSIFICATION</v>
      </c>
      <c r="C906" s="117"/>
      <c r="D906" s="118" t="s">
        <v>156</v>
      </c>
      <c r="E906" s="119"/>
      <c r="F906" s="127">
        <v>0</v>
      </c>
      <c r="G906" s="121">
        <f>IF($E894&gt;0, $E894, $E893)</f>
        <v>2000</v>
      </c>
      <c r="H906" s="122">
        <f t="shared" si="134"/>
        <v>0</v>
      </c>
      <c r="I906" s="128">
        <v>0</v>
      </c>
      <c r="J906" s="124">
        <f>IF($E894&gt;0, $E894, $E893)</f>
        <v>2000</v>
      </c>
      <c r="K906" s="122">
        <f t="shared" si="137"/>
        <v>0</v>
      </c>
      <c r="L906" s="125">
        <f t="shared" si="133"/>
        <v>0</v>
      </c>
      <c r="M906" s="126" t="str">
        <f t="shared" si="135"/>
        <v/>
      </c>
    </row>
    <row r="907" spans="1:13" x14ac:dyDescent="0.25">
      <c r="A907" s="100" t="str">
        <f t="shared" si="136"/>
        <v>GENERAL SERVICE 1,000 TO 4,999 KW SERVICE CLASSIFICATION</v>
      </c>
      <c r="B907" s="130" t="s">
        <v>157</v>
      </c>
      <c r="C907" s="117">
        <f>B18</f>
        <v>16</v>
      </c>
      <c r="D907" s="131" t="s">
        <v>158</v>
      </c>
      <c r="E907" s="132"/>
      <c r="F907" s="133"/>
      <c r="G907" s="134"/>
      <c r="H907" s="135">
        <f>SUM(H901:H906)</f>
        <v>7126.55</v>
      </c>
      <c r="I907" s="136"/>
      <c r="J907" s="137"/>
      <c r="K907" s="135">
        <f>SUM(K901:K906)</f>
        <v>7211.9800000000005</v>
      </c>
      <c r="L907" s="138">
        <f t="shared" si="133"/>
        <v>85.430000000000291</v>
      </c>
      <c r="M907" s="139">
        <f>IF((H907)=0,"",(L907/H907))</f>
        <v>1.1987567616869354E-2</v>
      </c>
    </row>
    <row r="908" spans="1:13" x14ac:dyDescent="0.25">
      <c r="A908" s="100" t="str">
        <f t="shared" si="136"/>
        <v>GENERAL SERVICE 1,000 TO 4,999 KW SERVICE CLASSIFICATION</v>
      </c>
      <c r="C908" s="117"/>
      <c r="D908" s="140" t="s">
        <v>159</v>
      </c>
      <c r="E908" s="119"/>
      <c r="F908" s="127">
        <f>IF((E893*12&gt;=150000), 0, IF(E892="RPP",(F924*0.65+F925*0.17+F926*0.18),IF(E892="Non-RPP (Retailer)",F927,F928)))</f>
        <v>0</v>
      </c>
      <c r="G908" s="141">
        <f>IF(F908=0, 0, $E893*E895-E893)</f>
        <v>0</v>
      </c>
      <c r="H908" s="122">
        <f>G908*F908</f>
        <v>0</v>
      </c>
      <c r="I908" s="128">
        <f>IF((E893*12&gt;=150000), 0, IF(E892="RPP",(I924*0.65+I925*0.17+I926*0.18),IF(E892="Non-RPP (Retailer)",I927,I928)))</f>
        <v>0</v>
      </c>
      <c r="J908" s="141">
        <f>IF(I908=0, 0, E893*E896-E893)</f>
        <v>0</v>
      </c>
      <c r="K908" s="122">
        <f>J908*I908</f>
        <v>0</v>
      </c>
      <c r="L908" s="125">
        <f>K908-H908</f>
        <v>0</v>
      </c>
      <c r="M908" s="126" t="str">
        <f>IF(ISERROR(L908/H908), "", L908/H908)</f>
        <v/>
      </c>
    </row>
    <row r="909" spans="1:13" ht="25.5" x14ac:dyDescent="0.25">
      <c r="A909" s="100" t="str">
        <f t="shared" si="136"/>
        <v>GENERAL SERVICE 1,000 TO 4,999 KW SERVICE CLASSIFICATION</v>
      </c>
      <c r="C909" s="117"/>
      <c r="D909" s="140" t="s">
        <v>160</v>
      </c>
      <c r="E909" s="119"/>
      <c r="F909" s="127">
        <v>-0.93979999999999997</v>
      </c>
      <c r="G909" s="142">
        <f>IF($E894&gt;0, $E894, $E893)</f>
        <v>2000</v>
      </c>
      <c r="H909" s="122">
        <f t="shared" si="134"/>
        <v>-1879.6</v>
      </c>
      <c r="I909" s="128">
        <v>-1.9907999999999999</v>
      </c>
      <c r="J909" s="142">
        <f>IF($E894&gt;0, $E894, $E893)</f>
        <v>2000</v>
      </c>
      <c r="K909" s="122">
        <f t="shared" si="137"/>
        <v>-3981.6</v>
      </c>
      <c r="L909" s="125">
        <f t="shared" si="133"/>
        <v>-2102</v>
      </c>
      <c r="M909" s="126">
        <f t="shared" si="135"/>
        <v>1.1183230474569057</v>
      </c>
    </row>
    <row r="910" spans="1:13" x14ac:dyDescent="0.25">
      <c r="A910" s="100" t="str">
        <f t="shared" si="136"/>
        <v>GENERAL SERVICE 1,000 TO 4,999 KW SERVICE CLASSIFICATION</v>
      </c>
      <c r="C910" s="117"/>
      <c r="D910" s="140" t="s">
        <v>161</v>
      </c>
      <c r="E910" s="119"/>
      <c r="F910" s="127">
        <v>-3.4099999999999998E-2</v>
      </c>
      <c r="G910" s="142">
        <f>IF($E894&gt;0, $E894, $E893)</f>
        <v>2000</v>
      </c>
      <c r="H910" s="122">
        <f>G910*F910</f>
        <v>-68.2</v>
      </c>
      <c r="I910" s="128">
        <v>0</v>
      </c>
      <c r="J910" s="142">
        <f>IF($E894&gt;0, $E894, $E893)</f>
        <v>2000</v>
      </c>
      <c r="K910" s="122">
        <f>J910*I910</f>
        <v>0</v>
      </c>
      <c r="L910" s="125">
        <f t="shared" si="133"/>
        <v>68.2</v>
      </c>
      <c r="M910" s="126">
        <f t="shared" si="135"/>
        <v>-1</v>
      </c>
    </row>
    <row r="911" spans="1:13" x14ac:dyDescent="0.25">
      <c r="A911" s="100" t="str">
        <f t="shared" si="136"/>
        <v>GENERAL SERVICE 1,000 TO 4,999 KW SERVICE CLASSIFICATION</v>
      </c>
      <c r="C911" s="117"/>
      <c r="D911" s="140" t="s">
        <v>162</v>
      </c>
      <c r="E911" s="119"/>
      <c r="F911" s="127">
        <v>-1E-3</v>
      </c>
      <c r="G911" s="142">
        <f>E893</f>
        <v>1000000</v>
      </c>
      <c r="H911" s="122">
        <f>G911*F911</f>
        <v>-1000</v>
      </c>
      <c r="I911" s="128">
        <v>1.37E-2</v>
      </c>
      <c r="J911" s="142">
        <f>E893</f>
        <v>1000000</v>
      </c>
      <c r="K911" s="122">
        <f t="shared" si="137"/>
        <v>13700</v>
      </c>
      <c r="L911" s="125">
        <f t="shared" si="133"/>
        <v>14700</v>
      </c>
      <c r="M911" s="126">
        <f t="shared" si="135"/>
        <v>-14.7</v>
      </c>
    </row>
    <row r="912" spans="1:13" x14ac:dyDescent="0.25">
      <c r="A912" s="100" t="str">
        <f t="shared" si="136"/>
        <v>GENERAL SERVICE 1,000 TO 4,999 KW SERVICE CLASSIFICATION</v>
      </c>
      <c r="C912" s="117"/>
      <c r="D912" s="143" t="s">
        <v>163</v>
      </c>
      <c r="E912" s="119"/>
      <c r="F912" s="127">
        <v>1.0483</v>
      </c>
      <c r="G912" s="142">
        <f>IF($E894&gt;0, $E894, $E893)</f>
        <v>2000</v>
      </c>
      <c r="H912" s="122">
        <f t="shared" si="134"/>
        <v>2096.6</v>
      </c>
      <c r="I912" s="128">
        <v>1.0483</v>
      </c>
      <c r="J912" s="142">
        <f>IF($E894&gt;0, $E894, $E893)</f>
        <v>2000</v>
      </c>
      <c r="K912" s="122">
        <f t="shared" si="137"/>
        <v>2096.6</v>
      </c>
      <c r="L912" s="125">
        <f t="shared" si="133"/>
        <v>0</v>
      </c>
      <c r="M912" s="126">
        <f t="shared" si="135"/>
        <v>0</v>
      </c>
    </row>
    <row r="913" spans="1:13" ht="25.5" x14ac:dyDescent="0.25">
      <c r="A913" s="100" t="str">
        <f t="shared" si="136"/>
        <v>GENERAL SERVICE 1,000 TO 4,999 KW SERVICE CLASSIFICATION</v>
      </c>
      <c r="C913" s="117"/>
      <c r="D913" s="144" t="s">
        <v>164</v>
      </c>
      <c r="E913" s="119"/>
      <c r="F913" s="145">
        <f>IF(OR(ISNUMBER(SEARCH("RESIDENTIAL", E891))=TRUE, ISNUMBER(SEARCH("GENERAL SERVICE LESS THAN 50", E891))=TRUE), SME, 0)</f>
        <v>0</v>
      </c>
      <c r="G913" s="121">
        <v>1</v>
      </c>
      <c r="H913" s="122">
        <f>G913*F913</f>
        <v>0</v>
      </c>
      <c r="I913" s="146">
        <f>IF(OR(ISNUMBER(SEARCH("RESIDENTIAL", E891))=TRUE, ISNUMBER(SEARCH("GENERAL SERVICE LESS THAN 50", E891))=TRUE), SME, 0)</f>
        <v>0</v>
      </c>
      <c r="J913" s="121">
        <v>1</v>
      </c>
      <c r="K913" s="122">
        <f>J913*I913</f>
        <v>0</v>
      </c>
      <c r="L913" s="125">
        <f t="shared" si="133"/>
        <v>0</v>
      </c>
      <c r="M913" s="126" t="str">
        <f>IF(ISERROR(L913/H913), "", L913/H913)</f>
        <v/>
      </c>
    </row>
    <row r="914" spans="1:13" x14ac:dyDescent="0.25">
      <c r="A914" s="100" t="str">
        <f t="shared" si="136"/>
        <v>GENERAL SERVICE 1,000 TO 4,999 KW SERVICE CLASSIFICATION</v>
      </c>
      <c r="C914" s="117"/>
      <c r="D914" s="143" t="s">
        <v>165</v>
      </c>
      <c r="E914" s="119"/>
      <c r="F914" s="120">
        <v>0</v>
      </c>
      <c r="G914" s="121">
        <v>1</v>
      </c>
      <c r="H914" s="122">
        <f t="shared" si="134"/>
        <v>0</v>
      </c>
      <c r="I914" s="123">
        <v>0</v>
      </c>
      <c r="J914" s="121">
        <v>1</v>
      </c>
      <c r="K914" s="122">
        <f>J914*I914</f>
        <v>0</v>
      </c>
      <c r="L914" s="125">
        <f>K914-H914</f>
        <v>0</v>
      </c>
      <c r="M914" s="126" t="str">
        <f>IF(ISERROR(L914/H914), "", L914/H914)</f>
        <v/>
      </c>
    </row>
    <row r="915" spans="1:13" x14ac:dyDescent="0.25">
      <c r="A915" s="100" t="str">
        <f t="shared" si="136"/>
        <v>GENERAL SERVICE 1,000 TO 4,999 KW SERVICE CLASSIFICATION</v>
      </c>
      <c r="C915" s="117"/>
      <c r="D915" s="143" t="s">
        <v>166</v>
      </c>
      <c r="E915" s="119"/>
      <c r="F915" s="127"/>
      <c r="G915" s="142">
        <f>IF($E894&gt;0, $E894, $E893)</f>
        <v>2000</v>
      </c>
      <c r="H915" s="122">
        <f>G915*F915</f>
        <v>0</v>
      </c>
      <c r="I915" s="128">
        <v>0</v>
      </c>
      <c r="J915" s="142">
        <f>IF($E894&gt;0, $E894, $E893)</f>
        <v>2000</v>
      </c>
      <c r="K915" s="122">
        <f>J915*I915</f>
        <v>0</v>
      </c>
      <c r="L915" s="125">
        <f t="shared" si="133"/>
        <v>0</v>
      </c>
      <c r="M915" s="126" t="str">
        <f>IF(ISERROR(L915/H915), "", L915/H915)</f>
        <v/>
      </c>
    </row>
    <row r="916" spans="1:13" ht="25.5" x14ac:dyDescent="0.25">
      <c r="A916" s="100" t="str">
        <f t="shared" si="136"/>
        <v>GENERAL SERVICE 1,000 TO 4,999 KW SERVICE CLASSIFICATION</v>
      </c>
      <c r="B916" s="105" t="s">
        <v>167</v>
      </c>
      <c r="C916" s="117">
        <f>B18</f>
        <v>16</v>
      </c>
      <c r="D916" s="147" t="s">
        <v>168</v>
      </c>
      <c r="E916" s="148"/>
      <c r="F916" s="149"/>
      <c r="G916" s="150"/>
      <c r="H916" s="151">
        <f>SUM(H907:H915)</f>
        <v>6275.35</v>
      </c>
      <c r="I916" s="152"/>
      <c r="J916" s="153"/>
      <c r="K916" s="151">
        <f>SUM(K907:K915)</f>
        <v>19026.98</v>
      </c>
      <c r="L916" s="138">
        <f t="shared" si="133"/>
        <v>12751.63</v>
      </c>
      <c r="M916" s="139">
        <f>IF((H916)=0,"",(L916/H916))</f>
        <v>2.0320189312149917</v>
      </c>
    </row>
    <row r="917" spans="1:13" x14ac:dyDescent="0.25">
      <c r="A917" s="100" t="str">
        <f t="shared" si="136"/>
        <v>GENERAL SERVICE 1,000 TO 4,999 KW SERVICE CLASSIFICATION</v>
      </c>
      <c r="C917" s="117"/>
      <c r="D917" s="154" t="s">
        <v>169</v>
      </c>
      <c r="E917" s="119"/>
      <c r="F917" s="127">
        <v>2.6217000000000001</v>
      </c>
      <c r="G917" s="141">
        <f>IF($E894&gt;0, $E894, $E893*$E895)</f>
        <v>2000</v>
      </c>
      <c r="H917" s="122">
        <f>G917*F917</f>
        <v>5243.4000000000005</v>
      </c>
      <c r="I917" s="128">
        <v>2.4868999999999999</v>
      </c>
      <c r="J917" s="141">
        <f>IF($E894&gt;0, $E894, $E893*$E896)</f>
        <v>2000</v>
      </c>
      <c r="K917" s="122">
        <f>J917*I917</f>
        <v>4973.8</v>
      </c>
      <c r="L917" s="125">
        <f t="shared" si="133"/>
        <v>-269.60000000000036</v>
      </c>
      <c r="M917" s="126">
        <f>IF(ISERROR(L917/H917), "", L917/H917)</f>
        <v>-5.1417019491169919E-2</v>
      </c>
    </row>
    <row r="918" spans="1:13" ht="25.5" x14ac:dyDescent="0.25">
      <c r="A918" s="100" t="str">
        <f t="shared" si="136"/>
        <v>GENERAL SERVICE 1,000 TO 4,999 KW SERVICE CLASSIFICATION</v>
      </c>
      <c r="C918" s="117"/>
      <c r="D918" s="155" t="s">
        <v>170</v>
      </c>
      <c r="E918" s="119"/>
      <c r="F918" s="127">
        <v>2.2145999999999999</v>
      </c>
      <c r="G918" s="141">
        <f>IF($E894&gt;0, $E894, $E893*$E895)</f>
        <v>2000</v>
      </c>
      <c r="H918" s="122">
        <f>G918*F918</f>
        <v>4429.2</v>
      </c>
      <c r="I918" s="128">
        <v>2.0933000000000002</v>
      </c>
      <c r="J918" s="141">
        <f>IF($E894&gt;0, $E894, $E893*$E896)</f>
        <v>2000</v>
      </c>
      <c r="K918" s="122">
        <f>J918*I918</f>
        <v>4186.6000000000004</v>
      </c>
      <c r="L918" s="125">
        <f t="shared" si="133"/>
        <v>-242.59999999999945</v>
      </c>
      <c r="M918" s="126">
        <f>IF(ISERROR(L918/H918), "", L918/H918)</f>
        <v>-5.4772870947349291E-2</v>
      </c>
    </row>
    <row r="919" spans="1:13" ht="25.5" x14ac:dyDescent="0.25">
      <c r="A919" s="100" t="str">
        <f t="shared" si="136"/>
        <v>GENERAL SERVICE 1,000 TO 4,999 KW SERVICE CLASSIFICATION</v>
      </c>
      <c r="B919" s="105" t="s">
        <v>171</v>
      </c>
      <c r="C919" s="117">
        <f>B18</f>
        <v>16</v>
      </c>
      <c r="D919" s="147" t="s">
        <v>172</v>
      </c>
      <c r="E919" s="132"/>
      <c r="F919" s="149"/>
      <c r="G919" s="150"/>
      <c r="H919" s="151">
        <f>SUM(H916:H918)</f>
        <v>15947.95</v>
      </c>
      <c r="I919" s="152"/>
      <c r="J919" s="137"/>
      <c r="K919" s="151">
        <f>SUM(K916:K918)</f>
        <v>28187.379999999997</v>
      </c>
      <c r="L919" s="138">
        <f t="shared" si="133"/>
        <v>12239.429999999997</v>
      </c>
      <c r="M919" s="139">
        <f>IF((H919)=0,"",(L919/H919))</f>
        <v>0.76746102163600938</v>
      </c>
    </row>
    <row r="920" spans="1:13" ht="25.5" x14ac:dyDescent="0.25">
      <c r="A920" s="100" t="str">
        <f t="shared" si="136"/>
        <v>GENERAL SERVICE 1,000 TO 4,999 KW SERVICE CLASSIFICATION</v>
      </c>
      <c r="C920" s="117"/>
      <c r="D920" s="156" t="s">
        <v>173</v>
      </c>
      <c r="E920" s="119"/>
      <c r="F920" s="127">
        <v>3.6000000000000003E-3</v>
      </c>
      <c r="G920" s="141">
        <f>E893*E895</f>
        <v>1056000</v>
      </c>
      <c r="H920" s="157">
        <f t="shared" ref="H920:H926" si="138">G920*F920</f>
        <v>3801.6000000000004</v>
      </c>
      <c r="I920" s="128">
        <v>3.6000000000000003E-3</v>
      </c>
      <c r="J920" s="141">
        <f>E893*E896</f>
        <v>1056000</v>
      </c>
      <c r="K920" s="157">
        <f t="shared" ref="K920:K926" si="139">J920*I920</f>
        <v>3801.6000000000004</v>
      </c>
      <c r="L920" s="125">
        <f t="shared" si="133"/>
        <v>0</v>
      </c>
      <c r="M920" s="126">
        <f t="shared" ref="M920:M928" si="140">IF(ISERROR(L920/H920), "", L920/H920)</f>
        <v>0</v>
      </c>
    </row>
    <row r="921" spans="1:13" ht="25.5" x14ac:dyDescent="0.25">
      <c r="A921" s="100" t="str">
        <f t="shared" si="136"/>
        <v>GENERAL SERVICE 1,000 TO 4,999 KW SERVICE CLASSIFICATION</v>
      </c>
      <c r="C921" s="117"/>
      <c r="D921" s="156" t="s">
        <v>174</v>
      </c>
      <c r="E921" s="119"/>
      <c r="F921" s="127">
        <f>'[1]17. Regulatory Charges'!$D$16</f>
        <v>2.9999999999999997E-4</v>
      </c>
      <c r="G921" s="141">
        <f>E893*E895</f>
        <v>1056000</v>
      </c>
      <c r="H921" s="157">
        <f t="shared" si="138"/>
        <v>316.79999999999995</v>
      </c>
      <c r="I921" s="128">
        <v>2.9999999999999997E-4</v>
      </c>
      <c r="J921" s="141">
        <f>E893*E896</f>
        <v>1056000</v>
      </c>
      <c r="K921" s="157">
        <f t="shared" si="139"/>
        <v>316.79999999999995</v>
      </c>
      <c r="L921" s="125">
        <f t="shared" si="133"/>
        <v>0</v>
      </c>
      <c r="M921" s="126">
        <f t="shared" si="140"/>
        <v>0</v>
      </c>
    </row>
    <row r="922" spans="1:13" x14ac:dyDescent="0.25">
      <c r="A922" s="100" t="str">
        <f t="shared" si="136"/>
        <v>GENERAL SERVICE 1,000 TO 4,999 KW SERVICE CLASSIFICATION</v>
      </c>
      <c r="C922" s="117"/>
      <c r="D922" s="158" t="s">
        <v>175</v>
      </c>
      <c r="E922" s="119"/>
      <c r="F922" s="145">
        <v>0.25</v>
      </c>
      <c r="G922" s="121">
        <v>1</v>
      </c>
      <c r="H922" s="157">
        <f t="shared" si="138"/>
        <v>0.25</v>
      </c>
      <c r="I922" s="146">
        <f>'[1]17. Regulatory Charges'!$D$17</f>
        <v>0.25</v>
      </c>
      <c r="J922" s="124">
        <v>1</v>
      </c>
      <c r="K922" s="157">
        <f t="shared" si="139"/>
        <v>0.25</v>
      </c>
      <c r="L922" s="125">
        <f t="shared" si="133"/>
        <v>0</v>
      </c>
      <c r="M922" s="126">
        <f t="shared" si="140"/>
        <v>0</v>
      </c>
    </row>
    <row r="923" spans="1:13" ht="25.5" x14ac:dyDescent="0.25">
      <c r="A923" s="100" t="str">
        <f t="shared" si="136"/>
        <v>GENERAL SERVICE 1,000 TO 4,999 KW SERVICE CLASSIFICATION</v>
      </c>
      <c r="C923" s="117"/>
      <c r="D923" s="156" t="s">
        <v>176</v>
      </c>
      <c r="E923" s="119"/>
      <c r="F923" s="127"/>
      <c r="G923" s="141"/>
      <c r="H923" s="157"/>
      <c r="I923" s="128"/>
      <c r="J923" s="141"/>
      <c r="K923" s="157"/>
      <c r="L923" s="125"/>
      <c r="M923" s="126"/>
    </row>
    <row r="924" spans="1:13" hidden="1" x14ac:dyDescent="0.25">
      <c r="A924" s="100" t="str">
        <f t="shared" si="136"/>
        <v>GENERAL SERVICE 1,000 TO 4,999 KW SERVICE CLASSIFICATION</v>
      </c>
      <c r="B924" s="105" t="s">
        <v>117</v>
      </c>
      <c r="C924" s="117"/>
      <c r="D924" s="159" t="s">
        <v>177</v>
      </c>
      <c r="E924" s="119"/>
      <c r="F924" s="160">
        <f>OffPeak</f>
        <v>6.5000000000000002E-2</v>
      </c>
      <c r="G924" s="161">
        <f>IF(AND(E893*12&gt;=150000),0.65*E893*E895,0.65*E893)</f>
        <v>686400</v>
      </c>
      <c r="H924" s="157">
        <f t="shared" si="138"/>
        <v>44616</v>
      </c>
      <c r="I924" s="162">
        <f>OffPeak</f>
        <v>6.5000000000000002E-2</v>
      </c>
      <c r="J924" s="161">
        <f>IF(AND(E893*12&gt;=150000),0.65*E893*E896,0.65*E893)</f>
        <v>686400</v>
      </c>
      <c r="K924" s="157">
        <f t="shared" si="139"/>
        <v>44616</v>
      </c>
      <c r="L924" s="125">
        <f>K924-H924</f>
        <v>0</v>
      </c>
      <c r="M924" s="126">
        <f t="shared" si="140"/>
        <v>0</v>
      </c>
    </row>
    <row r="925" spans="1:13" hidden="1" x14ac:dyDescent="0.25">
      <c r="A925" s="100" t="str">
        <f t="shared" si="136"/>
        <v>GENERAL SERVICE 1,000 TO 4,999 KW SERVICE CLASSIFICATION</v>
      </c>
      <c r="B925" s="105" t="s">
        <v>117</v>
      </c>
      <c r="C925" s="117"/>
      <c r="D925" s="159" t="s">
        <v>178</v>
      </c>
      <c r="E925" s="119"/>
      <c r="F925" s="160">
        <f>MidPeak</f>
        <v>9.4E-2</v>
      </c>
      <c r="G925" s="161">
        <f>IF(AND(E893*12&gt;=150000),0.17*E893*E895,0.17*E893)</f>
        <v>179520</v>
      </c>
      <c r="H925" s="157">
        <f t="shared" si="138"/>
        <v>16874.88</v>
      </c>
      <c r="I925" s="162">
        <f>MidPeak</f>
        <v>9.4E-2</v>
      </c>
      <c r="J925" s="161">
        <f>IF(AND(E893*12&gt;=150000),0.17*E893*E896,0.17*E893)</f>
        <v>179520</v>
      </c>
      <c r="K925" s="157">
        <f t="shared" si="139"/>
        <v>16874.88</v>
      </c>
      <c r="L925" s="125">
        <f>K925-H925</f>
        <v>0</v>
      </c>
      <c r="M925" s="126">
        <f t="shared" si="140"/>
        <v>0</v>
      </c>
    </row>
    <row r="926" spans="1:13" hidden="1" x14ac:dyDescent="0.25">
      <c r="A926" s="100" t="str">
        <f t="shared" si="136"/>
        <v>GENERAL SERVICE 1,000 TO 4,999 KW SERVICE CLASSIFICATION</v>
      </c>
      <c r="B926" s="105" t="s">
        <v>117</v>
      </c>
      <c r="C926" s="117"/>
      <c r="D926" s="105" t="s">
        <v>179</v>
      </c>
      <c r="E926" s="119"/>
      <c r="F926" s="160">
        <f>OnPeak</f>
        <v>0.13200000000000001</v>
      </c>
      <c r="G926" s="161">
        <f>IF(AND(E893*12&gt;=150000),0.18*E893*E895,0.18*E893)</f>
        <v>190080</v>
      </c>
      <c r="H926" s="157">
        <f t="shared" si="138"/>
        <v>25090.560000000001</v>
      </c>
      <c r="I926" s="162">
        <f>OnPeak</f>
        <v>0.13200000000000001</v>
      </c>
      <c r="J926" s="161">
        <f>IF(AND(E893*12&gt;=150000),0.18*E893*E896,0.18*E893)</f>
        <v>190080</v>
      </c>
      <c r="K926" s="157">
        <f t="shared" si="139"/>
        <v>25090.560000000001</v>
      </c>
      <c r="L926" s="125">
        <f>K926-H926</f>
        <v>0</v>
      </c>
      <c r="M926" s="126">
        <f t="shared" si="140"/>
        <v>0</v>
      </c>
    </row>
    <row r="927" spans="1:13" hidden="1" x14ac:dyDescent="0.25">
      <c r="A927" s="100" t="str">
        <f t="shared" si="136"/>
        <v>GENERAL SERVICE 1,000 TO 4,999 KW SERVICE CLASSIFICATION</v>
      </c>
      <c r="B927" s="100" t="s">
        <v>180</v>
      </c>
      <c r="C927" s="117"/>
      <c r="D927" s="159" t="s">
        <v>181</v>
      </c>
      <c r="E927" s="119"/>
      <c r="F927" s="163">
        <v>0.1101</v>
      </c>
      <c r="G927" s="161">
        <f>IF(AND(E893*12&gt;=150000),E893*E895,E893)</f>
        <v>1056000</v>
      </c>
      <c r="H927" s="157">
        <f>G927*F927</f>
        <v>116265.60000000001</v>
      </c>
      <c r="I927" s="164">
        <f>F927</f>
        <v>0.1101</v>
      </c>
      <c r="J927" s="161">
        <f>IF(AND(E893*12&gt;=150000),E893*E896,E893)</f>
        <v>1056000</v>
      </c>
      <c r="K927" s="157">
        <f>J927*I927</f>
        <v>116265.60000000001</v>
      </c>
      <c r="L927" s="125">
        <f>K927-H927</f>
        <v>0</v>
      </c>
      <c r="M927" s="126">
        <f t="shared" si="140"/>
        <v>0</v>
      </c>
    </row>
    <row r="928" spans="1:13" ht="15.75" thickBot="1" x14ac:dyDescent="0.3">
      <c r="A928" s="100" t="str">
        <f t="shared" si="136"/>
        <v>GENERAL SERVICE 1,000 TO 4,999 KW SERVICE CLASSIFICATION</v>
      </c>
      <c r="B928" s="100" t="s">
        <v>121</v>
      </c>
      <c r="C928" s="117"/>
      <c r="D928" s="159" t="s">
        <v>182</v>
      </c>
      <c r="E928" s="119"/>
      <c r="F928" s="163">
        <v>0.1101</v>
      </c>
      <c r="G928" s="161">
        <f>IF(AND(E893*12&gt;=150000),E893*E895,E893)</f>
        <v>1056000</v>
      </c>
      <c r="H928" s="157">
        <f>G928*F928</f>
        <v>116265.60000000001</v>
      </c>
      <c r="I928" s="164">
        <f>F928</f>
        <v>0.1101</v>
      </c>
      <c r="J928" s="161">
        <f>IF(AND(E893*12&gt;=150000),E893*E896,E893)</f>
        <v>1056000</v>
      </c>
      <c r="K928" s="157">
        <f>J928*I928</f>
        <v>116265.60000000001</v>
      </c>
      <c r="L928" s="125">
        <f>K928-H928</f>
        <v>0</v>
      </c>
      <c r="M928" s="126">
        <f t="shared" si="140"/>
        <v>0</v>
      </c>
    </row>
    <row r="929" spans="1:13" ht="15.75" thickBot="1" x14ac:dyDescent="0.3">
      <c r="A929" s="100" t="str">
        <f t="shared" si="136"/>
        <v>GENERAL SERVICE 1,000 TO 4,999 KW SERVICE CLASSIFICATION</v>
      </c>
      <c r="B929" s="105"/>
      <c r="C929" s="117"/>
      <c r="D929" s="165"/>
      <c r="E929" s="166"/>
      <c r="F929" s="167"/>
      <c r="G929" s="168"/>
      <c r="H929" s="169"/>
      <c r="I929" s="167"/>
      <c r="J929" s="170"/>
      <c r="K929" s="169"/>
      <c r="L929" s="171"/>
      <c r="M929" s="172"/>
    </row>
    <row r="930" spans="1:13" hidden="1" x14ac:dyDescent="0.25">
      <c r="A930" s="100" t="str">
        <f t="shared" si="136"/>
        <v>GENERAL SERVICE 1,000 TO 4,999 KW SERVICE CLASSIFICATION</v>
      </c>
      <c r="B930" s="105" t="s">
        <v>117</v>
      </c>
      <c r="C930" s="117"/>
      <c r="D930" s="173" t="s">
        <v>183</v>
      </c>
      <c r="E930" s="158"/>
      <c r="F930" s="174"/>
      <c r="G930" s="175"/>
      <c r="H930" s="176">
        <f>SUM(H920:H926,H919)</f>
        <v>106648.04</v>
      </c>
      <c r="I930" s="177"/>
      <c r="J930" s="177"/>
      <c r="K930" s="176">
        <f>SUM(K920:K926,K919)</f>
        <v>118887.47</v>
      </c>
      <c r="L930" s="178">
        <f>K930-H930</f>
        <v>12239.430000000008</v>
      </c>
      <c r="M930" s="179">
        <f>IF((H930)=0,"",(L930/H930))</f>
        <v>0.11476469703521985</v>
      </c>
    </row>
    <row r="931" spans="1:13" hidden="1" x14ac:dyDescent="0.25">
      <c r="A931" s="100" t="str">
        <f t="shared" si="136"/>
        <v>GENERAL SERVICE 1,000 TO 4,999 KW SERVICE CLASSIFICATION</v>
      </c>
      <c r="B931" s="105" t="s">
        <v>117</v>
      </c>
      <c r="C931" s="117"/>
      <c r="D931" s="180" t="s">
        <v>184</v>
      </c>
      <c r="E931" s="158"/>
      <c r="F931" s="174">
        <v>0.13</v>
      </c>
      <c r="G931" s="181"/>
      <c r="H931" s="182">
        <f>H930*F931</f>
        <v>13864.245199999999</v>
      </c>
      <c r="I931" s="183">
        <v>0.13</v>
      </c>
      <c r="J931" s="121"/>
      <c r="K931" s="182">
        <f>K930*I931</f>
        <v>15455.3711</v>
      </c>
      <c r="L931" s="184">
        <f>K931-H931</f>
        <v>1591.1259000000009</v>
      </c>
      <c r="M931" s="185">
        <f>IF((H931)=0,"",(L931/H931))</f>
        <v>0.11476469703521984</v>
      </c>
    </row>
    <row r="932" spans="1:13" hidden="1" x14ac:dyDescent="0.25">
      <c r="A932" s="100" t="str">
        <f t="shared" si="136"/>
        <v>GENERAL SERVICE 1,000 TO 4,999 KW SERVICE CLASSIFICATION</v>
      </c>
      <c r="B932" s="105" t="s">
        <v>117</v>
      </c>
      <c r="C932" s="117"/>
      <c r="D932" s="180" t="s">
        <v>185</v>
      </c>
      <c r="E932" s="158"/>
      <c r="F932" s="174">
        <v>0.08</v>
      </c>
      <c r="G932" s="181"/>
      <c r="H932" s="182">
        <v>0</v>
      </c>
      <c r="I932" s="174">
        <v>0.08</v>
      </c>
      <c r="J932" s="121"/>
      <c r="K932" s="182">
        <v>0</v>
      </c>
      <c r="L932" s="184">
        <f>K932-H932</f>
        <v>0</v>
      </c>
      <c r="M932" s="185"/>
    </row>
    <row r="933" spans="1:13" ht="15.75" hidden="1" thickBot="1" x14ac:dyDescent="0.3">
      <c r="A933" s="100" t="str">
        <f t="shared" si="136"/>
        <v>GENERAL SERVICE 1,000 TO 4,999 KW SERVICE CLASSIFICATION</v>
      </c>
      <c r="B933" s="105" t="s">
        <v>186</v>
      </c>
      <c r="C933" s="117"/>
      <c r="D933" s="301" t="s">
        <v>187</v>
      </c>
      <c r="E933" s="301"/>
      <c r="F933" s="186"/>
      <c r="G933" s="187"/>
      <c r="H933" s="188">
        <f>H930+H931+H932</f>
        <v>120512.2852</v>
      </c>
      <c r="I933" s="189"/>
      <c r="J933" s="189"/>
      <c r="K933" s="190">
        <f>K930+K931+K932</f>
        <v>134342.84109999999</v>
      </c>
      <c r="L933" s="191">
        <f>K933-H933</f>
        <v>13830.555899999992</v>
      </c>
      <c r="M933" s="192">
        <f>IF((H933)=0,"",(L933/H933))</f>
        <v>0.11476469703521971</v>
      </c>
    </row>
    <row r="934" spans="1:13" ht="15.75" hidden="1" thickBot="1" x14ac:dyDescent="0.3">
      <c r="A934" s="100" t="str">
        <f t="shared" si="136"/>
        <v>GENERAL SERVICE 1,000 TO 4,999 KW SERVICE CLASSIFICATION</v>
      </c>
      <c r="B934" s="100" t="s">
        <v>117</v>
      </c>
      <c r="C934" s="117"/>
      <c r="D934" s="165"/>
      <c r="E934" s="166"/>
      <c r="F934" s="167"/>
      <c r="G934" s="168"/>
      <c r="H934" s="169"/>
      <c r="I934" s="167"/>
      <c r="J934" s="170"/>
      <c r="K934" s="169"/>
      <c r="L934" s="171"/>
      <c r="M934" s="172"/>
    </row>
    <row r="935" spans="1:13" hidden="1" x14ac:dyDescent="0.25">
      <c r="A935" s="100" t="str">
        <f t="shared" si="136"/>
        <v>GENERAL SERVICE 1,000 TO 4,999 KW SERVICE CLASSIFICATION</v>
      </c>
      <c r="B935" s="100" t="s">
        <v>180</v>
      </c>
      <c r="C935" s="117"/>
      <c r="D935" s="173" t="s">
        <v>188</v>
      </c>
      <c r="E935" s="158"/>
      <c r="F935" s="174"/>
      <c r="G935" s="175"/>
      <c r="H935" s="176">
        <f>SUM(H927,H920:H923,H919)</f>
        <v>136332.20000000001</v>
      </c>
      <c r="I935" s="177"/>
      <c r="J935" s="177"/>
      <c r="K935" s="176">
        <f>SUM(K927,K920:K923,K919)</f>
        <v>148571.63</v>
      </c>
      <c r="L935" s="178">
        <f>K935-H935</f>
        <v>12239.429999999993</v>
      </c>
      <c r="M935" s="179">
        <f>IF((H935)=0,"",(L935/H935))</f>
        <v>8.9776516479599042E-2</v>
      </c>
    </row>
    <row r="936" spans="1:13" hidden="1" x14ac:dyDescent="0.25">
      <c r="A936" s="100" t="str">
        <f t="shared" si="136"/>
        <v>GENERAL SERVICE 1,000 TO 4,999 KW SERVICE CLASSIFICATION</v>
      </c>
      <c r="B936" s="100" t="s">
        <v>180</v>
      </c>
      <c r="C936" s="117"/>
      <c r="D936" s="180" t="s">
        <v>184</v>
      </c>
      <c r="E936" s="158"/>
      <c r="F936" s="174">
        <v>0.13</v>
      </c>
      <c r="G936" s="175"/>
      <c r="H936" s="182">
        <f>H935*F936</f>
        <v>17723.186000000002</v>
      </c>
      <c r="I936" s="174">
        <v>0.13</v>
      </c>
      <c r="J936" s="183"/>
      <c r="K936" s="182">
        <f>K935*I936</f>
        <v>19314.311900000001</v>
      </c>
      <c r="L936" s="184">
        <f>K936-H936</f>
        <v>1591.1258999999991</v>
      </c>
      <c r="M936" s="185">
        <f>IF((H936)=0,"",(L936/H936))</f>
        <v>8.9776516479599042E-2</v>
      </c>
    </row>
    <row r="937" spans="1:13" hidden="1" x14ac:dyDescent="0.25">
      <c r="A937" s="100" t="str">
        <f t="shared" si="136"/>
        <v>GENERAL SERVICE 1,000 TO 4,999 KW SERVICE CLASSIFICATION</v>
      </c>
      <c r="B937" s="100" t="s">
        <v>180</v>
      </c>
      <c r="C937" s="117"/>
      <c r="D937" s="180" t="s">
        <v>185</v>
      </c>
      <c r="E937" s="158"/>
      <c r="F937" s="174">
        <v>0.08</v>
      </c>
      <c r="G937" s="175"/>
      <c r="H937" s="182">
        <v>0</v>
      </c>
      <c r="I937" s="174">
        <v>0.08</v>
      </c>
      <c r="J937" s="183"/>
      <c r="K937" s="182">
        <v>0</v>
      </c>
      <c r="L937" s="184"/>
      <c r="M937" s="185"/>
    </row>
    <row r="938" spans="1:13" ht="15.75" hidden="1" thickBot="1" x14ac:dyDescent="0.3">
      <c r="A938" s="100" t="str">
        <f t="shared" si="136"/>
        <v>GENERAL SERVICE 1,000 TO 4,999 KW SERVICE CLASSIFICATION</v>
      </c>
      <c r="B938" s="100" t="s">
        <v>189</v>
      </c>
      <c r="C938" s="117"/>
      <c r="D938" s="301" t="s">
        <v>188</v>
      </c>
      <c r="E938" s="301"/>
      <c r="F938" s="193"/>
      <c r="G938" s="194"/>
      <c r="H938" s="188">
        <f>SUM(H935,H936)</f>
        <v>154055.386</v>
      </c>
      <c r="I938" s="195"/>
      <c r="J938" s="195"/>
      <c r="K938" s="188">
        <f>SUM(K935,K936)</f>
        <v>167885.94190000001</v>
      </c>
      <c r="L938" s="196">
        <f>K938-H938</f>
        <v>13830.555900000007</v>
      </c>
      <c r="M938" s="197">
        <f>IF((H938)=0,"",(L938/H938))</f>
        <v>8.9776516479599139E-2</v>
      </c>
    </row>
    <row r="939" spans="1:13" ht="15.75" hidden="1" thickBot="1" x14ac:dyDescent="0.3">
      <c r="A939" s="100" t="str">
        <f t="shared" si="136"/>
        <v>GENERAL SERVICE 1,000 TO 4,999 KW SERVICE CLASSIFICATION</v>
      </c>
      <c r="B939" s="100" t="s">
        <v>180</v>
      </c>
      <c r="C939" s="117"/>
      <c r="D939" s="165"/>
      <c r="E939" s="166"/>
      <c r="F939" s="198"/>
      <c r="G939" s="199"/>
      <c r="H939" s="200"/>
      <c r="I939" s="198"/>
      <c r="J939" s="168"/>
      <c r="K939" s="200"/>
      <c r="L939" s="201"/>
      <c r="M939" s="172"/>
    </row>
    <row r="940" spans="1:13" x14ac:dyDescent="0.25">
      <c r="A940" s="100" t="str">
        <f t="shared" si="136"/>
        <v>GENERAL SERVICE 1,000 TO 4,999 KW SERVICE CLASSIFICATION</v>
      </c>
      <c r="B940" s="100" t="s">
        <v>121</v>
      </c>
      <c r="C940" s="117"/>
      <c r="D940" s="173" t="s">
        <v>190</v>
      </c>
      <c r="E940" s="158"/>
      <c r="F940" s="174"/>
      <c r="G940" s="175"/>
      <c r="H940" s="176">
        <f>SUM(H928,H920:H923,H919)</f>
        <v>136332.20000000001</v>
      </c>
      <c r="I940" s="177"/>
      <c r="J940" s="177"/>
      <c r="K940" s="176">
        <f>SUM(K928,K920:K923,K919)</f>
        <v>148571.63</v>
      </c>
      <c r="L940" s="178">
        <f>K940-H940</f>
        <v>12239.429999999993</v>
      </c>
      <c r="M940" s="179">
        <f>IF((H940)=0,"",(L940/H940))</f>
        <v>8.9776516479599042E-2</v>
      </c>
    </row>
    <row r="941" spans="1:13" x14ac:dyDescent="0.25">
      <c r="A941" s="100" t="str">
        <f t="shared" si="136"/>
        <v>GENERAL SERVICE 1,000 TO 4,999 KW SERVICE CLASSIFICATION</v>
      </c>
      <c r="B941" s="100" t="s">
        <v>121</v>
      </c>
      <c r="C941" s="117"/>
      <c r="D941" s="180" t="s">
        <v>184</v>
      </c>
      <c r="E941" s="158"/>
      <c r="F941" s="174">
        <v>0.13</v>
      </c>
      <c r="G941" s="175"/>
      <c r="H941" s="182">
        <f>H940*F941</f>
        <v>17723.186000000002</v>
      </c>
      <c r="I941" s="174">
        <v>0.13</v>
      </c>
      <c r="J941" s="183"/>
      <c r="K941" s="182">
        <f>K940*I941</f>
        <v>19314.311900000001</v>
      </c>
      <c r="L941" s="184">
        <f>K941-H941</f>
        <v>1591.1258999999991</v>
      </c>
      <c r="M941" s="185">
        <f>IF((H941)=0,"",(L941/H941))</f>
        <v>8.9776516479599042E-2</v>
      </c>
    </row>
    <row r="942" spans="1:13" x14ac:dyDescent="0.25">
      <c r="A942" s="100" t="str">
        <f t="shared" si="136"/>
        <v>GENERAL SERVICE 1,000 TO 4,999 KW SERVICE CLASSIFICATION</v>
      </c>
      <c r="B942" s="100" t="s">
        <v>121</v>
      </c>
      <c r="C942" s="117"/>
      <c r="D942" s="180" t="s">
        <v>185</v>
      </c>
      <c r="E942" s="158"/>
      <c r="F942" s="174">
        <v>0.08</v>
      </c>
      <c r="G942" s="175"/>
      <c r="H942" s="182">
        <v>0</v>
      </c>
      <c r="I942" s="174">
        <v>0.08</v>
      </c>
      <c r="J942" s="183"/>
      <c r="K942" s="182">
        <v>0</v>
      </c>
      <c r="L942" s="184"/>
      <c r="M942" s="185"/>
    </row>
    <row r="943" spans="1:13" ht="15.75" thickBot="1" x14ac:dyDescent="0.3">
      <c r="A943" s="100" t="str">
        <f t="shared" si="136"/>
        <v>GENERAL SERVICE 1,000 TO 4,999 KW SERVICE CLASSIFICATION</v>
      </c>
      <c r="B943" s="100" t="s">
        <v>191</v>
      </c>
      <c r="C943" s="117">
        <f>B18</f>
        <v>16</v>
      </c>
      <c r="D943" s="301" t="s">
        <v>190</v>
      </c>
      <c r="E943" s="301"/>
      <c r="F943" s="193"/>
      <c r="G943" s="194"/>
      <c r="H943" s="188">
        <f>SUM(H940,H941)</f>
        <v>154055.386</v>
      </c>
      <c r="I943" s="195"/>
      <c r="J943" s="195"/>
      <c r="K943" s="188">
        <f>SUM(K940,K941)</f>
        <v>167885.94190000001</v>
      </c>
      <c r="L943" s="196">
        <f>K943-H943</f>
        <v>13830.555900000007</v>
      </c>
      <c r="M943" s="197">
        <f>IF((H943)=0,"",(L943/H943))</f>
        <v>8.9776516479599139E-2</v>
      </c>
    </row>
    <row r="944" spans="1:13" ht="15.75" thickBot="1" x14ac:dyDescent="0.3">
      <c r="A944" s="100" t="str">
        <f t="shared" si="136"/>
        <v>GENERAL SERVICE 1,000 TO 4,999 KW SERVICE CLASSIFICATION</v>
      </c>
      <c r="B944" s="100" t="s">
        <v>121</v>
      </c>
      <c r="C944" s="117"/>
      <c r="D944" s="165"/>
      <c r="E944" s="166"/>
      <c r="F944" s="202"/>
      <c r="G944" s="203"/>
      <c r="H944" s="204"/>
      <c r="I944" s="202"/>
      <c r="J944" s="205"/>
      <c r="K944" s="204"/>
      <c r="L944" s="206"/>
      <c r="M944" s="207"/>
    </row>
    <row r="947" spans="1:13" x14ac:dyDescent="0.25">
      <c r="C947" s="100"/>
      <c r="D947" s="101" t="s">
        <v>134</v>
      </c>
      <c r="E947" s="302" t="str">
        <f>D19</f>
        <v>GENERAL SERVICE 1,000 TO 4,999 KW SERVICE CLASSIFICATION</v>
      </c>
      <c r="F947" s="302"/>
      <c r="G947" s="302"/>
      <c r="H947" s="302"/>
      <c r="I947" s="302"/>
      <c r="J947" s="302"/>
      <c r="K947" s="100" t="str">
        <f>IF(N19="DEMAND - INTERVAL","RTSR - INTERVAL METERED","")</f>
        <v/>
      </c>
    </row>
    <row r="948" spans="1:13" x14ac:dyDescent="0.25">
      <c r="C948" s="100"/>
      <c r="D948" s="101" t="s">
        <v>135</v>
      </c>
      <c r="E948" s="303" t="str">
        <f>H19</f>
        <v>Non-RPP (Other)</v>
      </c>
      <c r="F948" s="303"/>
      <c r="G948" s="303"/>
      <c r="H948" s="102"/>
      <c r="I948" s="102"/>
    </row>
    <row r="949" spans="1:13" ht="15.75" x14ac:dyDescent="0.25">
      <c r="C949" s="100"/>
      <c r="D949" s="101" t="s">
        <v>136</v>
      </c>
      <c r="E949" s="103">
        <f>K19</f>
        <v>3000000</v>
      </c>
      <c r="F949" s="104" t="s">
        <v>137</v>
      </c>
      <c r="G949" s="105"/>
      <c r="J949" s="106"/>
      <c r="K949" s="106"/>
      <c r="L949" s="106"/>
      <c r="M949" s="106"/>
    </row>
    <row r="950" spans="1:13" ht="15.75" x14ac:dyDescent="0.25">
      <c r="C950" s="100"/>
      <c r="D950" s="101" t="s">
        <v>138</v>
      </c>
      <c r="E950" s="103">
        <f>L19</f>
        <v>4000</v>
      </c>
      <c r="F950" s="107" t="s">
        <v>139</v>
      </c>
      <c r="G950" s="108"/>
      <c r="H950" s="109"/>
      <c r="I950" s="109"/>
      <c r="J950" s="109"/>
    </row>
    <row r="951" spans="1:13" x14ac:dyDescent="0.25">
      <c r="C951" s="100"/>
      <c r="D951" s="101" t="s">
        <v>140</v>
      </c>
      <c r="E951" s="110">
        <f>I19</f>
        <v>1.056</v>
      </c>
    </row>
    <row r="952" spans="1:13" x14ac:dyDescent="0.25">
      <c r="C952" s="100"/>
      <c r="D952" s="101" t="s">
        <v>141</v>
      </c>
      <c r="E952" s="110">
        <f>J19</f>
        <v>1.056</v>
      </c>
    </row>
    <row r="953" spans="1:13" x14ac:dyDescent="0.25">
      <c r="C953" s="100"/>
      <c r="D953" s="105"/>
    </row>
    <row r="954" spans="1:13" x14ac:dyDescent="0.25">
      <c r="C954" s="100"/>
      <c r="D954" s="105"/>
      <c r="E954" s="111"/>
      <c r="F954" s="304" t="s">
        <v>142</v>
      </c>
      <c r="G954" s="305"/>
      <c r="H954" s="306"/>
      <c r="I954" s="304" t="s">
        <v>143</v>
      </c>
      <c r="J954" s="305"/>
      <c r="K954" s="306"/>
      <c r="L954" s="304" t="s">
        <v>144</v>
      </c>
      <c r="M954" s="306"/>
    </row>
    <row r="955" spans="1:13" x14ac:dyDescent="0.25">
      <c r="C955" s="100"/>
      <c r="D955" s="105"/>
      <c r="E955" s="295"/>
      <c r="F955" s="112" t="s">
        <v>145</v>
      </c>
      <c r="G955" s="112" t="s">
        <v>146</v>
      </c>
      <c r="H955" s="113" t="s">
        <v>147</v>
      </c>
      <c r="I955" s="112" t="s">
        <v>145</v>
      </c>
      <c r="J955" s="114" t="s">
        <v>146</v>
      </c>
      <c r="K955" s="113" t="s">
        <v>147</v>
      </c>
      <c r="L955" s="297" t="s">
        <v>148</v>
      </c>
      <c r="M955" s="299" t="s">
        <v>149</v>
      </c>
    </row>
    <row r="956" spans="1:13" x14ac:dyDescent="0.25">
      <c r="C956" s="100"/>
      <c r="D956" s="105"/>
      <c r="E956" s="296"/>
      <c r="F956" s="115" t="s">
        <v>150</v>
      </c>
      <c r="G956" s="115"/>
      <c r="H956" s="116" t="s">
        <v>150</v>
      </c>
      <c r="I956" s="115" t="s">
        <v>150</v>
      </c>
      <c r="J956" s="116"/>
      <c r="K956" s="116" t="s">
        <v>150</v>
      </c>
      <c r="L956" s="298"/>
      <c r="M956" s="300"/>
    </row>
    <row r="957" spans="1:13" x14ac:dyDescent="0.25">
      <c r="A957" s="100" t="str">
        <f>$E947</f>
        <v>GENERAL SERVICE 1,000 TO 4,999 KW SERVICE CLASSIFICATION</v>
      </c>
      <c r="C957" s="117"/>
      <c r="D957" s="118" t="s">
        <v>151</v>
      </c>
      <c r="E957" s="119"/>
      <c r="F957" s="120">
        <v>185.55</v>
      </c>
      <c r="G957" s="121">
        <v>1</v>
      </c>
      <c r="H957" s="122">
        <f>G957*F957</f>
        <v>185.55</v>
      </c>
      <c r="I957" s="123">
        <v>187.78</v>
      </c>
      <c r="J957" s="124">
        <f>G957</f>
        <v>1</v>
      </c>
      <c r="K957" s="122">
        <f>J957*I957</f>
        <v>187.78</v>
      </c>
      <c r="L957" s="125">
        <f t="shared" ref="L957:L978" si="141">K957-H957</f>
        <v>2.2299999999999898</v>
      </c>
      <c r="M957" s="126">
        <f>IF(ISERROR(L957/H957), "", L957/H957)</f>
        <v>1.2018323901913175E-2</v>
      </c>
    </row>
    <row r="958" spans="1:13" x14ac:dyDescent="0.25">
      <c r="A958" s="100" t="str">
        <f>A957</f>
        <v>GENERAL SERVICE 1,000 TO 4,999 KW SERVICE CLASSIFICATION</v>
      </c>
      <c r="C958" s="117"/>
      <c r="D958" s="118" t="s">
        <v>152</v>
      </c>
      <c r="E958" s="119"/>
      <c r="F958" s="127">
        <v>3.4704999999999999</v>
      </c>
      <c r="G958" s="121">
        <f>IF($E950&gt;0, $E950, $E949)</f>
        <v>4000</v>
      </c>
      <c r="H958" s="122">
        <f t="shared" ref="H958:H970" si="142">G958*F958</f>
        <v>13882</v>
      </c>
      <c r="I958" s="128">
        <v>3.5121000000000002</v>
      </c>
      <c r="J958" s="124">
        <f>IF($E950&gt;0, $E950, $E949)</f>
        <v>4000</v>
      </c>
      <c r="K958" s="122">
        <f>J958*I958</f>
        <v>14048.400000000001</v>
      </c>
      <c r="L958" s="125">
        <f t="shared" si="141"/>
        <v>166.40000000000146</v>
      </c>
      <c r="M958" s="126">
        <f t="shared" ref="M958:M968" si="143">IF(ISERROR(L958/H958), "", L958/H958)</f>
        <v>1.1986745425731268E-2</v>
      </c>
    </row>
    <row r="959" spans="1:13" x14ac:dyDescent="0.25">
      <c r="A959" s="100" t="str">
        <f t="shared" ref="A959:A1000" si="144">A958</f>
        <v>GENERAL SERVICE 1,000 TO 4,999 KW SERVICE CLASSIFICATION</v>
      </c>
      <c r="C959" s="117"/>
      <c r="D959" s="118" t="s">
        <v>153</v>
      </c>
      <c r="E959" s="119"/>
      <c r="F959" s="127"/>
      <c r="G959" s="121">
        <f>IF($E950&gt;0, $E950, $E949)</f>
        <v>4000</v>
      </c>
      <c r="H959" s="122">
        <v>0</v>
      </c>
      <c r="I959" s="128"/>
      <c r="J959" s="124">
        <f>IF($E950&gt;0, $E950, $E949)</f>
        <v>4000</v>
      </c>
      <c r="K959" s="122">
        <v>0</v>
      </c>
      <c r="L959" s="125"/>
      <c r="M959" s="126"/>
    </row>
    <row r="960" spans="1:13" x14ac:dyDescent="0.25">
      <c r="A960" s="100" t="str">
        <f t="shared" si="144"/>
        <v>GENERAL SERVICE 1,000 TO 4,999 KW SERVICE CLASSIFICATION</v>
      </c>
      <c r="C960" s="117"/>
      <c r="D960" s="118" t="s">
        <v>154</v>
      </c>
      <c r="E960" s="119"/>
      <c r="F960" s="127"/>
      <c r="G960" s="121">
        <f>IF($E950&gt;0, $E950, $E949)</f>
        <v>4000</v>
      </c>
      <c r="H960" s="122">
        <v>0</v>
      </c>
      <c r="I960" s="128"/>
      <c r="J960" s="121">
        <f>IF($E950&gt;0, $E950, $E949)</f>
        <v>4000</v>
      </c>
      <c r="K960" s="122">
        <v>0</v>
      </c>
      <c r="L960" s="125">
        <f>K960-H960</f>
        <v>0</v>
      </c>
      <c r="M960" s="126" t="str">
        <f>IF(ISERROR(L960/H960), "", L960/H960)</f>
        <v/>
      </c>
    </row>
    <row r="961" spans="1:13" x14ac:dyDescent="0.25">
      <c r="A961" s="100" t="str">
        <f t="shared" si="144"/>
        <v>GENERAL SERVICE 1,000 TO 4,999 KW SERVICE CLASSIFICATION</v>
      </c>
      <c r="C961" s="117"/>
      <c r="D961" s="129" t="s">
        <v>155</v>
      </c>
      <c r="E961" s="119"/>
      <c r="F961" s="120">
        <v>0</v>
      </c>
      <c r="G961" s="121">
        <v>1</v>
      </c>
      <c r="H961" s="122">
        <f t="shared" si="142"/>
        <v>0</v>
      </c>
      <c r="I961" s="123">
        <v>0</v>
      </c>
      <c r="J961" s="124">
        <f>G961</f>
        <v>1</v>
      </c>
      <c r="K961" s="122">
        <f t="shared" ref="K961:K968" si="145">J961*I961</f>
        <v>0</v>
      </c>
      <c r="L961" s="125">
        <f t="shared" si="141"/>
        <v>0</v>
      </c>
      <c r="M961" s="126" t="str">
        <f t="shared" si="143"/>
        <v/>
      </c>
    </row>
    <row r="962" spans="1:13" x14ac:dyDescent="0.25">
      <c r="A962" s="100" t="str">
        <f t="shared" si="144"/>
        <v>GENERAL SERVICE 1,000 TO 4,999 KW SERVICE CLASSIFICATION</v>
      </c>
      <c r="C962" s="117"/>
      <c r="D962" s="118" t="s">
        <v>156</v>
      </c>
      <c r="E962" s="119"/>
      <c r="F962" s="127">
        <v>0</v>
      </c>
      <c r="G962" s="121">
        <f>IF($E950&gt;0, $E950, $E949)</f>
        <v>4000</v>
      </c>
      <c r="H962" s="122">
        <f t="shared" si="142"/>
        <v>0</v>
      </c>
      <c r="I962" s="128">
        <v>0</v>
      </c>
      <c r="J962" s="124">
        <f>IF($E950&gt;0, $E950, $E949)</f>
        <v>4000</v>
      </c>
      <c r="K962" s="122">
        <f t="shared" si="145"/>
        <v>0</v>
      </c>
      <c r="L962" s="125">
        <f t="shared" si="141"/>
        <v>0</v>
      </c>
      <c r="M962" s="126" t="str">
        <f t="shared" si="143"/>
        <v/>
      </c>
    </row>
    <row r="963" spans="1:13" x14ac:dyDescent="0.25">
      <c r="A963" s="100" t="str">
        <f t="shared" si="144"/>
        <v>GENERAL SERVICE 1,000 TO 4,999 KW SERVICE CLASSIFICATION</v>
      </c>
      <c r="B963" s="130" t="s">
        <v>157</v>
      </c>
      <c r="C963" s="117">
        <f>B19</f>
        <v>17</v>
      </c>
      <c r="D963" s="131" t="s">
        <v>158</v>
      </c>
      <c r="E963" s="132"/>
      <c r="F963" s="133"/>
      <c r="G963" s="134"/>
      <c r="H963" s="135">
        <f>SUM(H957:H962)</f>
        <v>14067.55</v>
      </c>
      <c r="I963" s="136"/>
      <c r="J963" s="137"/>
      <c r="K963" s="135">
        <f>SUM(K957:K962)</f>
        <v>14236.180000000002</v>
      </c>
      <c r="L963" s="138">
        <f t="shared" si="141"/>
        <v>168.63000000000284</v>
      </c>
      <c r="M963" s="139">
        <f>IF((H963)=0,"",(L963/H963))</f>
        <v>1.1987161943622227E-2</v>
      </c>
    </row>
    <row r="964" spans="1:13" x14ac:dyDescent="0.25">
      <c r="A964" s="100" t="str">
        <f t="shared" si="144"/>
        <v>GENERAL SERVICE 1,000 TO 4,999 KW SERVICE CLASSIFICATION</v>
      </c>
      <c r="C964" s="117"/>
      <c r="D964" s="140" t="s">
        <v>159</v>
      </c>
      <c r="E964" s="119"/>
      <c r="F964" s="127">
        <f>IF((E949*12&gt;=150000), 0, IF(E948="RPP",(F980*0.65+F981*0.17+F982*0.18),IF(E948="Non-RPP (Retailer)",F983,F984)))</f>
        <v>0</v>
      </c>
      <c r="G964" s="141">
        <f>IF(F964=0, 0, $E949*E951-E949)</f>
        <v>0</v>
      </c>
      <c r="H964" s="122">
        <f>G964*F964</f>
        <v>0</v>
      </c>
      <c r="I964" s="128">
        <f>IF((E949*12&gt;=150000), 0, IF(E948="RPP",(I980*0.65+I981*0.17+I982*0.18),IF(E948="Non-RPP (Retailer)",I983,I984)))</f>
        <v>0</v>
      </c>
      <c r="J964" s="141">
        <f>IF(I964=0, 0, E949*E952-E949)</f>
        <v>0</v>
      </c>
      <c r="K964" s="122">
        <f>J964*I964</f>
        <v>0</v>
      </c>
      <c r="L964" s="125">
        <f>K964-H964</f>
        <v>0</v>
      </c>
      <c r="M964" s="126" t="str">
        <f>IF(ISERROR(L964/H964), "", L964/H964)</f>
        <v/>
      </c>
    </row>
    <row r="965" spans="1:13" ht="25.5" x14ac:dyDescent="0.25">
      <c r="A965" s="100" t="str">
        <f t="shared" si="144"/>
        <v>GENERAL SERVICE 1,000 TO 4,999 KW SERVICE CLASSIFICATION</v>
      </c>
      <c r="C965" s="117"/>
      <c r="D965" s="140" t="s">
        <v>160</v>
      </c>
      <c r="E965" s="119"/>
      <c r="F965" s="127">
        <v>-0.93979999999999997</v>
      </c>
      <c r="G965" s="142">
        <f>IF($E950&gt;0, $E950, $E949)</f>
        <v>4000</v>
      </c>
      <c r="H965" s="122">
        <f t="shared" si="142"/>
        <v>-3759.2</v>
      </c>
      <c r="I965" s="128">
        <v>-1.9907999999999999</v>
      </c>
      <c r="J965" s="142">
        <f>IF($E950&gt;0, $E950, $E949)</f>
        <v>4000</v>
      </c>
      <c r="K965" s="122">
        <f t="shared" si="145"/>
        <v>-7963.2</v>
      </c>
      <c r="L965" s="125">
        <f t="shared" si="141"/>
        <v>-4204</v>
      </c>
      <c r="M965" s="126">
        <f t="shared" si="143"/>
        <v>1.1183230474569057</v>
      </c>
    </row>
    <row r="966" spans="1:13" x14ac:dyDescent="0.25">
      <c r="A966" s="100" t="str">
        <f t="shared" si="144"/>
        <v>GENERAL SERVICE 1,000 TO 4,999 KW SERVICE CLASSIFICATION</v>
      </c>
      <c r="C966" s="117"/>
      <c r="D966" s="140" t="s">
        <v>161</v>
      </c>
      <c r="E966" s="119"/>
      <c r="F966" s="127">
        <v>-3.4099999999999998E-2</v>
      </c>
      <c r="G966" s="142">
        <f>IF($E950&gt;0, $E950, $E949)</f>
        <v>4000</v>
      </c>
      <c r="H966" s="122">
        <f>G966*F966</f>
        <v>-136.4</v>
      </c>
      <c r="I966" s="128">
        <v>0</v>
      </c>
      <c r="J966" s="142">
        <f>IF($E950&gt;0, $E950, $E949)</f>
        <v>4000</v>
      </c>
      <c r="K966" s="122">
        <f>J966*I966</f>
        <v>0</v>
      </c>
      <c r="L966" s="125">
        <f t="shared" si="141"/>
        <v>136.4</v>
      </c>
      <c r="M966" s="126">
        <f t="shared" si="143"/>
        <v>-1</v>
      </c>
    </row>
    <row r="967" spans="1:13" x14ac:dyDescent="0.25">
      <c r="A967" s="100" t="str">
        <f t="shared" si="144"/>
        <v>GENERAL SERVICE 1,000 TO 4,999 KW SERVICE CLASSIFICATION</v>
      </c>
      <c r="C967" s="117"/>
      <c r="D967" s="140" t="s">
        <v>162</v>
      </c>
      <c r="E967" s="119"/>
      <c r="F967" s="127">
        <v>-1E-3</v>
      </c>
      <c r="G967" s="142">
        <f>E949</f>
        <v>3000000</v>
      </c>
      <c r="H967" s="122">
        <f>G967*F967</f>
        <v>-3000</v>
      </c>
      <c r="I967" s="128">
        <v>1.37E-2</v>
      </c>
      <c r="J967" s="142">
        <f>E949</f>
        <v>3000000</v>
      </c>
      <c r="K967" s="122">
        <f t="shared" si="145"/>
        <v>41100</v>
      </c>
      <c r="L967" s="125">
        <f t="shared" si="141"/>
        <v>44100</v>
      </c>
      <c r="M967" s="126">
        <f t="shared" si="143"/>
        <v>-14.7</v>
      </c>
    </row>
    <row r="968" spans="1:13" x14ac:dyDescent="0.25">
      <c r="A968" s="100" t="str">
        <f t="shared" si="144"/>
        <v>GENERAL SERVICE 1,000 TO 4,999 KW SERVICE CLASSIFICATION</v>
      </c>
      <c r="C968" s="117"/>
      <c r="D968" s="143" t="s">
        <v>163</v>
      </c>
      <c r="E968" s="119"/>
      <c r="F968" s="127">
        <v>1.0483</v>
      </c>
      <c r="G968" s="142">
        <f>IF($E950&gt;0, $E950, $E949)</f>
        <v>4000</v>
      </c>
      <c r="H968" s="122">
        <f t="shared" si="142"/>
        <v>4193.2</v>
      </c>
      <c r="I968" s="128">
        <v>1.0483</v>
      </c>
      <c r="J968" s="142">
        <f>IF($E950&gt;0, $E950, $E949)</f>
        <v>4000</v>
      </c>
      <c r="K968" s="122">
        <f t="shared" si="145"/>
        <v>4193.2</v>
      </c>
      <c r="L968" s="125">
        <f t="shared" si="141"/>
        <v>0</v>
      </c>
      <c r="M968" s="126">
        <f t="shared" si="143"/>
        <v>0</v>
      </c>
    </row>
    <row r="969" spans="1:13" ht="25.5" x14ac:dyDescent="0.25">
      <c r="A969" s="100" t="str">
        <f t="shared" si="144"/>
        <v>GENERAL SERVICE 1,000 TO 4,999 KW SERVICE CLASSIFICATION</v>
      </c>
      <c r="C969" s="117"/>
      <c r="D969" s="144" t="s">
        <v>164</v>
      </c>
      <c r="E969" s="119"/>
      <c r="F969" s="145">
        <f>IF(OR(ISNUMBER(SEARCH("RESIDENTIAL", E947))=TRUE, ISNUMBER(SEARCH("GENERAL SERVICE LESS THAN 50", E947))=TRUE), SME, 0)</f>
        <v>0</v>
      </c>
      <c r="G969" s="121">
        <v>1</v>
      </c>
      <c r="H969" s="122">
        <f>G969*F969</f>
        <v>0</v>
      </c>
      <c r="I969" s="146">
        <f>IF(OR(ISNUMBER(SEARCH("RESIDENTIAL", E947))=TRUE, ISNUMBER(SEARCH("GENERAL SERVICE LESS THAN 50", E947))=TRUE), SME, 0)</f>
        <v>0</v>
      </c>
      <c r="J969" s="121">
        <v>1</v>
      </c>
      <c r="K969" s="122">
        <f>J969*I969</f>
        <v>0</v>
      </c>
      <c r="L969" s="125">
        <f t="shared" si="141"/>
        <v>0</v>
      </c>
      <c r="M969" s="126" t="str">
        <f>IF(ISERROR(L969/H969), "", L969/H969)</f>
        <v/>
      </c>
    </row>
    <row r="970" spans="1:13" x14ac:dyDescent="0.25">
      <c r="A970" s="100" t="str">
        <f t="shared" si="144"/>
        <v>GENERAL SERVICE 1,000 TO 4,999 KW SERVICE CLASSIFICATION</v>
      </c>
      <c r="C970" s="117"/>
      <c r="D970" s="143" t="s">
        <v>165</v>
      </c>
      <c r="E970" s="119"/>
      <c r="F970" s="120">
        <v>0</v>
      </c>
      <c r="G970" s="121">
        <v>1</v>
      </c>
      <c r="H970" s="122">
        <f t="shared" si="142"/>
        <v>0</v>
      </c>
      <c r="I970" s="123">
        <v>0</v>
      </c>
      <c r="J970" s="121">
        <v>1</v>
      </c>
      <c r="K970" s="122">
        <f>J970*I970</f>
        <v>0</v>
      </c>
      <c r="L970" s="125">
        <f>K970-H970</f>
        <v>0</v>
      </c>
      <c r="M970" s="126" t="str">
        <f>IF(ISERROR(L970/H970), "", L970/H970)</f>
        <v/>
      </c>
    </row>
    <row r="971" spans="1:13" x14ac:dyDescent="0.25">
      <c r="A971" s="100" t="str">
        <f t="shared" si="144"/>
        <v>GENERAL SERVICE 1,000 TO 4,999 KW SERVICE CLASSIFICATION</v>
      </c>
      <c r="C971" s="117"/>
      <c r="D971" s="143" t="s">
        <v>166</v>
      </c>
      <c r="E971" s="119"/>
      <c r="F971" s="127"/>
      <c r="G971" s="142">
        <f>IF($E950&gt;0, $E950, $E949)</f>
        <v>4000</v>
      </c>
      <c r="H971" s="122">
        <f>G971*F971</f>
        <v>0</v>
      </c>
      <c r="I971" s="128">
        <v>0</v>
      </c>
      <c r="J971" s="142">
        <f>IF($E950&gt;0, $E950, $E949)</f>
        <v>4000</v>
      </c>
      <c r="K971" s="122">
        <f>J971*I971</f>
        <v>0</v>
      </c>
      <c r="L971" s="125">
        <f t="shared" si="141"/>
        <v>0</v>
      </c>
      <c r="M971" s="126" t="str">
        <f>IF(ISERROR(L971/H971), "", L971/H971)</f>
        <v/>
      </c>
    </row>
    <row r="972" spans="1:13" ht="25.5" x14ac:dyDescent="0.25">
      <c r="A972" s="100" t="str">
        <f t="shared" si="144"/>
        <v>GENERAL SERVICE 1,000 TO 4,999 KW SERVICE CLASSIFICATION</v>
      </c>
      <c r="B972" s="105" t="s">
        <v>167</v>
      </c>
      <c r="C972" s="117">
        <f>B19</f>
        <v>17</v>
      </c>
      <c r="D972" s="147" t="s">
        <v>168</v>
      </c>
      <c r="E972" s="148"/>
      <c r="F972" s="149"/>
      <c r="G972" s="150"/>
      <c r="H972" s="151">
        <f>SUM(H963:H971)</f>
        <v>11365.149999999998</v>
      </c>
      <c r="I972" s="152"/>
      <c r="J972" s="153"/>
      <c r="K972" s="151">
        <f>SUM(K963:K971)</f>
        <v>51566.18</v>
      </c>
      <c r="L972" s="138">
        <f t="shared" si="141"/>
        <v>40201.03</v>
      </c>
      <c r="M972" s="139">
        <f>IF((H972)=0,"",(L972/H972))</f>
        <v>3.5372194823649497</v>
      </c>
    </row>
    <row r="973" spans="1:13" x14ac:dyDescent="0.25">
      <c r="A973" s="100" t="str">
        <f t="shared" si="144"/>
        <v>GENERAL SERVICE 1,000 TO 4,999 KW SERVICE CLASSIFICATION</v>
      </c>
      <c r="C973" s="117"/>
      <c r="D973" s="154" t="s">
        <v>169</v>
      </c>
      <c r="E973" s="119"/>
      <c r="F973" s="127">
        <v>2.6217000000000001</v>
      </c>
      <c r="G973" s="141">
        <f>IF($E950&gt;0, $E950, $E949*$E951)</f>
        <v>4000</v>
      </c>
      <c r="H973" s="122">
        <f>G973*F973</f>
        <v>10486.800000000001</v>
      </c>
      <c r="I973" s="128">
        <v>2.4868999999999999</v>
      </c>
      <c r="J973" s="141">
        <f>IF($E950&gt;0, $E950, $E949*$E952)</f>
        <v>4000</v>
      </c>
      <c r="K973" s="122">
        <f>J973*I973</f>
        <v>9947.6</v>
      </c>
      <c r="L973" s="125">
        <f t="shared" si="141"/>
        <v>-539.20000000000073</v>
      </c>
      <c r="M973" s="126">
        <f>IF(ISERROR(L973/H973), "", L973/H973)</f>
        <v>-5.1417019491169919E-2</v>
      </c>
    </row>
    <row r="974" spans="1:13" ht="25.5" x14ac:dyDescent="0.25">
      <c r="A974" s="100" t="str">
        <f t="shared" si="144"/>
        <v>GENERAL SERVICE 1,000 TO 4,999 KW SERVICE CLASSIFICATION</v>
      </c>
      <c r="C974" s="117"/>
      <c r="D974" s="155" t="s">
        <v>170</v>
      </c>
      <c r="E974" s="119"/>
      <c r="F974" s="127">
        <v>2.2145999999999999</v>
      </c>
      <c r="G974" s="141">
        <f>IF($E950&gt;0, $E950, $E949*$E951)</f>
        <v>4000</v>
      </c>
      <c r="H974" s="122">
        <f>G974*F974</f>
        <v>8858.4</v>
      </c>
      <c r="I974" s="128">
        <v>2.0933000000000002</v>
      </c>
      <c r="J974" s="141">
        <f>IF($E950&gt;0, $E950, $E949*$E952)</f>
        <v>4000</v>
      </c>
      <c r="K974" s="122">
        <f>J974*I974</f>
        <v>8373.2000000000007</v>
      </c>
      <c r="L974" s="125">
        <f t="shared" si="141"/>
        <v>-485.19999999999891</v>
      </c>
      <c r="M974" s="126">
        <f>IF(ISERROR(L974/H974), "", L974/H974)</f>
        <v>-5.4772870947349291E-2</v>
      </c>
    </row>
    <row r="975" spans="1:13" ht="25.5" x14ac:dyDescent="0.25">
      <c r="A975" s="100" t="str">
        <f t="shared" si="144"/>
        <v>GENERAL SERVICE 1,000 TO 4,999 KW SERVICE CLASSIFICATION</v>
      </c>
      <c r="B975" s="105" t="s">
        <v>171</v>
      </c>
      <c r="C975" s="117">
        <f>B19</f>
        <v>17</v>
      </c>
      <c r="D975" s="147" t="s">
        <v>172</v>
      </c>
      <c r="E975" s="132"/>
      <c r="F975" s="149"/>
      <c r="G975" s="150"/>
      <c r="H975" s="151">
        <f>SUM(H972:H974)</f>
        <v>30710.35</v>
      </c>
      <c r="I975" s="152"/>
      <c r="J975" s="137"/>
      <c r="K975" s="151">
        <f>SUM(K972:K974)</f>
        <v>69886.98</v>
      </c>
      <c r="L975" s="138">
        <f t="shared" si="141"/>
        <v>39176.629999999997</v>
      </c>
      <c r="M975" s="139">
        <f>IF((H975)=0,"",(L975/H975))</f>
        <v>1.2756816512999689</v>
      </c>
    </row>
    <row r="976" spans="1:13" ht="25.5" x14ac:dyDescent="0.25">
      <c r="A976" s="100" t="str">
        <f t="shared" si="144"/>
        <v>GENERAL SERVICE 1,000 TO 4,999 KW SERVICE CLASSIFICATION</v>
      </c>
      <c r="C976" s="117"/>
      <c r="D976" s="156" t="s">
        <v>173</v>
      </c>
      <c r="E976" s="119"/>
      <c r="F976" s="127">
        <v>3.6000000000000003E-3</v>
      </c>
      <c r="G976" s="141">
        <f>E949*E951</f>
        <v>3168000</v>
      </c>
      <c r="H976" s="157">
        <f t="shared" ref="H976:H982" si="146">G976*F976</f>
        <v>11404.800000000001</v>
      </c>
      <c r="I976" s="128">
        <v>3.6000000000000003E-3</v>
      </c>
      <c r="J976" s="141">
        <f>E949*E952</f>
        <v>3168000</v>
      </c>
      <c r="K976" s="157">
        <f t="shared" ref="K976:K982" si="147">J976*I976</f>
        <v>11404.800000000001</v>
      </c>
      <c r="L976" s="125">
        <f t="shared" si="141"/>
        <v>0</v>
      </c>
      <c r="M976" s="126">
        <f t="shared" ref="M976:M984" si="148">IF(ISERROR(L976/H976), "", L976/H976)</f>
        <v>0</v>
      </c>
    </row>
    <row r="977" spans="1:13" ht="25.5" x14ac:dyDescent="0.25">
      <c r="A977" s="100" t="str">
        <f t="shared" si="144"/>
        <v>GENERAL SERVICE 1,000 TO 4,999 KW SERVICE CLASSIFICATION</v>
      </c>
      <c r="C977" s="117"/>
      <c r="D977" s="156" t="s">
        <v>174</v>
      </c>
      <c r="E977" s="119"/>
      <c r="F977" s="127">
        <f>'[1]17. Regulatory Charges'!$D$16</f>
        <v>2.9999999999999997E-4</v>
      </c>
      <c r="G977" s="141">
        <f>E949*E951</f>
        <v>3168000</v>
      </c>
      <c r="H977" s="157">
        <f t="shared" si="146"/>
        <v>950.39999999999986</v>
      </c>
      <c r="I977" s="128">
        <v>2.9999999999999997E-4</v>
      </c>
      <c r="J977" s="141">
        <f>E949*E952</f>
        <v>3168000</v>
      </c>
      <c r="K977" s="157">
        <f t="shared" si="147"/>
        <v>950.39999999999986</v>
      </c>
      <c r="L977" s="125">
        <f t="shared" si="141"/>
        <v>0</v>
      </c>
      <c r="M977" s="126">
        <f t="shared" si="148"/>
        <v>0</v>
      </c>
    </row>
    <row r="978" spans="1:13" x14ac:dyDescent="0.25">
      <c r="A978" s="100" t="str">
        <f t="shared" si="144"/>
        <v>GENERAL SERVICE 1,000 TO 4,999 KW SERVICE CLASSIFICATION</v>
      </c>
      <c r="C978" s="117"/>
      <c r="D978" s="158" t="s">
        <v>175</v>
      </c>
      <c r="E978" s="119"/>
      <c r="F978" s="145">
        <v>0.25</v>
      </c>
      <c r="G978" s="121">
        <v>1</v>
      </c>
      <c r="H978" s="157">
        <f t="shared" si="146"/>
        <v>0.25</v>
      </c>
      <c r="I978" s="146">
        <f>'[1]17. Regulatory Charges'!$D$17</f>
        <v>0.25</v>
      </c>
      <c r="J978" s="124">
        <v>1</v>
      </c>
      <c r="K978" s="157">
        <f t="shared" si="147"/>
        <v>0.25</v>
      </c>
      <c r="L978" s="125">
        <f t="shared" si="141"/>
        <v>0</v>
      </c>
      <c r="M978" s="126">
        <f t="shared" si="148"/>
        <v>0</v>
      </c>
    </row>
    <row r="979" spans="1:13" ht="25.5" x14ac:dyDescent="0.25">
      <c r="A979" s="100" t="str">
        <f t="shared" si="144"/>
        <v>GENERAL SERVICE 1,000 TO 4,999 KW SERVICE CLASSIFICATION</v>
      </c>
      <c r="C979" s="117"/>
      <c r="D979" s="156" t="s">
        <v>176</v>
      </c>
      <c r="E979" s="119"/>
      <c r="F979" s="127"/>
      <c r="G979" s="141"/>
      <c r="H979" s="157"/>
      <c r="I979" s="128"/>
      <c r="J979" s="141"/>
      <c r="K979" s="157"/>
      <c r="L979" s="125"/>
      <c r="M979" s="126"/>
    </row>
    <row r="980" spans="1:13" hidden="1" x14ac:dyDescent="0.25">
      <c r="A980" s="100" t="str">
        <f t="shared" si="144"/>
        <v>GENERAL SERVICE 1,000 TO 4,999 KW SERVICE CLASSIFICATION</v>
      </c>
      <c r="B980" s="105" t="s">
        <v>117</v>
      </c>
      <c r="C980" s="117"/>
      <c r="D980" s="159" t="s">
        <v>177</v>
      </c>
      <c r="E980" s="119"/>
      <c r="F980" s="160">
        <f>OffPeak</f>
        <v>6.5000000000000002E-2</v>
      </c>
      <c r="G980" s="161">
        <f>IF(AND(E949*12&gt;=150000),0.65*E949*E951,0.65*E949)</f>
        <v>2059200</v>
      </c>
      <c r="H980" s="157">
        <f t="shared" si="146"/>
        <v>133848</v>
      </c>
      <c r="I980" s="162">
        <f>OffPeak</f>
        <v>6.5000000000000002E-2</v>
      </c>
      <c r="J980" s="161">
        <f>IF(AND(E949*12&gt;=150000),0.65*E949*E952,0.65*E949)</f>
        <v>2059200</v>
      </c>
      <c r="K980" s="157">
        <f t="shared" si="147"/>
        <v>133848</v>
      </c>
      <c r="L980" s="125">
        <f>K980-H980</f>
        <v>0</v>
      </c>
      <c r="M980" s="126">
        <f t="shared" si="148"/>
        <v>0</v>
      </c>
    </row>
    <row r="981" spans="1:13" hidden="1" x14ac:dyDescent="0.25">
      <c r="A981" s="100" t="str">
        <f t="shared" si="144"/>
        <v>GENERAL SERVICE 1,000 TO 4,999 KW SERVICE CLASSIFICATION</v>
      </c>
      <c r="B981" s="105" t="s">
        <v>117</v>
      </c>
      <c r="C981" s="117"/>
      <c r="D981" s="159" t="s">
        <v>178</v>
      </c>
      <c r="E981" s="119"/>
      <c r="F981" s="160">
        <f>MidPeak</f>
        <v>9.4E-2</v>
      </c>
      <c r="G981" s="161">
        <f>IF(AND(E949*12&gt;=150000),0.17*E949*E951,0.17*E949)</f>
        <v>538560.00000000012</v>
      </c>
      <c r="H981" s="157">
        <f t="shared" si="146"/>
        <v>50624.640000000014</v>
      </c>
      <c r="I981" s="162">
        <f>MidPeak</f>
        <v>9.4E-2</v>
      </c>
      <c r="J981" s="161">
        <f>IF(AND(E949*12&gt;=150000),0.17*E949*E952,0.17*E949)</f>
        <v>538560.00000000012</v>
      </c>
      <c r="K981" s="157">
        <f t="shared" si="147"/>
        <v>50624.640000000014</v>
      </c>
      <c r="L981" s="125">
        <f>K981-H981</f>
        <v>0</v>
      </c>
      <c r="M981" s="126">
        <f t="shared" si="148"/>
        <v>0</v>
      </c>
    </row>
    <row r="982" spans="1:13" hidden="1" x14ac:dyDescent="0.25">
      <c r="A982" s="100" t="str">
        <f t="shared" si="144"/>
        <v>GENERAL SERVICE 1,000 TO 4,999 KW SERVICE CLASSIFICATION</v>
      </c>
      <c r="B982" s="105" t="s">
        <v>117</v>
      </c>
      <c r="C982" s="117"/>
      <c r="D982" s="105" t="s">
        <v>179</v>
      </c>
      <c r="E982" s="119"/>
      <c r="F982" s="160">
        <f>OnPeak</f>
        <v>0.13200000000000001</v>
      </c>
      <c r="G982" s="161">
        <f>IF(AND(E949*12&gt;=150000),0.18*E949*E951,0.18*E949)</f>
        <v>570240</v>
      </c>
      <c r="H982" s="157">
        <f t="shared" si="146"/>
        <v>75271.680000000008</v>
      </c>
      <c r="I982" s="162">
        <f>OnPeak</f>
        <v>0.13200000000000001</v>
      </c>
      <c r="J982" s="161">
        <f>IF(AND(E949*12&gt;=150000),0.18*E949*E952,0.18*E949)</f>
        <v>570240</v>
      </c>
      <c r="K982" s="157">
        <f t="shared" si="147"/>
        <v>75271.680000000008</v>
      </c>
      <c r="L982" s="125">
        <f>K982-H982</f>
        <v>0</v>
      </c>
      <c r="M982" s="126">
        <f t="shared" si="148"/>
        <v>0</v>
      </c>
    </row>
    <row r="983" spans="1:13" hidden="1" x14ac:dyDescent="0.25">
      <c r="A983" s="100" t="str">
        <f t="shared" si="144"/>
        <v>GENERAL SERVICE 1,000 TO 4,999 KW SERVICE CLASSIFICATION</v>
      </c>
      <c r="B983" s="100" t="s">
        <v>180</v>
      </c>
      <c r="C983" s="117"/>
      <c r="D983" s="159" t="s">
        <v>181</v>
      </c>
      <c r="E983" s="119"/>
      <c r="F983" s="163">
        <v>0.1101</v>
      </c>
      <c r="G983" s="161">
        <f>IF(AND(E949*12&gt;=150000),E949*E951,E949)</f>
        <v>3168000</v>
      </c>
      <c r="H983" s="157">
        <f>G983*F983</f>
        <v>348796.8</v>
      </c>
      <c r="I983" s="164">
        <f>F983</f>
        <v>0.1101</v>
      </c>
      <c r="J983" s="161">
        <f>IF(AND(E949*12&gt;=150000),E949*E952,E949)</f>
        <v>3168000</v>
      </c>
      <c r="K983" s="157">
        <f>J983*I983</f>
        <v>348796.8</v>
      </c>
      <c r="L983" s="125">
        <f>K983-H983</f>
        <v>0</v>
      </c>
      <c r="M983" s="126">
        <f t="shared" si="148"/>
        <v>0</v>
      </c>
    </row>
    <row r="984" spans="1:13" ht="15.75" thickBot="1" x14ac:dyDescent="0.3">
      <c r="A984" s="100" t="str">
        <f t="shared" si="144"/>
        <v>GENERAL SERVICE 1,000 TO 4,999 KW SERVICE CLASSIFICATION</v>
      </c>
      <c r="B984" s="100" t="s">
        <v>121</v>
      </c>
      <c r="C984" s="117"/>
      <c r="D984" s="159" t="s">
        <v>182</v>
      </c>
      <c r="E984" s="119"/>
      <c r="F984" s="163">
        <v>0.1101</v>
      </c>
      <c r="G984" s="161">
        <f>IF(AND(E949*12&gt;=150000),E949*E951,E949)</f>
        <v>3168000</v>
      </c>
      <c r="H984" s="157">
        <f>G984*F984</f>
        <v>348796.8</v>
      </c>
      <c r="I984" s="164">
        <f>F984</f>
        <v>0.1101</v>
      </c>
      <c r="J984" s="161">
        <f>IF(AND(E949*12&gt;=150000),E949*E952,E949)</f>
        <v>3168000</v>
      </c>
      <c r="K984" s="157">
        <f>J984*I984</f>
        <v>348796.8</v>
      </c>
      <c r="L984" s="125">
        <f>K984-H984</f>
        <v>0</v>
      </c>
      <c r="M984" s="126">
        <f t="shared" si="148"/>
        <v>0</v>
      </c>
    </row>
    <row r="985" spans="1:13" ht="15.75" thickBot="1" x14ac:dyDescent="0.3">
      <c r="A985" s="100" t="str">
        <f t="shared" si="144"/>
        <v>GENERAL SERVICE 1,000 TO 4,999 KW SERVICE CLASSIFICATION</v>
      </c>
      <c r="B985" s="105"/>
      <c r="C985" s="117"/>
      <c r="D985" s="165"/>
      <c r="E985" s="166"/>
      <c r="F985" s="167"/>
      <c r="G985" s="168"/>
      <c r="H985" s="169"/>
      <c r="I985" s="167"/>
      <c r="J985" s="170"/>
      <c r="K985" s="169"/>
      <c r="L985" s="171"/>
      <c r="M985" s="172"/>
    </row>
    <row r="986" spans="1:13" hidden="1" x14ac:dyDescent="0.25">
      <c r="A986" s="100" t="str">
        <f t="shared" si="144"/>
        <v>GENERAL SERVICE 1,000 TO 4,999 KW SERVICE CLASSIFICATION</v>
      </c>
      <c r="B986" s="105" t="s">
        <v>117</v>
      </c>
      <c r="C986" s="117"/>
      <c r="D986" s="173" t="s">
        <v>183</v>
      </c>
      <c r="E986" s="158"/>
      <c r="F986" s="174"/>
      <c r="G986" s="175"/>
      <c r="H986" s="176">
        <f>SUM(H976:H982,H975)</f>
        <v>302810.12</v>
      </c>
      <c r="I986" s="177"/>
      <c r="J986" s="177"/>
      <c r="K986" s="176">
        <f>SUM(K976:K982,K975)</f>
        <v>341986.75</v>
      </c>
      <c r="L986" s="178">
        <f>K986-H986</f>
        <v>39176.630000000005</v>
      </c>
      <c r="M986" s="179">
        <f>IF((H986)=0,"",(L986/H986))</f>
        <v>0.12937688476197562</v>
      </c>
    </row>
    <row r="987" spans="1:13" hidden="1" x14ac:dyDescent="0.25">
      <c r="A987" s="100" t="str">
        <f t="shared" si="144"/>
        <v>GENERAL SERVICE 1,000 TO 4,999 KW SERVICE CLASSIFICATION</v>
      </c>
      <c r="B987" s="105" t="s">
        <v>117</v>
      </c>
      <c r="C987" s="117"/>
      <c r="D987" s="180" t="s">
        <v>184</v>
      </c>
      <c r="E987" s="158"/>
      <c r="F987" s="174">
        <v>0.13</v>
      </c>
      <c r="G987" s="181"/>
      <c r="H987" s="182">
        <f>H986*F987</f>
        <v>39365.315600000002</v>
      </c>
      <c r="I987" s="183">
        <v>0.13</v>
      </c>
      <c r="J987" s="121"/>
      <c r="K987" s="182">
        <f>K986*I987</f>
        <v>44458.277500000004</v>
      </c>
      <c r="L987" s="184">
        <f>K987-H987</f>
        <v>5092.9619000000021</v>
      </c>
      <c r="M987" s="185">
        <f>IF((H987)=0,"",(L987/H987))</f>
        <v>0.12937688476197565</v>
      </c>
    </row>
    <row r="988" spans="1:13" hidden="1" x14ac:dyDescent="0.25">
      <c r="A988" s="100" t="str">
        <f t="shared" si="144"/>
        <v>GENERAL SERVICE 1,000 TO 4,999 KW SERVICE CLASSIFICATION</v>
      </c>
      <c r="B988" s="105" t="s">
        <v>117</v>
      </c>
      <c r="C988" s="117"/>
      <c r="D988" s="180" t="s">
        <v>185</v>
      </c>
      <c r="E988" s="158"/>
      <c r="F988" s="174">
        <v>0.08</v>
      </c>
      <c r="G988" s="181"/>
      <c r="H988" s="182">
        <v>0</v>
      </c>
      <c r="I988" s="174">
        <v>0.08</v>
      </c>
      <c r="J988" s="121"/>
      <c r="K988" s="182">
        <v>0</v>
      </c>
      <c r="L988" s="184">
        <f>K988-H988</f>
        <v>0</v>
      </c>
      <c r="M988" s="185"/>
    </row>
    <row r="989" spans="1:13" ht="15.75" hidden="1" thickBot="1" x14ac:dyDescent="0.3">
      <c r="A989" s="100" t="str">
        <f t="shared" si="144"/>
        <v>GENERAL SERVICE 1,000 TO 4,999 KW SERVICE CLASSIFICATION</v>
      </c>
      <c r="B989" s="105" t="s">
        <v>186</v>
      </c>
      <c r="C989" s="117"/>
      <c r="D989" s="301" t="s">
        <v>187</v>
      </c>
      <c r="E989" s="301"/>
      <c r="F989" s="186"/>
      <c r="G989" s="187"/>
      <c r="H989" s="188">
        <f>H986+H987+H988</f>
        <v>342175.43559999997</v>
      </c>
      <c r="I989" s="189"/>
      <c r="J989" s="189"/>
      <c r="K989" s="190">
        <f>K986+K987+K988</f>
        <v>386445.02750000003</v>
      </c>
      <c r="L989" s="191">
        <f>K989-H989</f>
        <v>44269.591900000058</v>
      </c>
      <c r="M989" s="192">
        <f>IF((H989)=0,"",(L989/H989))</f>
        <v>0.12937688476197576</v>
      </c>
    </row>
    <row r="990" spans="1:13" ht="15.75" hidden="1" thickBot="1" x14ac:dyDescent="0.3">
      <c r="A990" s="100" t="str">
        <f t="shared" si="144"/>
        <v>GENERAL SERVICE 1,000 TO 4,999 KW SERVICE CLASSIFICATION</v>
      </c>
      <c r="B990" s="100" t="s">
        <v>117</v>
      </c>
      <c r="C990" s="117"/>
      <c r="D990" s="165"/>
      <c r="E990" s="166"/>
      <c r="F990" s="167"/>
      <c r="G990" s="168"/>
      <c r="H990" s="169"/>
      <c r="I990" s="167"/>
      <c r="J990" s="170"/>
      <c r="K990" s="169"/>
      <c r="L990" s="171"/>
      <c r="M990" s="172"/>
    </row>
    <row r="991" spans="1:13" hidden="1" x14ac:dyDescent="0.25">
      <c r="A991" s="100" t="str">
        <f t="shared" si="144"/>
        <v>GENERAL SERVICE 1,000 TO 4,999 KW SERVICE CLASSIFICATION</v>
      </c>
      <c r="B991" s="100" t="s">
        <v>180</v>
      </c>
      <c r="C991" s="117"/>
      <c r="D991" s="173" t="s">
        <v>188</v>
      </c>
      <c r="E991" s="158"/>
      <c r="F991" s="174"/>
      <c r="G991" s="175"/>
      <c r="H991" s="176">
        <f>SUM(H983,H976:H979,H975)</f>
        <v>391862.6</v>
      </c>
      <c r="I991" s="177"/>
      <c r="J991" s="177"/>
      <c r="K991" s="176">
        <f>SUM(K983,K976:K979,K975)</f>
        <v>431039.23</v>
      </c>
      <c r="L991" s="178">
        <f>K991-H991</f>
        <v>39176.630000000005</v>
      </c>
      <c r="M991" s="179">
        <f>IF((H991)=0,"",(L991/H991))</f>
        <v>9.9975425059702069E-2</v>
      </c>
    </row>
    <row r="992" spans="1:13" hidden="1" x14ac:dyDescent="0.25">
      <c r="A992" s="100" t="str">
        <f t="shared" si="144"/>
        <v>GENERAL SERVICE 1,000 TO 4,999 KW SERVICE CLASSIFICATION</v>
      </c>
      <c r="B992" s="100" t="s">
        <v>180</v>
      </c>
      <c r="C992" s="117"/>
      <c r="D992" s="180" t="s">
        <v>184</v>
      </c>
      <c r="E992" s="158"/>
      <c r="F992" s="174">
        <v>0.13</v>
      </c>
      <c r="G992" s="175"/>
      <c r="H992" s="182">
        <f>H991*F992</f>
        <v>50942.137999999999</v>
      </c>
      <c r="I992" s="174">
        <v>0.13</v>
      </c>
      <c r="J992" s="183"/>
      <c r="K992" s="182">
        <f>K991*I992</f>
        <v>56035.099900000001</v>
      </c>
      <c r="L992" s="184">
        <f>K992-H992</f>
        <v>5092.9619000000021</v>
      </c>
      <c r="M992" s="185">
        <f>IF((H992)=0,"",(L992/H992))</f>
        <v>9.9975425059702097E-2</v>
      </c>
    </row>
    <row r="993" spans="1:13" hidden="1" x14ac:dyDescent="0.25">
      <c r="A993" s="100" t="str">
        <f t="shared" si="144"/>
        <v>GENERAL SERVICE 1,000 TO 4,999 KW SERVICE CLASSIFICATION</v>
      </c>
      <c r="B993" s="100" t="s">
        <v>180</v>
      </c>
      <c r="C993" s="117"/>
      <c r="D993" s="180" t="s">
        <v>185</v>
      </c>
      <c r="E993" s="158"/>
      <c r="F993" s="174">
        <v>0.08</v>
      </c>
      <c r="G993" s="175"/>
      <c r="H993" s="182">
        <v>0</v>
      </c>
      <c r="I993" s="174">
        <v>0.08</v>
      </c>
      <c r="J993" s="183"/>
      <c r="K993" s="182">
        <v>0</v>
      </c>
      <c r="L993" s="184"/>
      <c r="M993" s="185"/>
    </row>
    <row r="994" spans="1:13" ht="15.75" hidden="1" thickBot="1" x14ac:dyDescent="0.3">
      <c r="A994" s="100" t="str">
        <f t="shared" si="144"/>
        <v>GENERAL SERVICE 1,000 TO 4,999 KW SERVICE CLASSIFICATION</v>
      </c>
      <c r="B994" s="100" t="s">
        <v>189</v>
      </c>
      <c r="C994" s="117"/>
      <c r="D994" s="301" t="s">
        <v>188</v>
      </c>
      <c r="E994" s="301"/>
      <c r="F994" s="193"/>
      <c r="G994" s="194"/>
      <c r="H994" s="188">
        <f>SUM(H991,H992)</f>
        <v>442804.73799999995</v>
      </c>
      <c r="I994" s="195"/>
      <c r="J994" s="195"/>
      <c r="K994" s="188">
        <f>SUM(K991,K992)</f>
        <v>487074.32990000001</v>
      </c>
      <c r="L994" s="196">
        <f>K994-H994</f>
        <v>44269.591900000058</v>
      </c>
      <c r="M994" s="197">
        <f>IF((H994)=0,"",(L994/H994))</f>
        <v>9.9975425059702194E-2</v>
      </c>
    </row>
    <row r="995" spans="1:13" ht="15.75" hidden="1" thickBot="1" x14ac:dyDescent="0.3">
      <c r="A995" s="100" t="str">
        <f t="shared" si="144"/>
        <v>GENERAL SERVICE 1,000 TO 4,999 KW SERVICE CLASSIFICATION</v>
      </c>
      <c r="B995" s="100" t="s">
        <v>180</v>
      </c>
      <c r="C995" s="117"/>
      <c r="D995" s="165"/>
      <c r="E995" s="166"/>
      <c r="F995" s="198"/>
      <c r="G995" s="199"/>
      <c r="H995" s="200"/>
      <c r="I995" s="198"/>
      <c r="J995" s="168"/>
      <c r="K995" s="200"/>
      <c r="L995" s="201"/>
      <c r="M995" s="172"/>
    </row>
    <row r="996" spans="1:13" x14ac:dyDescent="0.25">
      <c r="A996" s="100" t="str">
        <f t="shared" si="144"/>
        <v>GENERAL SERVICE 1,000 TO 4,999 KW SERVICE CLASSIFICATION</v>
      </c>
      <c r="B996" s="100" t="s">
        <v>121</v>
      </c>
      <c r="C996" s="117"/>
      <c r="D996" s="173" t="s">
        <v>190</v>
      </c>
      <c r="E996" s="158"/>
      <c r="F996" s="174"/>
      <c r="G996" s="175"/>
      <c r="H996" s="176">
        <f>SUM(H984,H976:H979,H975)</f>
        <v>391862.6</v>
      </c>
      <c r="I996" s="177"/>
      <c r="J996" s="177"/>
      <c r="K996" s="176">
        <f>SUM(K984,K976:K979,K975)</f>
        <v>431039.23</v>
      </c>
      <c r="L996" s="178">
        <f>K996-H996</f>
        <v>39176.630000000005</v>
      </c>
      <c r="M996" s="179">
        <f>IF((H996)=0,"",(L996/H996))</f>
        <v>9.9975425059702069E-2</v>
      </c>
    </row>
    <row r="997" spans="1:13" x14ac:dyDescent="0.25">
      <c r="A997" s="100" t="str">
        <f t="shared" si="144"/>
        <v>GENERAL SERVICE 1,000 TO 4,999 KW SERVICE CLASSIFICATION</v>
      </c>
      <c r="B997" s="100" t="s">
        <v>121</v>
      </c>
      <c r="C997" s="117"/>
      <c r="D997" s="180" t="s">
        <v>184</v>
      </c>
      <c r="E997" s="158"/>
      <c r="F997" s="174">
        <v>0.13</v>
      </c>
      <c r="G997" s="175"/>
      <c r="H997" s="182">
        <f>H996*F997</f>
        <v>50942.137999999999</v>
      </c>
      <c r="I997" s="174">
        <v>0.13</v>
      </c>
      <c r="J997" s="183"/>
      <c r="K997" s="182">
        <f>K996*I997</f>
        <v>56035.099900000001</v>
      </c>
      <c r="L997" s="184">
        <f>K997-H997</f>
        <v>5092.9619000000021</v>
      </c>
      <c r="M997" s="185">
        <f>IF((H997)=0,"",(L997/H997))</f>
        <v>9.9975425059702097E-2</v>
      </c>
    </row>
    <row r="998" spans="1:13" x14ac:dyDescent="0.25">
      <c r="A998" s="100" t="str">
        <f t="shared" si="144"/>
        <v>GENERAL SERVICE 1,000 TO 4,999 KW SERVICE CLASSIFICATION</v>
      </c>
      <c r="B998" s="100" t="s">
        <v>121</v>
      </c>
      <c r="C998" s="117"/>
      <c r="D998" s="180" t="s">
        <v>185</v>
      </c>
      <c r="E998" s="158"/>
      <c r="F998" s="174">
        <v>0.08</v>
      </c>
      <c r="G998" s="175"/>
      <c r="H998" s="182">
        <v>0</v>
      </c>
      <c r="I998" s="174">
        <v>0.08</v>
      </c>
      <c r="J998" s="183"/>
      <c r="K998" s="182">
        <v>0</v>
      </c>
      <c r="L998" s="184"/>
      <c r="M998" s="185"/>
    </row>
    <row r="999" spans="1:13" ht="15.75" thickBot="1" x14ac:dyDescent="0.3">
      <c r="A999" s="100" t="str">
        <f t="shared" si="144"/>
        <v>GENERAL SERVICE 1,000 TO 4,999 KW SERVICE CLASSIFICATION</v>
      </c>
      <c r="B999" s="100" t="s">
        <v>191</v>
      </c>
      <c r="C999" s="117">
        <f>B19</f>
        <v>17</v>
      </c>
      <c r="D999" s="301" t="s">
        <v>190</v>
      </c>
      <c r="E999" s="301"/>
      <c r="F999" s="193"/>
      <c r="G999" s="194"/>
      <c r="H999" s="188">
        <f>SUM(H996,H997)</f>
        <v>442804.73799999995</v>
      </c>
      <c r="I999" s="195"/>
      <c r="J999" s="195"/>
      <c r="K999" s="188">
        <f>SUM(K996,K997)</f>
        <v>487074.32990000001</v>
      </c>
      <c r="L999" s="196">
        <f>K999-H999</f>
        <v>44269.591900000058</v>
      </c>
      <c r="M999" s="197">
        <f>IF((H999)=0,"",(L999/H999))</f>
        <v>9.9975425059702194E-2</v>
      </c>
    </row>
    <row r="1000" spans="1:13" ht="15.75" thickBot="1" x14ac:dyDescent="0.3">
      <c r="A1000" s="100" t="str">
        <f t="shared" si="144"/>
        <v>GENERAL SERVICE 1,000 TO 4,999 KW SERVICE CLASSIFICATION</v>
      </c>
      <c r="B1000" s="100" t="s">
        <v>121</v>
      </c>
      <c r="C1000" s="117"/>
      <c r="D1000" s="165"/>
      <c r="E1000" s="166"/>
      <c r="F1000" s="202"/>
      <c r="G1000" s="203"/>
      <c r="H1000" s="204"/>
      <c r="I1000" s="202"/>
      <c r="J1000" s="205"/>
      <c r="K1000" s="204"/>
      <c r="L1000" s="206"/>
      <c r="M1000" s="207"/>
    </row>
    <row r="1003" spans="1:13" x14ac:dyDescent="0.25">
      <c r="C1003" s="100"/>
      <c r="D1003" s="101" t="s">
        <v>134</v>
      </c>
      <c r="E1003" s="302" t="str">
        <f>D20</f>
        <v>GENERAL SERVICE 50 TO 999 KW SERVICE CLASSIFICATION</v>
      </c>
      <c r="F1003" s="302"/>
      <c r="G1003" s="302"/>
      <c r="H1003" s="302"/>
      <c r="I1003" s="302"/>
      <c r="J1003" s="302"/>
      <c r="K1003" s="100" t="str">
        <f>IF(N20="DEMAND - INTERVAL","RTSR - INTERVAL METERED","")</f>
        <v/>
      </c>
    </row>
    <row r="1004" spans="1:13" x14ac:dyDescent="0.25">
      <c r="C1004" s="100"/>
      <c r="D1004" s="101" t="s">
        <v>135</v>
      </c>
      <c r="E1004" s="303" t="str">
        <f>H20</f>
        <v>RPP</v>
      </c>
      <c r="F1004" s="303"/>
      <c r="G1004" s="303"/>
      <c r="H1004" s="102"/>
      <c r="I1004" s="102"/>
    </row>
    <row r="1005" spans="1:13" ht="15.75" x14ac:dyDescent="0.25">
      <c r="C1005" s="100"/>
      <c r="D1005" s="101" t="s">
        <v>136</v>
      </c>
      <c r="E1005" s="103">
        <f>K20</f>
        <v>69000</v>
      </c>
      <c r="F1005" s="104" t="s">
        <v>137</v>
      </c>
      <c r="G1005" s="105"/>
      <c r="J1005" s="106"/>
      <c r="K1005" s="106"/>
      <c r="L1005" s="106"/>
      <c r="M1005" s="106"/>
    </row>
    <row r="1006" spans="1:13" ht="15.75" x14ac:dyDescent="0.25">
      <c r="C1006" s="100"/>
      <c r="D1006" s="101" t="s">
        <v>138</v>
      </c>
      <c r="E1006" s="103">
        <f>L20</f>
        <v>160</v>
      </c>
      <c r="F1006" s="107" t="s">
        <v>139</v>
      </c>
      <c r="G1006" s="108"/>
      <c r="H1006" s="109"/>
      <c r="I1006" s="109"/>
      <c r="J1006" s="109"/>
    </row>
    <row r="1007" spans="1:13" x14ac:dyDescent="0.25">
      <c r="C1007" s="100"/>
      <c r="D1007" s="101" t="s">
        <v>140</v>
      </c>
      <c r="E1007" s="110">
        <f>I20</f>
        <v>1.056</v>
      </c>
    </row>
    <row r="1008" spans="1:13" x14ac:dyDescent="0.25">
      <c r="C1008" s="100"/>
      <c r="D1008" s="101" t="s">
        <v>141</v>
      </c>
      <c r="E1008" s="110">
        <f>J20</f>
        <v>1.056</v>
      </c>
    </row>
    <row r="1009" spans="1:13" x14ac:dyDescent="0.25">
      <c r="C1009" s="100"/>
      <c r="D1009" s="105"/>
    </row>
    <row r="1010" spans="1:13" x14ac:dyDescent="0.25">
      <c r="C1010" s="100"/>
      <c r="D1010" s="105"/>
      <c r="E1010" s="111"/>
      <c r="F1010" s="304" t="s">
        <v>142</v>
      </c>
      <c r="G1010" s="305"/>
      <c r="H1010" s="306"/>
      <c r="I1010" s="304" t="s">
        <v>143</v>
      </c>
      <c r="J1010" s="305"/>
      <c r="K1010" s="306"/>
      <c r="L1010" s="304" t="s">
        <v>144</v>
      </c>
      <c r="M1010" s="306"/>
    </row>
    <row r="1011" spans="1:13" x14ac:dyDescent="0.25">
      <c r="C1011" s="100"/>
      <c r="D1011" s="105"/>
      <c r="E1011" s="295"/>
      <c r="F1011" s="112" t="s">
        <v>145</v>
      </c>
      <c r="G1011" s="112" t="s">
        <v>146</v>
      </c>
      <c r="H1011" s="113" t="s">
        <v>147</v>
      </c>
      <c r="I1011" s="112" t="s">
        <v>145</v>
      </c>
      <c r="J1011" s="114" t="s">
        <v>146</v>
      </c>
      <c r="K1011" s="113" t="s">
        <v>147</v>
      </c>
      <c r="L1011" s="297" t="s">
        <v>148</v>
      </c>
      <c r="M1011" s="299" t="s">
        <v>149</v>
      </c>
    </row>
    <row r="1012" spans="1:13" x14ac:dyDescent="0.25">
      <c r="C1012" s="100"/>
      <c r="D1012" s="105"/>
      <c r="E1012" s="296"/>
      <c r="F1012" s="115" t="s">
        <v>150</v>
      </c>
      <c r="G1012" s="115"/>
      <c r="H1012" s="116" t="s">
        <v>150</v>
      </c>
      <c r="I1012" s="115" t="s">
        <v>150</v>
      </c>
      <c r="J1012" s="116"/>
      <c r="K1012" s="116" t="s">
        <v>150</v>
      </c>
      <c r="L1012" s="298"/>
      <c r="M1012" s="300"/>
    </row>
    <row r="1013" spans="1:13" x14ac:dyDescent="0.25">
      <c r="A1013" s="100" t="str">
        <f>$E1003</f>
        <v>GENERAL SERVICE 50 TO 999 KW SERVICE CLASSIFICATION</v>
      </c>
      <c r="C1013" s="117"/>
      <c r="D1013" s="118" t="s">
        <v>151</v>
      </c>
      <c r="E1013" s="119"/>
      <c r="F1013" s="120">
        <v>86.83</v>
      </c>
      <c r="G1013" s="121">
        <v>1</v>
      </c>
      <c r="H1013" s="122">
        <f>G1013*F1013</f>
        <v>86.83</v>
      </c>
      <c r="I1013" s="123">
        <v>87.87</v>
      </c>
      <c r="J1013" s="124">
        <f>G1013</f>
        <v>1</v>
      </c>
      <c r="K1013" s="122">
        <f>J1013*I1013</f>
        <v>87.87</v>
      </c>
      <c r="L1013" s="125">
        <f t="shared" ref="L1013:L1034" si="149">K1013-H1013</f>
        <v>1.0400000000000063</v>
      </c>
      <c r="M1013" s="126">
        <f>IF(ISERROR(L1013/H1013), "", L1013/H1013)</f>
        <v>1.1977427156512798E-2</v>
      </c>
    </row>
    <row r="1014" spans="1:13" x14ac:dyDescent="0.25">
      <c r="A1014" s="100" t="str">
        <f>A1013</f>
        <v>GENERAL SERVICE 50 TO 999 KW SERVICE CLASSIFICATION</v>
      </c>
      <c r="C1014" s="117"/>
      <c r="D1014" s="118" t="s">
        <v>152</v>
      </c>
      <c r="E1014" s="119"/>
      <c r="F1014" s="127">
        <v>3.8580000000000001</v>
      </c>
      <c r="G1014" s="121">
        <f>IF($E1006&gt;0, $E1006, $E1005)</f>
        <v>160</v>
      </c>
      <c r="H1014" s="122">
        <f t="shared" ref="H1014:H1026" si="150">G1014*F1014</f>
        <v>617.28</v>
      </c>
      <c r="I1014" s="128">
        <v>3.9043000000000001</v>
      </c>
      <c r="J1014" s="124">
        <f>IF($E1006&gt;0, $E1006, $E1005)</f>
        <v>160</v>
      </c>
      <c r="K1014" s="122">
        <f>J1014*I1014</f>
        <v>624.68799999999999</v>
      </c>
      <c r="L1014" s="125">
        <f t="shared" si="149"/>
        <v>7.4080000000000155</v>
      </c>
      <c r="M1014" s="126">
        <f t="shared" ref="M1014:M1024" si="151">IF(ISERROR(L1014/H1014), "", L1014/H1014)</f>
        <v>1.2001036806635588E-2</v>
      </c>
    </row>
    <row r="1015" spans="1:13" x14ac:dyDescent="0.25">
      <c r="A1015" s="100" t="str">
        <f t="shared" ref="A1015:A1056" si="152">A1014</f>
        <v>GENERAL SERVICE 50 TO 999 KW SERVICE CLASSIFICATION</v>
      </c>
      <c r="C1015" s="117"/>
      <c r="D1015" s="118" t="s">
        <v>153</v>
      </c>
      <c r="E1015" s="119"/>
      <c r="F1015" s="127"/>
      <c r="G1015" s="121">
        <f>IF($E1006&gt;0, $E1006, $E1005)</f>
        <v>160</v>
      </c>
      <c r="H1015" s="122">
        <v>0</v>
      </c>
      <c r="I1015" s="128"/>
      <c r="J1015" s="124">
        <f>IF($E1006&gt;0, $E1006, $E1005)</f>
        <v>160</v>
      </c>
      <c r="K1015" s="122">
        <v>0</v>
      </c>
      <c r="L1015" s="125"/>
      <c r="M1015" s="126"/>
    </row>
    <row r="1016" spans="1:13" x14ac:dyDescent="0.25">
      <c r="A1016" s="100" t="str">
        <f t="shared" si="152"/>
        <v>GENERAL SERVICE 50 TO 999 KW SERVICE CLASSIFICATION</v>
      </c>
      <c r="C1016" s="117"/>
      <c r="D1016" s="118" t="s">
        <v>154</v>
      </c>
      <c r="E1016" s="119"/>
      <c r="F1016" s="127"/>
      <c r="G1016" s="121">
        <f>IF($E1006&gt;0, $E1006, $E1005)</f>
        <v>160</v>
      </c>
      <c r="H1016" s="122">
        <v>0</v>
      </c>
      <c r="I1016" s="128"/>
      <c r="J1016" s="121">
        <f>IF($E1006&gt;0, $E1006, $E1005)</f>
        <v>160</v>
      </c>
      <c r="K1016" s="122">
        <v>0</v>
      </c>
      <c r="L1016" s="125">
        <f>K1016-H1016</f>
        <v>0</v>
      </c>
      <c r="M1016" s="126" t="str">
        <f>IF(ISERROR(L1016/H1016), "", L1016/H1016)</f>
        <v/>
      </c>
    </row>
    <row r="1017" spans="1:13" x14ac:dyDescent="0.25">
      <c r="A1017" s="100" t="str">
        <f t="shared" si="152"/>
        <v>GENERAL SERVICE 50 TO 999 KW SERVICE CLASSIFICATION</v>
      </c>
      <c r="C1017" s="117"/>
      <c r="D1017" s="129" t="s">
        <v>155</v>
      </c>
      <c r="E1017" s="119"/>
      <c r="F1017" s="120">
        <v>0</v>
      </c>
      <c r="G1017" s="121">
        <v>1</v>
      </c>
      <c r="H1017" s="122">
        <f t="shared" si="150"/>
        <v>0</v>
      </c>
      <c r="I1017" s="123">
        <v>0</v>
      </c>
      <c r="J1017" s="124">
        <f>G1017</f>
        <v>1</v>
      </c>
      <c r="K1017" s="122">
        <f t="shared" ref="K1017:K1024" si="153">J1017*I1017</f>
        <v>0</v>
      </c>
      <c r="L1017" s="125">
        <f t="shared" si="149"/>
        <v>0</v>
      </c>
      <c r="M1017" s="126" t="str">
        <f t="shared" si="151"/>
        <v/>
      </c>
    </row>
    <row r="1018" spans="1:13" x14ac:dyDescent="0.25">
      <c r="A1018" s="100" t="str">
        <f t="shared" si="152"/>
        <v>GENERAL SERVICE 50 TO 999 KW SERVICE CLASSIFICATION</v>
      </c>
      <c r="C1018" s="117"/>
      <c r="D1018" s="118" t="s">
        <v>156</v>
      </c>
      <c r="E1018" s="119"/>
      <c r="F1018" s="127">
        <v>0</v>
      </c>
      <c r="G1018" s="121">
        <f>IF($E1006&gt;0, $E1006, $E1005)</f>
        <v>160</v>
      </c>
      <c r="H1018" s="122">
        <f t="shared" si="150"/>
        <v>0</v>
      </c>
      <c r="I1018" s="128">
        <v>0</v>
      </c>
      <c r="J1018" s="124">
        <f>IF($E1006&gt;0, $E1006, $E1005)</f>
        <v>160</v>
      </c>
      <c r="K1018" s="122">
        <f t="shared" si="153"/>
        <v>0</v>
      </c>
      <c r="L1018" s="125">
        <f t="shared" si="149"/>
        <v>0</v>
      </c>
      <c r="M1018" s="126" t="str">
        <f t="shared" si="151"/>
        <v/>
      </c>
    </row>
    <row r="1019" spans="1:13" x14ac:dyDescent="0.25">
      <c r="A1019" s="100" t="str">
        <f t="shared" si="152"/>
        <v>GENERAL SERVICE 50 TO 999 KW SERVICE CLASSIFICATION</v>
      </c>
      <c r="B1019" s="130" t="s">
        <v>157</v>
      </c>
      <c r="C1019" s="117">
        <f>B20</f>
        <v>18</v>
      </c>
      <c r="D1019" s="131" t="s">
        <v>158</v>
      </c>
      <c r="E1019" s="132"/>
      <c r="F1019" s="133"/>
      <c r="G1019" s="134"/>
      <c r="H1019" s="135">
        <f>SUM(H1013:H1018)</f>
        <v>704.11</v>
      </c>
      <c r="I1019" s="136"/>
      <c r="J1019" s="137"/>
      <c r="K1019" s="135">
        <f>SUM(K1013:K1018)</f>
        <v>712.55799999999999</v>
      </c>
      <c r="L1019" s="138">
        <f t="shared" si="149"/>
        <v>8.4479999999999791</v>
      </c>
      <c r="M1019" s="139">
        <f>IF((H1019)=0,"",(L1019/H1019))</f>
        <v>1.1998125292922952E-2</v>
      </c>
    </row>
    <row r="1020" spans="1:13" x14ac:dyDescent="0.25">
      <c r="A1020" s="100" t="str">
        <f t="shared" si="152"/>
        <v>GENERAL SERVICE 50 TO 999 KW SERVICE CLASSIFICATION</v>
      </c>
      <c r="C1020" s="117"/>
      <c r="D1020" s="140" t="s">
        <v>159</v>
      </c>
      <c r="E1020" s="119"/>
      <c r="F1020" s="127">
        <f>IF((E1005*12&gt;=150000), 0, IF(E1004="RPP",(F1036*0.65+F1037*0.17+F1038*0.18),IF(E1004="Non-RPP (Retailer)",F1039,F1040)))</f>
        <v>0</v>
      </c>
      <c r="G1020" s="141">
        <f>IF(F1020=0, 0, $E1005*E1007-E1005)</f>
        <v>0</v>
      </c>
      <c r="H1020" s="122">
        <f>G1020*F1020</f>
        <v>0</v>
      </c>
      <c r="I1020" s="128">
        <f>IF((E1005*12&gt;=150000), 0, IF(E1004="RPP",(I1036*0.65+I1037*0.17+I1038*0.18),IF(E1004="Non-RPP (Retailer)",I1039,I1040)))</f>
        <v>0</v>
      </c>
      <c r="J1020" s="141">
        <f>IF(I1020=0, 0, E1005*E1008-E1005)</f>
        <v>0</v>
      </c>
      <c r="K1020" s="122">
        <f>J1020*I1020</f>
        <v>0</v>
      </c>
      <c r="L1020" s="125">
        <f>K1020-H1020</f>
        <v>0</v>
      </c>
      <c r="M1020" s="126" t="str">
        <f>IF(ISERROR(L1020/H1020), "", L1020/H1020)</f>
        <v/>
      </c>
    </row>
    <row r="1021" spans="1:13" ht="25.5" x14ac:dyDescent="0.25">
      <c r="A1021" s="100" t="str">
        <f t="shared" si="152"/>
        <v>GENERAL SERVICE 50 TO 999 KW SERVICE CLASSIFICATION</v>
      </c>
      <c r="C1021" s="117"/>
      <c r="D1021" s="140" t="s">
        <v>160</v>
      </c>
      <c r="E1021" s="119"/>
      <c r="F1021" s="127">
        <v>-0.70650000000000002</v>
      </c>
      <c r="G1021" s="142">
        <f>IF($E1006&gt;0, $E1006, $E1005)</f>
        <v>160</v>
      </c>
      <c r="H1021" s="122">
        <f t="shared" si="150"/>
        <v>-113.04</v>
      </c>
      <c r="I1021" s="128">
        <v>-1.7801</v>
      </c>
      <c r="J1021" s="142">
        <f>IF($E1006&gt;0, $E1006, $E1005)</f>
        <v>160</v>
      </c>
      <c r="K1021" s="122">
        <f t="shared" si="153"/>
        <v>-284.81600000000003</v>
      </c>
      <c r="L1021" s="125">
        <f t="shared" si="149"/>
        <v>-171.77600000000001</v>
      </c>
      <c r="M1021" s="126">
        <f t="shared" si="151"/>
        <v>1.5196036801132342</v>
      </c>
    </row>
    <row r="1022" spans="1:13" x14ac:dyDescent="0.25">
      <c r="A1022" s="100" t="str">
        <f t="shared" si="152"/>
        <v>GENERAL SERVICE 50 TO 999 KW SERVICE CLASSIFICATION</v>
      </c>
      <c r="C1022" s="117"/>
      <c r="D1022" s="140" t="s">
        <v>161</v>
      </c>
      <c r="E1022" s="119"/>
      <c r="F1022" s="127">
        <v>-2.76E-2</v>
      </c>
      <c r="G1022" s="142">
        <f>IF($E1006&gt;0, $E1006, $E1005)</f>
        <v>160</v>
      </c>
      <c r="H1022" s="122">
        <f>G1022*F1022</f>
        <v>-4.4160000000000004</v>
      </c>
      <c r="I1022" s="128">
        <v>0</v>
      </c>
      <c r="J1022" s="142">
        <f>IF($E1006&gt;0, $E1006, $E1005)</f>
        <v>160</v>
      </c>
      <c r="K1022" s="122">
        <f>J1022*I1022</f>
        <v>0</v>
      </c>
      <c r="L1022" s="125">
        <f t="shared" si="149"/>
        <v>4.4160000000000004</v>
      </c>
      <c r="M1022" s="126">
        <f t="shared" si="151"/>
        <v>-1</v>
      </c>
    </row>
    <row r="1023" spans="1:13" x14ac:dyDescent="0.25">
      <c r="A1023" s="100" t="str">
        <f t="shared" si="152"/>
        <v>GENERAL SERVICE 50 TO 999 KW SERVICE CLASSIFICATION</v>
      </c>
      <c r="C1023" s="117"/>
      <c r="D1023" s="140" t="s">
        <v>162</v>
      </c>
      <c r="E1023" s="119"/>
      <c r="F1023" s="127">
        <v>0</v>
      </c>
      <c r="G1023" s="142">
        <f>E1005</f>
        <v>69000</v>
      </c>
      <c r="H1023" s="122">
        <f>G1023*F1023</f>
        <v>0</v>
      </c>
      <c r="I1023" s="128">
        <v>0</v>
      </c>
      <c r="J1023" s="142">
        <f>E1005</f>
        <v>69000</v>
      </c>
      <c r="K1023" s="122">
        <f t="shared" si="153"/>
        <v>0</v>
      </c>
      <c r="L1023" s="125">
        <f t="shared" si="149"/>
        <v>0</v>
      </c>
      <c r="M1023" s="126" t="str">
        <f t="shared" si="151"/>
        <v/>
      </c>
    </row>
    <row r="1024" spans="1:13" x14ac:dyDescent="0.25">
      <c r="A1024" s="100" t="str">
        <f t="shared" si="152"/>
        <v>GENERAL SERVICE 50 TO 999 KW SERVICE CLASSIFICATION</v>
      </c>
      <c r="C1024" s="117"/>
      <c r="D1024" s="143" t="s">
        <v>163</v>
      </c>
      <c r="E1024" s="119"/>
      <c r="F1024" s="127">
        <v>1.0483</v>
      </c>
      <c r="G1024" s="142">
        <f>IF($E1006&gt;0, $E1006, $E1005)</f>
        <v>160</v>
      </c>
      <c r="H1024" s="122">
        <f t="shared" si="150"/>
        <v>167.72800000000001</v>
      </c>
      <c r="I1024" s="128">
        <v>1.0483</v>
      </c>
      <c r="J1024" s="142">
        <f>IF($E1006&gt;0, $E1006, $E1005)</f>
        <v>160</v>
      </c>
      <c r="K1024" s="122">
        <f t="shared" si="153"/>
        <v>167.72800000000001</v>
      </c>
      <c r="L1024" s="125">
        <f t="shared" si="149"/>
        <v>0</v>
      </c>
      <c r="M1024" s="126">
        <f t="shared" si="151"/>
        <v>0</v>
      </c>
    </row>
    <row r="1025" spans="1:13" ht="25.5" x14ac:dyDescent="0.25">
      <c r="A1025" s="100" t="str">
        <f t="shared" si="152"/>
        <v>GENERAL SERVICE 50 TO 999 KW SERVICE CLASSIFICATION</v>
      </c>
      <c r="C1025" s="117"/>
      <c r="D1025" s="144" t="s">
        <v>164</v>
      </c>
      <c r="E1025" s="119"/>
      <c r="F1025" s="145">
        <f>IF(OR(ISNUMBER(SEARCH("RESIDENTIAL", E1003))=TRUE, ISNUMBER(SEARCH("GENERAL SERVICE LESS THAN 50", E1003))=TRUE), SME, 0)</f>
        <v>0</v>
      </c>
      <c r="G1025" s="121">
        <v>1</v>
      </c>
      <c r="H1025" s="122">
        <f>G1025*F1025</f>
        <v>0</v>
      </c>
      <c r="I1025" s="146">
        <f>IF(OR(ISNUMBER(SEARCH("RESIDENTIAL", E1003))=TRUE, ISNUMBER(SEARCH("GENERAL SERVICE LESS THAN 50", E1003))=TRUE), SME, 0)</f>
        <v>0</v>
      </c>
      <c r="J1025" s="121">
        <v>1</v>
      </c>
      <c r="K1025" s="122">
        <f>J1025*I1025</f>
        <v>0</v>
      </c>
      <c r="L1025" s="125">
        <f t="shared" si="149"/>
        <v>0</v>
      </c>
      <c r="M1025" s="126" t="str">
        <f>IF(ISERROR(L1025/H1025), "", L1025/H1025)</f>
        <v/>
      </c>
    </row>
    <row r="1026" spans="1:13" x14ac:dyDescent="0.25">
      <c r="A1026" s="100" t="str">
        <f t="shared" si="152"/>
        <v>GENERAL SERVICE 50 TO 999 KW SERVICE CLASSIFICATION</v>
      </c>
      <c r="C1026" s="117"/>
      <c r="D1026" s="143" t="s">
        <v>165</v>
      </c>
      <c r="E1026" s="119"/>
      <c r="F1026" s="120">
        <v>0</v>
      </c>
      <c r="G1026" s="121">
        <v>1</v>
      </c>
      <c r="H1026" s="122">
        <f t="shared" si="150"/>
        <v>0</v>
      </c>
      <c r="I1026" s="123">
        <v>0</v>
      </c>
      <c r="J1026" s="121">
        <v>1</v>
      </c>
      <c r="K1026" s="122">
        <f>J1026*I1026</f>
        <v>0</v>
      </c>
      <c r="L1026" s="125">
        <f>K1026-H1026</f>
        <v>0</v>
      </c>
      <c r="M1026" s="126" t="str">
        <f>IF(ISERROR(L1026/H1026), "", L1026/H1026)</f>
        <v/>
      </c>
    </row>
    <row r="1027" spans="1:13" x14ac:dyDescent="0.25">
      <c r="A1027" s="100" t="str">
        <f t="shared" si="152"/>
        <v>GENERAL SERVICE 50 TO 999 KW SERVICE CLASSIFICATION</v>
      </c>
      <c r="C1027" s="117"/>
      <c r="D1027" s="143" t="s">
        <v>166</v>
      </c>
      <c r="E1027" s="119"/>
      <c r="F1027" s="127"/>
      <c r="G1027" s="142">
        <f>IF($E1006&gt;0, $E1006, $E1005)</f>
        <v>160</v>
      </c>
      <c r="H1027" s="122">
        <f>G1027*F1027</f>
        <v>0</v>
      </c>
      <c r="I1027" s="128">
        <v>0</v>
      </c>
      <c r="J1027" s="142">
        <f>IF($E1006&gt;0, $E1006, $E1005)</f>
        <v>160</v>
      </c>
      <c r="K1027" s="122">
        <f>J1027*I1027</f>
        <v>0</v>
      </c>
      <c r="L1027" s="125">
        <f t="shared" si="149"/>
        <v>0</v>
      </c>
      <c r="M1027" s="126" t="str">
        <f>IF(ISERROR(L1027/H1027), "", L1027/H1027)</f>
        <v/>
      </c>
    </row>
    <row r="1028" spans="1:13" ht="25.5" x14ac:dyDescent="0.25">
      <c r="A1028" s="100" t="str">
        <f t="shared" si="152"/>
        <v>GENERAL SERVICE 50 TO 999 KW SERVICE CLASSIFICATION</v>
      </c>
      <c r="B1028" s="105" t="s">
        <v>167</v>
      </c>
      <c r="C1028" s="117">
        <f>B20</f>
        <v>18</v>
      </c>
      <c r="D1028" s="147" t="s">
        <v>168</v>
      </c>
      <c r="E1028" s="148"/>
      <c r="F1028" s="149"/>
      <c r="G1028" s="150"/>
      <c r="H1028" s="151">
        <f>SUM(H1019:H1027)</f>
        <v>754.38200000000006</v>
      </c>
      <c r="I1028" s="152"/>
      <c r="J1028" s="153"/>
      <c r="K1028" s="151">
        <f>SUM(K1019:K1027)</f>
        <v>595.47</v>
      </c>
      <c r="L1028" s="138">
        <f t="shared" si="149"/>
        <v>-158.91200000000003</v>
      </c>
      <c r="M1028" s="139">
        <f>IF((H1028)=0,"",(L1028/H1028))</f>
        <v>-0.21065189784485847</v>
      </c>
    </row>
    <row r="1029" spans="1:13" x14ac:dyDescent="0.25">
      <c r="A1029" s="100" t="str">
        <f t="shared" si="152"/>
        <v>GENERAL SERVICE 50 TO 999 KW SERVICE CLASSIFICATION</v>
      </c>
      <c r="C1029" s="117"/>
      <c r="D1029" s="154" t="s">
        <v>169</v>
      </c>
      <c r="E1029" s="119"/>
      <c r="F1029" s="127">
        <v>2.6217000000000001</v>
      </c>
      <c r="G1029" s="141">
        <f>IF($E1006&gt;0, $E1006, $E1005*$E1007)</f>
        <v>160</v>
      </c>
      <c r="H1029" s="122">
        <f>G1029*F1029</f>
        <v>419.47200000000004</v>
      </c>
      <c r="I1029" s="128">
        <v>2.4868999999999999</v>
      </c>
      <c r="J1029" s="141">
        <f>IF($E1006&gt;0, $E1006, $E1005*$E1008)</f>
        <v>160</v>
      </c>
      <c r="K1029" s="122">
        <f>J1029*I1029</f>
        <v>397.904</v>
      </c>
      <c r="L1029" s="125">
        <f t="shared" si="149"/>
        <v>-21.56800000000004</v>
      </c>
      <c r="M1029" s="126">
        <f>IF(ISERROR(L1029/H1029), "", L1029/H1029)</f>
        <v>-5.1417019491169946E-2</v>
      </c>
    </row>
    <row r="1030" spans="1:13" ht="25.5" x14ac:dyDescent="0.25">
      <c r="A1030" s="100" t="str">
        <f t="shared" si="152"/>
        <v>GENERAL SERVICE 50 TO 999 KW SERVICE CLASSIFICATION</v>
      </c>
      <c r="C1030" s="117"/>
      <c r="D1030" s="155" t="s">
        <v>170</v>
      </c>
      <c r="E1030" s="119"/>
      <c r="F1030" s="127">
        <v>2.2145999999999999</v>
      </c>
      <c r="G1030" s="141">
        <f>IF($E1006&gt;0, $E1006, $E1005*$E1007)</f>
        <v>160</v>
      </c>
      <c r="H1030" s="122">
        <f>G1030*F1030</f>
        <v>354.33600000000001</v>
      </c>
      <c r="I1030" s="128">
        <v>2.0933000000000002</v>
      </c>
      <c r="J1030" s="141">
        <f>IF($E1006&gt;0, $E1006, $E1005*$E1008)</f>
        <v>160</v>
      </c>
      <c r="K1030" s="122">
        <f>J1030*I1030</f>
        <v>334.928</v>
      </c>
      <c r="L1030" s="125">
        <f t="shared" si="149"/>
        <v>-19.408000000000015</v>
      </c>
      <c r="M1030" s="126">
        <f>IF(ISERROR(L1030/H1030), "", L1030/H1030)</f>
        <v>-5.477287094734945E-2</v>
      </c>
    </row>
    <row r="1031" spans="1:13" ht="25.5" x14ac:dyDescent="0.25">
      <c r="A1031" s="100" t="str">
        <f t="shared" si="152"/>
        <v>GENERAL SERVICE 50 TO 999 KW SERVICE CLASSIFICATION</v>
      </c>
      <c r="B1031" s="105" t="s">
        <v>171</v>
      </c>
      <c r="C1031" s="117">
        <f>B20</f>
        <v>18</v>
      </c>
      <c r="D1031" s="147" t="s">
        <v>172</v>
      </c>
      <c r="E1031" s="132"/>
      <c r="F1031" s="149"/>
      <c r="G1031" s="150"/>
      <c r="H1031" s="151">
        <f>SUM(H1028:H1030)</f>
        <v>1528.19</v>
      </c>
      <c r="I1031" s="152"/>
      <c r="J1031" s="137"/>
      <c r="K1031" s="151">
        <f>SUM(K1028:K1030)</f>
        <v>1328.3020000000001</v>
      </c>
      <c r="L1031" s="138">
        <f t="shared" si="149"/>
        <v>-199.88799999999992</v>
      </c>
      <c r="M1031" s="139">
        <f>IF((H1031)=0,"",(L1031/H1031))</f>
        <v>-0.1308004894679326</v>
      </c>
    </row>
    <row r="1032" spans="1:13" ht="25.5" x14ac:dyDescent="0.25">
      <c r="A1032" s="100" t="str">
        <f t="shared" si="152"/>
        <v>GENERAL SERVICE 50 TO 999 KW SERVICE CLASSIFICATION</v>
      </c>
      <c r="C1032" s="117"/>
      <c r="D1032" s="156" t="s">
        <v>173</v>
      </c>
      <c r="E1032" s="119"/>
      <c r="F1032" s="127">
        <v>3.6000000000000003E-3</v>
      </c>
      <c r="G1032" s="141">
        <f>E1005*E1007</f>
        <v>72864</v>
      </c>
      <c r="H1032" s="157">
        <f t="shared" ref="H1032:H1038" si="154">G1032*F1032</f>
        <v>262.31040000000002</v>
      </c>
      <c r="I1032" s="128">
        <v>3.6000000000000003E-3</v>
      </c>
      <c r="J1032" s="141">
        <f>E1005*E1008</f>
        <v>72864</v>
      </c>
      <c r="K1032" s="157">
        <f t="shared" ref="K1032:K1038" si="155">J1032*I1032</f>
        <v>262.31040000000002</v>
      </c>
      <c r="L1032" s="125">
        <f t="shared" si="149"/>
        <v>0</v>
      </c>
      <c r="M1032" s="126">
        <f t="shared" ref="M1032:M1040" si="156">IF(ISERROR(L1032/H1032), "", L1032/H1032)</f>
        <v>0</v>
      </c>
    </row>
    <row r="1033" spans="1:13" ht="25.5" x14ac:dyDescent="0.25">
      <c r="A1033" s="100" t="str">
        <f t="shared" si="152"/>
        <v>GENERAL SERVICE 50 TO 999 KW SERVICE CLASSIFICATION</v>
      </c>
      <c r="C1033" s="117"/>
      <c r="D1033" s="156" t="s">
        <v>174</v>
      </c>
      <c r="E1033" s="119"/>
      <c r="F1033" s="127">
        <f>'[1]17. Regulatory Charges'!$D$16</f>
        <v>2.9999999999999997E-4</v>
      </c>
      <c r="G1033" s="141">
        <f>E1005*E1007</f>
        <v>72864</v>
      </c>
      <c r="H1033" s="157">
        <f t="shared" si="154"/>
        <v>21.859199999999998</v>
      </c>
      <c r="I1033" s="128">
        <v>2.9999999999999997E-4</v>
      </c>
      <c r="J1033" s="141">
        <f>E1005*E1008</f>
        <v>72864</v>
      </c>
      <c r="K1033" s="157">
        <f t="shared" si="155"/>
        <v>21.859199999999998</v>
      </c>
      <c r="L1033" s="125">
        <f t="shared" si="149"/>
        <v>0</v>
      </c>
      <c r="M1033" s="126">
        <f t="shared" si="156"/>
        <v>0</v>
      </c>
    </row>
    <row r="1034" spans="1:13" x14ac:dyDescent="0.25">
      <c r="A1034" s="100" t="str">
        <f t="shared" si="152"/>
        <v>GENERAL SERVICE 50 TO 999 KW SERVICE CLASSIFICATION</v>
      </c>
      <c r="C1034" s="117"/>
      <c r="D1034" s="158" t="s">
        <v>175</v>
      </c>
      <c r="E1034" s="119"/>
      <c r="F1034" s="145">
        <v>0.25</v>
      </c>
      <c r="G1034" s="121">
        <v>1</v>
      </c>
      <c r="H1034" s="157">
        <f t="shared" si="154"/>
        <v>0.25</v>
      </c>
      <c r="I1034" s="146">
        <f>'[1]17. Regulatory Charges'!$D$17</f>
        <v>0.25</v>
      </c>
      <c r="J1034" s="124">
        <v>1</v>
      </c>
      <c r="K1034" s="157">
        <f t="shared" si="155"/>
        <v>0.25</v>
      </c>
      <c r="L1034" s="125">
        <f t="shared" si="149"/>
        <v>0</v>
      </c>
      <c r="M1034" s="126">
        <f t="shared" si="156"/>
        <v>0</v>
      </c>
    </row>
    <row r="1035" spans="1:13" ht="25.5" x14ac:dyDescent="0.25">
      <c r="A1035" s="100" t="str">
        <f t="shared" si="152"/>
        <v>GENERAL SERVICE 50 TO 999 KW SERVICE CLASSIFICATION</v>
      </c>
      <c r="C1035" s="117"/>
      <c r="D1035" s="156" t="s">
        <v>176</v>
      </c>
      <c r="E1035" s="119"/>
      <c r="F1035" s="127"/>
      <c r="G1035" s="141"/>
      <c r="H1035" s="157"/>
      <c r="I1035" s="128"/>
      <c r="J1035" s="141"/>
      <c r="K1035" s="157"/>
      <c r="L1035" s="125"/>
      <c r="M1035" s="126"/>
    </row>
    <row r="1036" spans="1:13" x14ac:dyDescent="0.25">
      <c r="A1036" s="100" t="str">
        <f t="shared" si="152"/>
        <v>GENERAL SERVICE 50 TO 999 KW SERVICE CLASSIFICATION</v>
      </c>
      <c r="B1036" s="105" t="s">
        <v>117</v>
      </c>
      <c r="C1036" s="117"/>
      <c r="D1036" s="159" t="s">
        <v>177</v>
      </c>
      <c r="E1036" s="119"/>
      <c r="F1036" s="160">
        <f>OffPeak</f>
        <v>6.5000000000000002E-2</v>
      </c>
      <c r="G1036" s="161">
        <f>IF(AND(E1005*12&gt;=150000),0.65*E1005*E1007,0.65*E1005)</f>
        <v>47361.600000000006</v>
      </c>
      <c r="H1036" s="157">
        <f t="shared" si="154"/>
        <v>3078.5040000000004</v>
      </c>
      <c r="I1036" s="162">
        <f>OffPeak</f>
        <v>6.5000000000000002E-2</v>
      </c>
      <c r="J1036" s="161">
        <f>IF(AND(E1005*12&gt;=150000),0.65*E1005*E1008,0.65*E1005)</f>
        <v>47361.600000000006</v>
      </c>
      <c r="K1036" s="157">
        <f t="shared" si="155"/>
        <v>3078.5040000000004</v>
      </c>
      <c r="L1036" s="125">
        <f>K1036-H1036</f>
        <v>0</v>
      </c>
      <c r="M1036" s="126">
        <f t="shared" si="156"/>
        <v>0</v>
      </c>
    </row>
    <row r="1037" spans="1:13" x14ac:dyDescent="0.25">
      <c r="A1037" s="100" t="str">
        <f t="shared" si="152"/>
        <v>GENERAL SERVICE 50 TO 999 KW SERVICE CLASSIFICATION</v>
      </c>
      <c r="B1037" s="105" t="s">
        <v>117</v>
      </c>
      <c r="C1037" s="117"/>
      <c r="D1037" s="159" t="s">
        <v>178</v>
      </c>
      <c r="E1037" s="119"/>
      <c r="F1037" s="160">
        <f>MidPeak</f>
        <v>9.4E-2</v>
      </c>
      <c r="G1037" s="161">
        <f>IF(AND(E1005*12&gt;=150000),0.17*E1005*E1007,0.17*E1005)</f>
        <v>12386.880000000001</v>
      </c>
      <c r="H1037" s="157">
        <f t="shared" si="154"/>
        <v>1164.36672</v>
      </c>
      <c r="I1037" s="162">
        <f>MidPeak</f>
        <v>9.4E-2</v>
      </c>
      <c r="J1037" s="161">
        <f>IF(AND(E1005*12&gt;=150000),0.17*E1005*E1008,0.17*E1005)</f>
        <v>12386.880000000001</v>
      </c>
      <c r="K1037" s="157">
        <f t="shared" si="155"/>
        <v>1164.36672</v>
      </c>
      <c r="L1037" s="125">
        <f>K1037-H1037</f>
        <v>0</v>
      </c>
      <c r="M1037" s="126">
        <f t="shared" si="156"/>
        <v>0</v>
      </c>
    </row>
    <row r="1038" spans="1:13" ht="15.75" thickBot="1" x14ac:dyDescent="0.3">
      <c r="A1038" s="100" t="str">
        <f t="shared" si="152"/>
        <v>GENERAL SERVICE 50 TO 999 KW SERVICE CLASSIFICATION</v>
      </c>
      <c r="B1038" s="105" t="s">
        <v>117</v>
      </c>
      <c r="C1038" s="117"/>
      <c r="D1038" s="105" t="s">
        <v>179</v>
      </c>
      <c r="E1038" s="119"/>
      <c r="F1038" s="160">
        <f>OnPeak</f>
        <v>0.13200000000000001</v>
      </c>
      <c r="G1038" s="161">
        <f>IF(AND(E1005*12&gt;=150000),0.18*E1005*E1007,0.18*E1005)</f>
        <v>13115.52</v>
      </c>
      <c r="H1038" s="157">
        <f t="shared" si="154"/>
        <v>1731.2486400000003</v>
      </c>
      <c r="I1038" s="162">
        <f>OnPeak</f>
        <v>0.13200000000000001</v>
      </c>
      <c r="J1038" s="161">
        <f>IF(AND(E1005*12&gt;=150000),0.18*E1005*E1008,0.18*E1005)</f>
        <v>13115.52</v>
      </c>
      <c r="K1038" s="157">
        <f t="shared" si="155"/>
        <v>1731.2486400000003</v>
      </c>
      <c r="L1038" s="125">
        <f>K1038-H1038</f>
        <v>0</v>
      </c>
      <c r="M1038" s="126">
        <f t="shared" si="156"/>
        <v>0</v>
      </c>
    </row>
    <row r="1039" spans="1:13" hidden="1" x14ac:dyDescent="0.25">
      <c r="A1039" s="100" t="str">
        <f t="shared" si="152"/>
        <v>GENERAL SERVICE 50 TO 999 KW SERVICE CLASSIFICATION</v>
      </c>
      <c r="B1039" s="100" t="s">
        <v>180</v>
      </c>
      <c r="C1039" s="117"/>
      <c r="D1039" s="159" t="s">
        <v>181</v>
      </c>
      <c r="E1039" s="119"/>
      <c r="F1039" s="163">
        <v>0.1101</v>
      </c>
      <c r="G1039" s="161">
        <f>IF(AND(E1005*12&gt;=150000),E1005*E1007,E1005)</f>
        <v>72864</v>
      </c>
      <c r="H1039" s="157">
        <f>G1039*F1039</f>
        <v>8022.3263999999999</v>
      </c>
      <c r="I1039" s="164">
        <f>F1039</f>
        <v>0.1101</v>
      </c>
      <c r="J1039" s="161">
        <f>IF(AND(E1005*12&gt;=150000),E1005*E1008,E1005)</f>
        <v>72864</v>
      </c>
      <c r="K1039" s="157">
        <f>J1039*I1039</f>
        <v>8022.3263999999999</v>
      </c>
      <c r="L1039" s="125">
        <f>K1039-H1039</f>
        <v>0</v>
      </c>
      <c r="M1039" s="126">
        <f t="shared" si="156"/>
        <v>0</v>
      </c>
    </row>
    <row r="1040" spans="1:13" ht="15.75" hidden="1" thickBot="1" x14ac:dyDescent="0.3">
      <c r="A1040" s="100" t="str">
        <f t="shared" si="152"/>
        <v>GENERAL SERVICE 50 TO 999 KW SERVICE CLASSIFICATION</v>
      </c>
      <c r="B1040" s="100" t="s">
        <v>121</v>
      </c>
      <c r="C1040" s="117"/>
      <c r="D1040" s="159" t="s">
        <v>182</v>
      </c>
      <c r="E1040" s="119"/>
      <c r="F1040" s="163">
        <v>0.1101</v>
      </c>
      <c r="G1040" s="161">
        <f>IF(AND(E1005*12&gt;=150000),E1005*E1007,E1005)</f>
        <v>72864</v>
      </c>
      <c r="H1040" s="157">
        <f>G1040*F1040</f>
        <v>8022.3263999999999</v>
      </c>
      <c r="I1040" s="164">
        <f>F1040</f>
        <v>0.1101</v>
      </c>
      <c r="J1040" s="161">
        <f>IF(AND(E1005*12&gt;=150000),E1005*E1008,E1005)</f>
        <v>72864</v>
      </c>
      <c r="K1040" s="157">
        <f>J1040*I1040</f>
        <v>8022.3263999999999</v>
      </c>
      <c r="L1040" s="125">
        <f>K1040-H1040</f>
        <v>0</v>
      </c>
      <c r="M1040" s="126">
        <f t="shared" si="156"/>
        <v>0</v>
      </c>
    </row>
    <row r="1041" spans="1:13" ht="15.75" thickBot="1" x14ac:dyDescent="0.3">
      <c r="A1041" s="100" t="str">
        <f t="shared" si="152"/>
        <v>GENERAL SERVICE 50 TO 999 KW SERVICE CLASSIFICATION</v>
      </c>
      <c r="B1041" s="105"/>
      <c r="C1041" s="117"/>
      <c r="D1041" s="165"/>
      <c r="E1041" s="166"/>
      <c r="F1041" s="167"/>
      <c r="G1041" s="168"/>
      <c r="H1041" s="169"/>
      <c r="I1041" s="167"/>
      <c r="J1041" s="170"/>
      <c r="K1041" s="169"/>
      <c r="L1041" s="171"/>
      <c r="M1041" s="172"/>
    </row>
    <row r="1042" spans="1:13" x14ac:dyDescent="0.25">
      <c r="A1042" s="100" t="str">
        <f t="shared" si="152"/>
        <v>GENERAL SERVICE 50 TO 999 KW SERVICE CLASSIFICATION</v>
      </c>
      <c r="B1042" s="105" t="s">
        <v>117</v>
      </c>
      <c r="C1042" s="117"/>
      <c r="D1042" s="173" t="s">
        <v>183</v>
      </c>
      <c r="E1042" s="158"/>
      <c r="F1042" s="174"/>
      <c r="G1042" s="175"/>
      <c r="H1042" s="176">
        <f>SUM(H1032:H1038,H1031)</f>
        <v>7786.7289600000004</v>
      </c>
      <c r="I1042" s="177"/>
      <c r="J1042" s="177"/>
      <c r="K1042" s="176">
        <f>SUM(K1032:K1038,K1031)</f>
        <v>7586.8409599999995</v>
      </c>
      <c r="L1042" s="178">
        <f>K1042-H1042</f>
        <v>-199.88800000000083</v>
      </c>
      <c r="M1042" s="179">
        <f>IF((H1042)=0,"",(L1042/H1042))</f>
        <v>-2.5670342582464926E-2</v>
      </c>
    </row>
    <row r="1043" spans="1:13" x14ac:dyDescent="0.25">
      <c r="A1043" s="100" t="str">
        <f t="shared" si="152"/>
        <v>GENERAL SERVICE 50 TO 999 KW SERVICE CLASSIFICATION</v>
      </c>
      <c r="B1043" s="105" t="s">
        <v>117</v>
      </c>
      <c r="C1043" s="117"/>
      <c r="D1043" s="180" t="s">
        <v>184</v>
      </c>
      <c r="E1043" s="158"/>
      <c r="F1043" s="174">
        <v>0.13</v>
      </c>
      <c r="G1043" s="181"/>
      <c r="H1043" s="182">
        <f>H1042*F1043</f>
        <v>1012.2747648000001</v>
      </c>
      <c r="I1043" s="183">
        <v>0.13</v>
      </c>
      <c r="J1043" s="121"/>
      <c r="K1043" s="182">
        <f>K1042*I1043</f>
        <v>986.28932479999992</v>
      </c>
      <c r="L1043" s="184">
        <f>K1043-H1043</f>
        <v>-25.985440000000153</v>
      </c>
      <c r="M1043" s="185">
        <f>IF((H1043)=0,"",(L1043/H1043))</f>
        <v>-2.5670342582464971E-2</v>
      </c>
    </row>
    <row r="1044" spans="1:13" x14ac:dyDescent="0.25">
      <c r="A1044" s="100" t="str">
        <f t="shared" si="152"/>
        <v>GENERAL SERVICE 50 TO 999 KW SERVICE CLASSIFICATION</v>
      </c>
      <c r="B1044" s="105" t="s">
        <v>117</v>
      </c>
      <c r="C1044" s="117"/>
      <c r="D1044" s="180" t="s">
        <v>185</v>
      </c>
      <c r="E1044" s="158"/>
      <c r="F1044" s="174">
        <v>0.08</v>
      </c>
      <c r="G1044" s="181"/>
      <c r="H1044" s="182">
        <v>0</v>
      </c>
      <c r="I1044" s="174">
        <v>0.08</v>
      </c>
      <c r="J1044" s="121"/>
      <c r="K1044" s="182">
        <v>0</v>
      </c>
      <c r="L1044" s="184">
        <f>K1044-H1044</f>
        <v>0</v>
      </c>
      <c r="M1044" s="185"/>
    </row>
    <row r="1045" spans="1:13" ht="15.75" thickBot="1" x14ac:dyDescent="0.3">
      <c r="A1045" s="100" t="str">
        <f t="shared" si="152"/>
        <v>GENERAL SERVICE 50 TO 999 KW SERVICE CLASSIFICATION</v>
      </c>
      <c r="B1045" s="105" t="s">
        <v>186</v>
      </c>
      <c r="C1045" s="117">
        <f>B20</f>
        <v>18</v>
      </c>
      <c r="D1045" s="301" t="s">
        <v>187</v>
      </c>
      <c r="E1045" s="301"/>
      <c r="F1045" s="186"/>
      <c r="G1045" s="187"/>
      <c r="H1045" s="188">
        <f>H1042+H1043+H1044</f>
        <v>8799.0037248000008</v>
      </c>
      <c r="I1045" s="189"/>
      <c r="J1045" s="189"/>
      <c r="K1045" s="190">
        <f>K1042+K1043+K1044</f>
        <v>8573.1302847999996</v>
      </c>
      <c r="L1045" s="191">
        <f>K1045-H1045</f>
        <v>-225.87344000000121</v>
      </c>
      <c r="M1045" s="192">
        <f>IF((H1045)=0,"",(L1045/H1045))</f>
        <v>-2.5670342582464954E-2</v>
      </c>
    </row>
    <row r="1046" spans="1:13" ht="15.75" hidden="1" thickBot="1" x14ac:dyDescent="0.3">
      <c r="A1046" s="100" t="str">
        <f t="shared" si="152"/>
        <v>GENERAL SERVICE 50 TO 999 KW SERVICE CLASSIFICATION</v>
      </c>
      <c r="B1046" s="100" t="s">
        <v>117</v>
      </c>
      <c r="C1046" s="117"/>
      <c r="D1046" s="165"/>
      <c r="E1046" s="166"/>
      <c r="F1046" s="167"/>
      <c r="G1046" s="168"/>
      <c r="H1046" s="169"/>
      <c r="I1046" s="167"/>
      <c r="J1046" s="170"/>
      <c r="K1046" s="169"/>
      <c r="L1046" s="171"/>
      <c r="M1046" s="172"/>
    </row>
    <row r="1047" spans="1:13" hidden="1" x14ac:dyDescent="0.25">
      <c r="A1047" s="100" t="str">
        <f t="shared" si="152"/>
        <v>GENERAL SERVICE 50 TO 999 KW SERVICE CLASSIFICATION</v>
      </c>
      <c r="B1047" s="100" t="s">
        <v>180</v>
      </c>
      <c r="C1047" s="117"/>
      <c r="D1047" s="173" t="s">
        <v>188</v>
      </c>
      <c r="E1047" s="158"/>
      <c r="F1047" s="174"/>
      <c r="G1047" s="175"/>
      <c r="H1047" s="176">
        <f>SUM(H1039,H1032:H1035,H1031)</f>
        <v>9834.9360000000015</v>
      </c>
      <c r="I1047" s="177"/>
      <c r="J1047" s="177"/>
      <c r="K1047" s="176">
        <f>SUM(K1039,K1032:K1035,K1031)</f>
        <v>9635.0480000000007</v>
      </c>
      <c r="L1047" s="178">
        <f>K1047-H1047</f>
        <v>-199.88800000000083</v>
      </c>
      <c r="M1047" s="179">
        <f>IF((H1047)=0,"",(L1047/H1047))</f>
        <v>-2.0324280707063148E-2</v>
      </c>
    </row>
    <row r="1048" spans="1:13" hidden="1" x14ac:dyDescent="0.25">
      <c r="A1048" s="100" t="str">
        <f t="shared" si="152"/>
        <v>GENERAL SERVICE 50 TO 999 KW SERVICE CLASSIFICATION</v>
      </c>
      <c r="B1048" s="100" t="s">
        <v>180</v>
      </c>
      <c r="C1048" s="117"/>
      <c r="D1048" s="180" t="s">
        <v>184</v>
      </c>
      <c r="E1048" s="158"/>
      <c r="F1048" s="174">
        <v>0.13</v>
      </c>
      <c r="G1048" s="175"/>
      <c r="H1048" s="182">
        <f>H1047*F1048</f>
        <v>1278.5416800000003</v>
      </c>
      <c r="I1048" s="174">
        <v>0.13</v>
      </c>
      <c r="J1048" s="183"/>
      <c r="K1048" s="182">
        <f>K1047*I1048</f>
        <v>1252.5562400000001</v>
      </c>
      <c r="L1048" s="184">
        <f>K1048-H1048</f>
        <v>-25.985440000000153</v>
      </c>
      <c r="M1048" s="185">
        <f>IF((H1048)=0,"",(L1048/H1048))</f>
        <v>-2.0324280707063182E-2</v>
      </c>
    </row>
    <row r="1049" spans="1:13" hidden="1" x14ac:dyDescent="0.25">
      <c r="A1049" s="100" t="str">
        <f t="shared" si="152"/>
        <v>GENERAL SERVICE 50 TO 999 KW SERVICE CLASSIFICATION</v>
      </c>
      <c r="B1049" s="100" t="s">
        <v>180</v>
      </c>
      <c r="C1049" s="117"/>
      <c r="D1049" s="180" t="s">
        <v>185</v>
      </c>
      <c r="E1049" s="158"/>
      <c r="F1049" s="174">
        <v>0.08</v>
      </c>
      <c r="G1049" s="175"/>
      <c r="H1049" s="182">
        <v>0</v>
      </c>
      <c r="I1049" s="174">
        <v>0.08</v>
      </c>
      <c r="J1049" s="183"/>
      <c r="K1049" s="182">
        <v>0</v>
      </c>
      <c r="L1049" s="184"/>
      <c r="M1049" s="185"/>
    </row>
    <row r="1050" spans="1:13" ht="15.75" hidden="1" thickBot="1" x14ac:dyDescent="0.3">
      <c r="A1050" s="100" t="str">
        <f t="shared" si="152"/>
        <v>GENERAL SERVICE 50 TO 999 KW SERVICE CLASSIFICATION</v>
      </c>
      <c r="B1050" s="100" t="s">
        <v>189</v>
      </c>
      <c r="C1050" s="117"/>
      <c r="D1050" s="301" t="s">
        <v>188</v>
      </c>
      <c r="E1050" s="301"/>
      <c r="F1050" s="193"/>
      <c r="G1050" s="194"/>
      <c r="H1050" s="188">
        <f>SUM(H1047,H1048)</f>
        <v>11113.477680000002</v>
      </c>
      <c r="I1050" s="195"/>
      <c r="J1050" s="195"/>
      <c r="K1050" s="188">
        <f>SUM(K1047,K1048)</f>
        <v>10887.604240000001</v>
      </c>
      <c r="L1050" s="196">
        <f>K1050-H1050</f>
        <v>-225.87344000000121</v>
      </c>
      <c r="M1050" s="197">
        <f>IF((H1050)=0,"",(L1050/H1050))</f>
        <v>-2.0324280707063172E-2</v>
      </c>
    </row>
    <row r="1051" spans="1:13" ht="15.75" hidden="1" thickBot="1" x14ac:dyDescent="0.3">
      <c r="A1051" s="100" t="str">
        <f t="shared" si="152"/>
        <v>GENERAL SERVICE 50 TO 999 KW SERVICE CLASSIFICATION</v>
      </c>
      <c r="B1051" s="100" t="s">
        <v>180</v>
      </c>
      <c r="C1051" s="117"/>
      <c r="D1051" s="165"/>
      <c r="E1051" s="166"/>
      <c r="F1051" s="198"/>
      <c r="G1051" s="199"/>
      <c r="H1051" s="200"/>
      <c r="I1051" s="198"/>
      <c r="J1051" s="168"/>
      <c r="K1051" s="200"/>
      <c r="L1051" s="201"/>
      <c r="M1051" s="172"/>
    </row>
    <row r="1052" spans="1:13" hidden="1" x14ac:dyDescent="0.25">
      <c r="A1052" s="100" t="str">
        <f t="shared" si="152"/>
        <v>GENERAL SERVICE 50 TO 999 KW SERVICE CLASSIFICATION</v>
      </c>
      <c r="B1052" s="100" t="s">
        <v>121</v>
      </c>
      <c r="C1052" s="117"/>
      <c r="D1052" s="173" t="s">
        <v>190</v>
      </c>
      <c r="E1052" s="158"/>
      <c r="F1052" s="174"/>
      <c r="G1052" s="175"/>
      <c r="H1052" s="176">
        <f>SUM(H1040,H1032:H1035,H1031)</f>
        <v>9834.9360000000015</v>
      </c>
      <c r="I1052" s="177"/>
      <c r="J1052" s="177"/>
      <c r="K1052" s="176">
        <f>SUM(K1040,K1032:K1035,K1031)</f>
        <v>9635.0480000000007</v>
      </c>
      <c r="L1052" s="178">
        <f>K1052-H1052</f>
        <v>-199.88800000000083</v>
      </c>
      <c r="M1052" s="179">
        <f>IF((H1052)=0,"",(L1052/H1052))</f>
        <v>-2.0324280707063148E-2</v>
      </c>
    </row>
    <row r="1053" spans="1:13" hidden="1" x14ac:dyDescent="0.25">
      <c r="A1053" s="100" t="str">
        <f t="shared" si="152"/>
        <v>GENERAL SERVICE 50 TO 999 KW SERVICE CLASSIFICATION</v>
      </c>
      <c r="B1053" s="100" t="s">
        <v>121</v>
      </c>
      <c r="C1053" s="117"/>
      <c r="D1053" s="180" t="s">
        <v>184</v>
      </c>
      <c r="E1053" s="158"/>
      <c r="F1053" s="174">
        <v>0.13</v>
      </c>
      <c r="G1053" s="175"/>
      <c r="H1053" s="182">
        <f>H1052*F1053</f>
        <v>1278.5416800000003</v>
      </c>
      <c r="I1053" s="174">
        <v>0.13</v>
      </c>
      <c r="J1053" s="183"/>
      <c r="K1053" s="182">
        <f>K1052*I1053</f>
        <v>1252.5562400000001</v>
      </c>
      <c r="L1053" s="184">
        <f>K1053-H1053</f>
        <v>-25.985440000000153</v>
      </c>
      <c r="M1053" s="185">
        <f>IF((H1053)=0,"",(L1053/H1053))</f>
        <v>-2.0324280707063182E-2</v>
      </c>
    </row>
    <row r="1054" spans="1:13" hidden="1" x14ac:dyDescent="0.25">
      <c r="A1054" s="100" t="str">
        <f t="shared" si="152"/>
        <v>GENERAL SERVICE 50 TO 999 KW SERVICE CLASSIFICATION</v>
      </c>
      <c r="B1054" s="100" t="s">
        <v>121</v>
      </c>
      <c r="C1054" s="117"/>
      <c r="D1054" s="180" t="s">
        <v>185</v>
      </c>
      <c r="E1054" s="158"/>
      <c r="F1054" s="174">
        <v>0.08</v>
      </c>
      <c r="G1054" s="175"/>
      <c r="H1054" s="182">
        <v>0</v>
      </c>
      <c r="I1054" s="174">
        <v>0.08</v>
      </c>
      <c r="J1054" s="183"/>
      <c r="K1054" s="182">
        <v>0</v>
      </c>
      <c r="L1054" s="184"/>
      <c r="M1054" s="185"/>
    </row>
    <row r="1055" spans="1:13" ht="15.75" hidden="1" thickBot="1" x14ac:dyDescent="0.3">
      <c r="A1055" s="100" t="str">
        <f t="shared" si="152"/>
        <v>GENERAL SERVICE 50 TO 999 KW SERVICE CLASSIFICATION</v>
      </c>
      <c r="B1055" s="100" t="s">
        <v>191</v>
      </c>
      <c r="C1055" s="117"/>
      <c r="D1055" s="301" t="s">
        <v>190</v>
      </c>
      <c r="E1055" s="301"/>
      <c r="F1055" s="193"/>
      <c r="G1055" s="194"/>
      <c r="H1055" s="188">
        <f>SUM(H1052,H1053)</f>
        <v>11113.477680000002</v>
      </c>
      <c r="I1055" s="195"/>
      <c r="J1055" s="195"/>
      <c r="K1055" s="188">
        <f>SUM(K1052,K1053)</f>
        <v>10887.604240000001</v>
      </c>
      <c r="L1055" s="196">
        <f>K1055-H1055</f>
        <v>-225.87344000000121</v>
      </c>
      <c r="M1055" s="197">
        <f>IF((H1055)=0,"",(L1055/H1055))</f>
        <v>-2.0324280707063172E-2</v>
      </c>
    </row>
    <row r="1056" spans="1:13" ht="15.75" thickBot="1" x14ac:dyDescent="0.3">
      <c r="A1056" s="100" t="str">
        <f t="shared" si="152"/>
        <v>GENERAL SERVICE 50 TO 999 KW SERVICE CLASSIFICATION</v>
      </c>
      <c r="B1056" s="100" t="s">
        <v>121</v>
      </c>
      <c r="C1056" s="117"/>
      <c r="D1056" s="165"/>
      <c r="E1056" s="166"/>
      <c r="F1056" s="202"/>
      <c r="G1056" s="203"/>
      <c r="H1056" s="204"/>
      <c r="I1056" s="202"/>
      <c r="J1056" s="205"/>
      <c r="K1056" s="204"/>
      <c r="L1056" s="206"/>
      <c r="M1056" s="207"/>
    </row>
  </sheetData>
  <sheetProtection password="CC7B" sheet="1" objects="1" scenarios="1"/>
  <mergeCells count="227">
    <mergeCell ref="D1050:E1050"/>
    <mergeCell ref="D1055:E1055"/>
    <mergeCell ref="L1010:M1010"/>
    <mergeCell ref="E1011:E1012"/>
    <mergeCell ref="L1011:L1012"/>
    <mergeCell ref="M1011:M1012"/>
    <mergeCell ref="D1045:E1045"/>
    <mergeCell ref="D994:E994"/>
    <mergeCell ref="D999:E999"/>
    <mergeCell ref="E1003:J1003"/>
    <mergeCell ref="E1004:G1004"/>
    <mergeCell ref="F1010:H1010"/>
    <mergeCell ref="I1010:K1010"/>
    <mergeCell ref="L954:M954"/>
    <mergeCell ref="E955:E956"/>
    <mergeCell ref="L955:L956"/>
    <mergeCell ref="M955:M956"/>
    <mergeCell ref="D989:E989"/>
    <mergeCell ref="D938:E938"/>
    <mergeCell ref="D943:E943"/>
    <mergeCell ref="E947:J947"/>
    <mergeCell ref="E948:G948"/>
    <mergeCell ref="F954:H954"/>
    <mergeCell ref="I954:K954"/>
    <mergeCell ref="L898:M898"/>
    <mergeCell ref="E899:E900"/>
    <mergeCell ref="L899:L900"/>
    <mergeCell ref="M899:M900"/>
    <mergeCell ref="D933:E933"/>
    <mergeCell ref="D882:E882"/>
    <mergeCell ref="D887:E887"/>
    <mergeCell ref="E891:J891"/>
    <mergeCell ref="E892:G892"/>
    <mergeCell ref="F898:H898"/>
    <mergeCell ref="I898:K898"/>
    <mergeCell ref="L842:M842"/>
    <mergeCell ref="E843:E844"/>
    <mergeCell ref="L843:L844"/>
    <mergeCell ref="M843:M844"/>
    <mergeCell ref="D877:E877"/>
    <mergeCell ref="D826:E826"/>
    <mergeCell ref="D831:E831"/>
    <mergeCell ref="E835:J835"/>
    <mergeCell ref="E836:G836"/>
    <mergeCell ref="F842:H842"/>
    <mergeCell ref="I842:K842"/>
    <mergeCell ref="L786:M786"/>
    <mergeCell ref="E787:E788"/>
    <mergeCell ref="L787:L788"/>
    <mergeCell ref="M787:M788"/>
    <mergeCell ref="D821:E821"/>
    <mergeCell ref="D770:E770"/>
    <mergeCell ref="D775:E775"/>
    <mergeCell ref="E779:J779"/>
    <mergeCell ref="E780:G780"/>
    <mergeCell ref="F786:H786"/>
    <mergeCell ref="I786:K786"/>
    <mergeCell ref="L730:M730"/>
    <mergeCell ref="E731:E732"/>
    <mergeCell ref="L731:L732"/>
    <mergeCell ref="M731:M732"/>
    <mergeCell ref="D765:E765"/>
    <mergeCell ref="D714:E714"/>
    <mergeCell ref="D719:E719"/>
    <mergeCell ref="E723:J723"/>
    <mergeCell ref="E724:G724"/>
    <mergeCell ref="F730:H730"/>
    <mergeCell ref="I730:K730"/>
    <mergeCell ref="L674:M674"/>
    <mergeCell ref="E675:E676"/>
    <mergeCell ref="L675:L676"/>
    <mergeCell ref="M675:M676"/>
    <mergeCell ref="D709:E709"/>
    <mergeCell ref="D658:E658"/>
    <mergeCell ref="D663:E663"/>
    <mergeCell ref="E667:J667"/>
    <mergeCell ref="E668:G668"/>
    <mergeCell ref="F674:H674"/>
    <mergeCell ref="I674:K674"/>
    <mergeCell ref="L618:M618"/>
    <mergeCell ref="E619:E620"/>
    <mergeCell ref="L619:L620"/>
    <mergeCell ref="M619:M620"/>
    <mergeCell ref="D653:E653"/>
    <mergeCell ref="D602:E602"/>
    <mergeCell ref="D607:E607"/>
    <mergeCell ref="E611:J611"/>
    <mergeCell ref="E612:G612"/>
    <mergeCell ref="F618:H618"/>
    <mergeCell ref="I618:K618"/>
    <mergeCell ref="L562:M562"/>
    <mergeCell ref="E563:E564"/>
    <mergeCell ref="L563:L564"/>
    <mergeCell ref="M563:M564"/>
    <mergeCell ref="D597:E597"/>
    <mergeCell ref="D546:E546"/>
    <mergeCell ref="D551:E551"/>
    <mergeCell ref="E555:J555"/>
    <mergeCell ref="E556:G556"/>
    <mergeCell ref="F562:H562"/>
    <mergeCell ref="I562:K562"/>
    <mergeCell ref="L506:M506"/>
    <mergeCell ref="E507:E508"/>
    <mergeCell ref="L507:L508"/>
    <mergeCell ref="M507:M508"/>
    <mergeCell ref="D541:E541"/>
    <mergeCell ref="D490:E490"/>
    <mergeCell ref="D495:E495"/>
    <mergeCell ref="E499:J499"/>
    <mergeCell ref="E500:G500"/>
    <mergeCell ref="F506:H506"/>
    <mergeCell ref="I506:K506"/>
    <mergeCell ref="L450:M450"/>
    <mergeCell ref="E451:E452"/>
    <mergeCell ref="L451:L452"/>
    <mergeCell ref="M451:M452"/>
    <mergeCell ref="D485:E485"/>
    <mergeCell ref="D434:E434"/>
    <mergeCell ref="D439:E439"/>
    <mergeCell ref="E443:J443"/>
    <mergeCell ref="E444:G444"/>
    <mergeCell ref="F450:H450"/>
    <mergeCell ref="I450:K450"/>
    <mergeCell ref="L394:M394"/>
    <mergeCell ref="E395:E396"/>
    <mergeCell ref="L395:L396"/>
    <mergeCell ref="M395:M396"/>
    <mergeCell ref="D429:E429"/>
    <mergeCell ref="D378:E378"/>
    <mergeCell ref="D383:E383"/>
    <mergeCell ref="E387:J387"/>
    <mergeCell ref="E388:G388"/>
    <mergeCell ref="F394:H394"/>
    <mergeCell ref="I394:K394"/>
    <mergeCell ref="L338:M338"/>
    <mergeCell ref="E339:E340"/>
    <mergeCell ref="L339:L340"/>
    <mergeCell ref="M339:M340"/>
    <mergeCell ref="D373:E373"/>
    <mergeCell ref="D322:E322"/>
    <mergeCell ref="D327:E327"/>
    <mergeCell ref="E331:J331"/>
    <mergeCell ref="E332:G332"/>
    <mergeCell ref="F338:H338"/>
    <mergeCell ref="I338:K338"/>
    <mergeCell ref="L282:M282"/>
    <mergeCell ref="E283:E284"/>
    <mergeCell ref="L283:L284"/>
    <mergeCell ref="M283:M284"/>
    <mergeCell ref="D317:E317"/>
    <mergeCell ref="D266:E266"/>
    <mergeCell ref="D271:E271"/>
    <mergeCell ref="E275:J275"/>
    <mergeCell ref="E276:G276"/>
    <mergeCell ref="F282:H282"/>
    <mergeCell ref="I282:K282"/>
    <mergeCell ref="L226:M226"/>
    <mergeCell ref="E227:E228"/>
    <mergeCell ref="L227:L228"/>
    <mergeCell ref="M227:M228"/>
    <mergeCell ref="D261:E261"/>
    <mergeCell ref="D210:E210"/>
    <mergeCell ref="D215:E215"/>
    <mergeCell ref="E219:J219"/>
    <mergeCell ref="E220:G220"/>
    <mergeCell ref="F226:H226"/>
    <mergeCell ref="I226:K226"/>
    <mergeCell ref="L170:M170"/>
    <mergeCell ref="E171:E172"/>
    <mergeCell ref="L171:L172"/>
    <mergeCell ref="M171:M172"/>
    <mergeCell ref="D205:E205"/>
    <mergeCell ref="D154:E154"/>
    <mergeCell ref="D159:E159"/>
    <mergeCell ref="E163:J163"/>
    <mergeCell ref="E164:G164"/>
    <mergeCell ref="F170:H170"/>
    <mergeCell ref="I170:K170"/>
    <mergeCell ref="L114:M114"/>
    <mergeCell ref="E115:E116"/>
    <mergeCell ref="L115:L116"/>
    <mergeCell ref="M115:M116"/>
    <mergeCell ref="D149:E149"/>
    <mergeCell ref="D103:E103"/>
    <mergeCell ref="E107:J107"/>
    <mergeCell ref="E108:G108"/>
    <mergeCell ref="F114:H114"/>
    <mergeCell ref="I114:K114"/>
    <mergeCell ref="E59:E60"/>
    <mergeCell ref="L59:L60"/>
    <mergeCell ref="M59:M60"/>
    <mergeCell ref="D93:E93"/>
    <mergeCell ref="D98:E98"/>
    <mergeCell ref="E51:J51"/>
    <mergeCell ref="E52:G52"/>
    <mergeCell ref="F58:H58"/>
    <mergeCell ref="I58:K58"/>
    <mergeCell ref="L58:M58"/>
    <mergeCell ref="D43:F43"/>
    <mergeCell ref="D44:F44"/>
    <mergeCell ref="D45:F45"/>
    <mergeCell ref="D46:F46"/>
    <mergeCell ref="D47:F47"/>
    <mergeCell ref="D38:F38"/>
    <mergeCell ref="D39:F39"/>
    <mergeCell ref="D40:F40"/>
    <mergeCell ref="D41:F41"/>
    <mergeCell ref="D42:F42"/>
    <mergeCell ref="D33:F33"/>
    <mergeCell ref="D34:F34"/>
    <mergeCell ref="D35:F35"/>
    <mergeCell ref="D36:F36"/>
    <mergeCell ref="D37:F37"/>
    <mergeCell ref="D28:F28"/>
    <mergeCell ref="D29:F29"/>
    <mergeCell ref="D30:F30"/>
    <mergeCell ref="D31:F31"/>
    <mergeCell ref="D32:F32"/>
    <mergeCell ref="D2:F2"/>
    <mergeCell ref="D25:F27"/>
    <mergeCell ref="G25:G27"/>
    <mergeCell ref="H25:M25"/>
    <mergeCell ref="N25:O25"/>
    <mergeCell ref="H26:I26"/>
    <mergeCell ref="J26:K26"/>
    <mergeCell ref="L26:M26"/>
    <mergeCell ref="N26:O26"/>
  </mergeCells>
  <conditionalFormatting sqref="L12:L22">
    <cfRule type="expression" dxfId="39" priority="8">
      <formula>$G12="kW"</formula>
    </cfRule>
  </conditionalFormatting>
  <conditionalFormatting sqref="K12:K22">
    <cfRule type="expression" dxfId="38" priority="5">
      <formula>$G12="kW"</formula>
    </cfRule>
    <cfRule type="expression" dxfId="37" priority="6">
      <formula>$G12="kVa"</formula>
    </cfRule>
    <cfRule type="expression" dxfId="36" priority="7">
      <formula>$G12="kWh"</formula>
    </cfRule>
  </conditionalFormatting>
  <conditionalFormatting sqref="L3:L11">
    <cfRule type="expression" dxfId="35" priority="4">
      <formula>$G3="kW"</formula>
    </cfRule>
  </conditionalFormatting>
  <conditionalFormatting sqref="K3:K11">
    <cfRule type="expression" dxfId="34" priority="1">
      <formula>$G3="kW"</formula>
    </cfRule>
    <cfRule type="expression" dxfId="33" priority="2">
      <formula>$G3="kVa"</formula>
    </cfRule>
    <cfRule type="expression" dxfId="32" priority="3">
      <formula>$G3="kWh"</formula>
    </cfRule>
  </conditionalFormatting>
  <dataValidations count="4">
    <dataValidation type="list" allowBlank="1" showInputMessage="1" showErrorMessage="1" prompt="Select Charge Unit - monthly, per kWh, per kW" sqref="E94 E99 E104 E89 E150 E155 E160 E145 E206 E211 E216 E201 E262 E267 E272 E257 E318 E323 E328 E313 E374 E379 E384 E369 E430 E435 E440 E425 E486 E491 E496 E481 E542 E547 E552 E537 E598 E603 E608 E593 E654 E659 E664 E649 E710 E715 E720 E705 E766 E771 E776 E761 E822 E827 E832 E817 E878 E883 E888 E873 E934 E939 E944 E929 E990 E995 E1000 E985 E1046 E1051 E1056 E1041">
      <formula1>"Monthly, per kWh, per kW"</formula1>
    </dataValidation>
    <dataValidation allowBlank="1" showInputMessage="1" showErrorMessage="1" sqref="D3:D9"/>
    <dataValidation type="list" allowBlank="1" showInputMessage="1" showErrorMessage="1" sqref="M3:M22">
      <formula1>"N/A, DEMAND, DEMAND - INTERVAL"</formula1>
    </dataValidation>
    <dataValidation type="list" allowBlank="1" showInputMessage="1" showErrorMessage="1" sqref="H3:H22">
      <formula1>"RPP, Non-RPP (Retailer), Non-RPP (Other)"</formula1>
    </dataValidation>
  </dataValidations>
  <pageMargins left="0.11811023622047245" right="0.11811023622047245" top="0.35433070866141736" bottom="0.35433070866141736" header="0.11811023622047245" footer="0.11811023622047245"/>
  <pageSetup scale="63" orientation="landscape" verticalDpi="0" r:id="rId1"/>
  <headerFooter>
    <oddFooter>&amp;L&amp;9&amp;Z&amp;F  &amp;A  &amp;D  &amp;T&amp;R&amp;P</oddFooter>
  </headerFooter>
  <rowBreaks count="18" manualBreakCount="18">
    <brk id="49" max="16383" man="1"/>
    <brk id="106" max="16383" man="1"/>
    <brk id="162" max="16383" man="1"/>
    <brk id="218" max="16383" man="1"/>
    <brk id="274" max="16383" man="1"/>
    <brk id="330" max="16383" man="1"/>
    <brk id="386" max="16383" man="1"/>
    <brk id="442" max="16383" man="1"/>
    <brk id="498" max="16383" man="1"/>
    <brk id="554" max="16383" man="1"/>
    <brk id="610" max="16383" man="1"/>
    <brk id="666" max="16383" man="1"/>
    <brk id="722" max="16383" man="1"/>
    <brk id="778" max="16383" man="1"/>
    <brk id="834" max="16383" man="1"/>
    <brk id="890" max="16383" man="1"/>
    <brk id="946" max="16383" man="1"/>
    <brk id="1002" max="16383" man="1"/>
  </rowBreaks>
  <ignoredErrors>
    <ignoredError sqref="D61:M66 K51 E51:J56 D286:M290 D285:F285 H285:I285 K285:M285 D342:M346 D341:F341 H341:M341 D398:M402 D397:F397 H397:M397 D68:M75 D67:G67 D77:M78 D76:G76 D80:M122 D79:G79 A67:C93 D124:M131 D123:G123 D133:M134 D132:G132 D136:M178 D135:F135 C123:C149 D180:M187 D179:G179 D189:M190 D188:G188 D192:M234 D191:G191 A179:C215 D236:M243 D235:G235 D246:E246 D244:G244 D248:M284 D247:G247 D245:E245 J245:M246 G245:H245 G246:H246 D923:M962 D917:E918 G917:G918 D978:M1018 D973:E974 G973:G974 D292:M299 D291:G291 C235:C271 D301:M302 D300:G300 D304:M340 D303:G303 C290:C317 D348:M355 D347:G347 D357:M358 D356:G356 D360:M396 D359:G359 C347:C373 C403:C439 D404:M411 D403:F403 D413:M414 D412:G412 D416:M458 D415:G415 D460:M467 D459:G459 D469:M470 D468:G468 D472:M514 D471:G471 C459:C485 D516:M523 D515:G515 D525:M526 D524:G524 D528:M570 D527:G527 A515:C541 D572:M579 D571:G571 D581:M582 D580:G580 D584:M626 D583:G583 A571:C597 D628:M635 D627:G627 D637:M638 D636:G636 D640:M682 D639:G639 C627:C664 D684:M691 D683:G683 D693:M694 D692:G692 D696:M738 D695:G695 C683:C709 D740:M747 D739:G739 D749:M750 D748:G748 D752:M794 D751:G751 A739:C765 D796:M803 D795:F795 D808:M850 D804:G807 A795:C842 D888:M906 C851:C888 D919:G922 D907:G916 C907:C944 D963:G972 D975:G977 C963:C1000 D1032:M1060 D1019:G1031 A1019:C1057 G3:G22" unlockedFormula="1"/>
    <ignoredError sqref="H67:M67 H76:M76 H79:M79 H123:M123 H132:M132 G135:M135 H179:M179 H188:M188 H191:M191 H235:M235 H244:M244 H247:M247 H291:M291 H300:M300 H303:M303 H347:M347 H356:M356 H359:M359 G403:M403 H412:M412 H415:M415 H459:M459 H468:M468 H471:M471 H515:M515 H524:M524 H527:M527 H571:M571 H580:M580 H583:M583 H627:M627 H636:M636 H639:M639 H683:M683 H692:M692 H695:M695 H739:M739 H748:M748 H751:M751 G795:M795 H804:M807 D851:M887 H907:M916 J917:M918 H917:H918 H919:M922 J973:M974 H973:H974 H975:M977 H963:M972 H1019:M1031" formula="1" unlockedFormula="1"/>
    <ignoredError sqref="I917:I918 I973:I974" formula="1"/>
  </ignoredErrors>
  <extLst>
    <ext xmlns:x14="http://schemas.microsoft.com/office/spreadsheetml/2009/9/main" uri="{CCE6A557-97BC-4b89-ADB6-D9C93CAAB3DF}">
      <x14:dataValidations xmlns:xm="http://schemas.microsoft.com/office/excel/2006/main" count="1">
        <x14:dataValidation type="list" operator="equal" allowBlank="1" showInputMessage="1" showErrorMessage="1">
          <x14:formula1>
            <xm:f>'[1]2016 List'!#REF!</xm:f>
          </x14:formula1>
          <xm:sqref>D10:D22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1083"/>
  <sheetViews>
    <sheetView topLeftCell="C64" zoomScale="80" zoomScaleNormal="80" workbookViewId="0">
      <selection activeCell="G19" sqref="G19"/>
    </sheetView>
  </sheetViews>
  <sheetFormatPr defaultRowHeight="15" x14ac:dyDescent="0.25"/>
  <cols>
    <col min="1" max="1" width="9" style="100" hidden="1" customWidth="1"/>
    <col min="2" max="2" width="4.7109375" style="100" hidden="1" customWidth="1"/>
    <col min="3" max="3" width="3.42578125" style="208" customWidth="1"/>
    <col min="4" max="4" width="34.7109375" style="100" customWidth="1"/>
    <col min="5" max="5" width="13.140625" style="100" customWidth="1"/>
    <col min="6" max="6" width="10.7109375" style="100" bestFit="1" customWidth="1"/>
    <col min="7" max="7" width="11.28515625" style="100" bestFit="1" customWidth="1"/>
    <col min="8" max="8" width="19.140625" style="100" bestFit="1" customWidth="1"/>
    <col min="9" max="9" width="12.85546875" style="100" customWidth="1"/>
    <col min="10" max="10" width="16.5703125" style="100" bestFit="1" customWidth="1"/>
    <col min="11" max="11" width="21.28515625" style="100" bestFit="1" customWidth="1"/>
    <col min="12" max="12" width="14.42578125" style="100" bestFit="1" customWidth="1"/>
    <col min="13" max="13" width="20" style="100" bestFit="1" customWidth="1"/>
    <col min="14" max="14" width="22.140625" style="100" customWidth="1"/>
    <col min="15" max="15" width="14.42578125" style="100" customWidth="1"/>
  </cols>
  <sheetData>
    <row r="1" spans="1:15" ht="21.75" x14ac:dyDescent="0.25">
      <c r="A1" s="61"/>
      <c r="B1" s="61"/>
      <c r="C1" s="62"/>
      <c r="D1" s="63"/>
      <c r="E1" s="63"/>
      <c r="F1" s="63"/>
      <c r="G1" s="63"/>
      <c r="H1" s="63"/>
      <c r="I1" s="63"/>
      <c r="J1" s="63"/>
      <c r="K1" s="63"/>
      <c r="L1" s="64"/>
      <c r="M1" s="65"/>
      <c r="N1" s="61"/>
      <c r="O1" s="61"/>
    </row>
    <row r="2" spans="1:15" ht="18" x14ac:dyDescent="0.25">
      <c r="A2" s="61"/>
      <c r="B2" s="61"/>
      <c r="C2" s="66"/>
      <c r="D2" s="67"/>
      <c r="E2" s="67"/>
      <c r="F2" s="67"/>
      <c r="G2" s="67"/>
      <c r="H2" s="67"/>
      <c r="I2" s="67"/>
      <c r="J2" s="67"/>
      <c r="K2" s="67"/>
      <c r="L2" s="64"/>
      <c r="M2" s="65"/>
      <c r="N2" s="61"/>
      <c r="O2" s="61"/>
    </row>
    <row r="3" spans="1:15" ht="18" x14ac:dyDescent="0.25">
      <c r="A3" s="61"/>
      <c r="B3" s="61"/>
      <c r="C3" s="307"/>
      <c r="D3" s="307"/>
      <c r="E3" s="307"/>
      <c r="F3" s="307"/>
      <c r="G3" s="307"/>
      <c r="H3" s="307"/>
      <c r="I3" s="307"/>
      <c r="J3" s="307"/>
      <c r="K3" s="307"/>
      <c r="L3" s="64"/>
      <c r="M3" s="65"/>
      <c r="N3" s="61"/>
      <c r="O3" s="61"/>
    </row>
    <row r="4" spans="1:15" ht="18" x14ac:dyDescent="0.25">
      <c r="A4" s="61"/>
      <c r="B4" s="61"/>
      <c r="C4" s="66"/>
      <c r="D4" s="67"/>
      <c r="E4" s="67"/>
      <c r="F4" s="67"/>
      <c r="G4" s="67"/>
      <c r="H4" s="67"/>
      <c r="I4" s="68"/>
      <c r="J4" s="68"/>
      <c r="K4" s="68"/>
      <c r="L4" s="64"/>
      <c r="M4" s="65"/>
      <c r="N4" s="61"/>
      <c r="O4" s="61"/>
    </row>
    <row r="5" spans="1:15" ht="15.75" x14ac:dyDescent="0.25">
      <c r="A5" s="61"/>
      <c r="B5" s="61"/>
      <c r="C5" s="69"/>
      <c r="D5" s="61"/>
      <c r="E5" s="70"/>
      <c r="F5" s="61"/>
      <c r="G5" s="61"/>
      <c r="H5" s="61"/>
      <c r="I5" s="61"/>
      <c r="J5" s="61"/>
      <c r="K5" s="61"/>
      <c r="L5" s="64"/>
      <c r="M5" s="65"/>
      <c r="N5" s="61"/>
      <c r="O5" s="61"/>
    </row>
    <row r="6" spans="1:15" x14ac:dyDescent="0.25">
      <c r="A6" s="61"/>
      <c r="B6" s="61"/>
      <c r="C6" s="69"/>
      <c r="D6" s="61"/>
      <c r="E6" s="61"/>
      <c r="F6" s="61"/>
      <c r="G6" s="61"/>
      <c r="H6" s="61"/>
      <c r="I6" s="61"/>
      <c r="J6" s="61"/>
      <c r="K6" s="61"/>
      <c r="L6" s="64"/>
      <c r="M6" s="65"/>
      <c r="N6" s="61"/>
      <c r="O6" s="61"/>
    </row>
    <row r="7" spans="1:15" x14ac:dyDescent="0.25">
      <c r="A7" s="61"/>
      <c r="B7" s="61"/>
      <c r="C7" s="69"/>
      <c r="D7" s="61"/>
      <c r="E7" s="61"/>
      <c r="F7" s="61"/>
      <c r="G7" s="61"/>
      <c r="H7" s="61"/>
      <c r="I7" s="61"/>
      <c r="J7" s="61"/>
      <c r="K7" s="61"/>
      <c r="L7" s="64"/>
      <c r="M7" s="65"/>
      <c r="N7" s="61"/>
      <c r="O7" s="61"/>
    </row>
    <row r="8" spans="1:15" x14ac:dyDescent="0.25">
      <c r="A8" s="61"/>
      <c r="B8" s="61"/>
      <c r="C8" s="69"/>
      <c r="D8" s="61"/>
      <c r="E8" s="61"/>
      <c r="F8" s="61"/>
      <c r="G8" s="61"/>
      <c r="H8" s="61"/>
      <c r="I8" s="61"/>
      <c r="J8" s="61"/>
      <c r="K8" s="61"/>
      <c r="L8" s="61"/>
      <c r="M8" s="65"/>
      <c r="N8" s="71"/>
      <c r="O8" s="71"/>
    </row>
    <row r="9" spans="1:15" hidden="1" x14ac:dyDescent="0.25">
      <c r="A9" s="71"/>
      <c r="B9" s="71"/>
      <c r="C9" s="72"/>
      <c r="D9" s="71"/>
      <c r="E9" s="71"/>
      <c r="F9" s="71"/>
      <c r="G9" s="71"/>
      <c r="H9" s="71"/>
      <c r="I9" s="71"/>
      <c r="J9" s="71"/>
      <c r="K9" s="71"/>
      <c r="L9" s="71"/>
      <c r="M9" s="71"/>
      <c r="N9" s="71"/>
      <c r="O9" s="71"/>
    </row>
    <row r="10" spans="1:15" ht="18" hidden="1" x14ac:dyDescent="0.25">
      <c r="A10" s="71"/>
      <c r="B10" s="71"/>
      <c r="C10" s="72"/>
      <c r="D10" s="308"/>
      <c r="E10" s="308"/>
      <c r="F10" s="308"/>
      <c r="G10" s="308"/>
      <c r="H10" s="308"/>
      <c r="I10" s="308"/>
      <c r="J10" s="308"/>
      <c r="K10" s="308"/>
      <c r="L10" s="308"/>
      <c r="M10" s="308"/>
      <c r="N10" s="73"/>
      <c r="O10" s="73"/>
    </row>
    <row r="11" spans="1:15" ht="18" hidden="1" x14ac:dyDescent="0.25">
      <c r="A11" s="71"/>
      <c r="B11" s="71"/>
      <c r="C11" s="72"/>
      <c r="D11" s="308"/>
      <c r="E11" s="308"/>
      <c r="F11" s="308"/>
      <c r="G11" s="308"/>
      <c r="H11" s="308"/>
      <c r="I11" s="308"/>
      <c r="J11" s="308"/>
      <c r="K11" s="308"/>
      <c r="L11" s="308"/>
      <c r="M11" s="308"/>
      <c r="N11" s="308"/>
      <c r="O11" s="308"/>
    </row>
    <row r="12" spans="1:15" hidden="1" x14ac:dyDescent="0.25">
      <c r="A12" s="71"/>
      <c r="B12" s="71"/>
      <c r="C12" s="72"/>
      <c r="D12" s="309" t="s">
        <v>104</v>
      </c>
      <c r="E12" s="309"/>
      <c r="F12" s="309"/>
      <c r="G12" s="309"/>
      <c r="H12" s="309"/>
      <c r="I12" s="309"/>
      <c r="J12" s="309"/>
      <c r="K12" s="309"/>
      <c r="L12" s="309"/>
      <c r="M12" s="309"/>
      <c r="N12" s="309"/>
      <c r="O12" s="71"/>
    </row>
    <row r="13" spans="1:15" hidden="1" x14ac:dyDescent="0.25">
      <c r="A13" s="71"/>
      <c r="B13" s="71"/>
      <c r="C13" s="74"/>
      <c r="D13" s="71" t="s">
        <v>105</v>
      </c>
      <c r="E13" s="71"/>
      <c r="F13" s="71"/>
      <c r="G13" s="71"/>
      <c r="H13" s="71"/>
      <c r="I13" s="71"/>
      <c r="J13" s="71"/>
      <c r="K13" s="71"/>
      <c r="L13" s="71"/>
      <c r="M13" s="71"/>
      <c r="N13" s="71"/>
      <c r="O13" s="71"/>
    </row>
    <row r="14" spans="1:15" hidden="1" x14ac:dyDescent="0.25">
      <c r="A14" s="71"/>
      <c r="B14" s="71"/>
      <c r="C14" s="72"/>
      <c r="D14" s="71"/>
      <c r="E14" s="71"/>
      <c r="F14" s="71"/>
      <c r="G14" s="71"/>
      <c r="H14" s="71"/>
      <c r="I14" s="71"/>
      <c r="J14" s="71"/>
      <c r="K14" s="71"/>
      <c r="L14" s="71"/>
      <c r="M14" s="71"/>
      <c r="N14" s="71"/>
      <c r="O14" s="71"/>
    </row>
    <row r="15" spans="1:15" hidden="1" x14ac:dyDescent="0.25">
      <c r="A15" s="71"/>
      <c r="B15" s="71"/>
      <c r="C15" s="72"/>
      <c r="D15" s="71"/>
      <c r="E15" s="71"/>
      <c r="F15" s="71"/>
      <c r="G15" s="71"/>
      <c r="H15" s="71"/>
      <c r="I15" s="71"/>
      <c r="J15" s="71"/>
      <c r="K15" s="71"/>
      <c r="L15" s="71"/>
      <c r="M15" s="71"/>
      <c r="N15" s="71"/>
      <c r="O15" s="71"/>
    </row>
    <row r="16" spans="1:15" hidden="1" x14ac:dyDescent="0.25">
      <c r="A16" s="71"/>
      <c r="B16" s="71"/>
      <c r="C16" s="72"/>
      <c r="D16" s="71"/>
      <c r="E16" s="71"/>
      <c r="F16" s="71"/>
      <c r="G16" s="71"/>
      <c r="H16" s="71"/>
      <c r="I16" s="71"/>
      <c r="J16" s="71"/>
      <c r="K16" s="71"/>
      <c r="L16" s="71"/>
      <c r="M16" s="71"/>
      <c r="N16" s="71"/>
      <c r="O16" s="71"/>
    </row>
    <row r="17" spans="1:15" hidden="1" x14ac:dyDescent="0.25">
      <c r="A17" s="71"/>
      <c r="B17" s="71"/>
      <c r="C17" s="72"/>
      <c r="D17" s="71"/>
      <c r="E17" s="71"/>
      <c r="F17" s="71"/>
      <c r="G17" s="71"/>
      <c r="H17" s="71"/>
      <c r="I17" s="71"/>
      <c r="J17" s="71"/>
      <c r="K17" s="71"/>
      <c r="L17" s="71"/>
      <c r="M17" s="71"/>
      <c r="N17" s="71"/>
      <c r="O17" s="71"/>
    </row>
    <row r="18" spans="1:15" hidden="1" x14ac:dyDescent="0.25">
      <c r="A18" s="71"/>
      <c r="B18" s="71"/>
      <c r="C18" s="72"/>
      <c r="D18" s="71"/>
      <c r="E18" s="71"/>
      <c r="F18" s="71"/>
      <c r="G18" s="71"/>
      <c r="H18" s="71"/>
      <c r="I18" s="71"/>
      <c r="J18" s="71"/>
      <c r="K18" s="71"/>
      <c r="L18" s="71"/>
      <c r="M18" s="71"/>
      <c r="N18" s="71"/>
      <c r="O18" s="71"/>
    </row>
    <row r="19" spans="1:15" hidden="1" x14ac:dyDescent="0.25">
      <c r="A19" s="71"/>
      <c r="B19" s="71"/>
      <c r="C19" s="72"/>
      <c r="D19" s="71"/>
      <c r="E19" s="71"/>
      <c r="F19" s="71"/>
      <c r="G19" s="71"/>
      <c r="H19" s="71"/>
      <c r="I19" s="71"/>
      <c r="J19" s="71"/>
      <c r="K19" s="71"/>
      <c r="L19" s="71"/>
      <c r="M19" s="71"/>
      <c r="N19" s="71"/>
      <c r="O19" s="71"/>
    </row>
    <row r="20" spans="1:15" hidden="1" x14ac:dyDescent="0.25">
      <c r="A20" s="71"/>
      <c r="B20" s="71"/>
      <c r="C20" s="72"/>
      <c r="D20" s="71"/>
      <c r="E20" s="71"/>
      <c r="F20" s="71"/>
      <c r="G20" s="71"/>
      <c r="H20" s="71"/>
      <c r="I20" s="71"/>
      <c r="J20" s="71"/>
      <c r="K20" s="71"/>
      <c r="L20" s="71"/>
      <c r="M20" s="71"/>
      <c r="N20" s="71"/>
      <c r="O20" s="71"/>
    </row>
    <row r="21" spans="1:15" hidden="1" x14ac:dyDescent="0.25">
      <c r="A21" s="71"/>
      <c r="B21" s="71"/>
      <c r="C21" s="72"/>
      <c r="D21" s="71"/>
      <c r="E21" s="71"/>
      <c r="F21" s="71"/>
      <c r="G21" s="71"/>
      <c r="H21" s="71"/>
      <c r="I21" s="71"/>
      <c r="J21" s="71"/>
      <c r="K21" s="71"/>
      <c r="L21" s="71"/>
      <c r="M21" s="71"/>
      <c r="N21" s="71"/>
      <c r="O21" s="71"/>
    </row>
    <row r="22" spans="1:15" hidden="1" x14ac:dyDescent="0.25">
      <c r="A22" s="71"/>
      <c r="B22" s="71"/>
      <c r="C22" s="72"/>
      <c r="D22" s="71"/>
      <c r="E22" s="71"/>
      <c r="F22" s="71"/>
      <c r="G22" s="71"/>
      <c r="H22" s="71"/>
      <c r="I22" s="71"/>
      <c r="J22" s="71"/>
      <c r="K22" s="71"/>
      <c r="L22" s="71"/>
      <c r="M22" s="71"/>
      <c r="N22" s="71"/>
      <c r="O22" s="71"/>
    </row>
    <row r="23" spans="1:15" hidden="1" x14ac:dyDescent="0.25">
      <c r="A23" s="71"/>
      <c r="B23" s="71"/>
      <c r="C23" s="72"/>
      <c r="D23" s="71"/>
      <c r="E23" s="71"/>
      <c r="F23" s="71"/>
      <c r="G23" s="71"/>
      <c r="H23" s="71"/>
      <c r="I23" s="71"/>
      <c r="J23" s="71"/>
      <c r="K23" s="71"/>
      <c r="L23" s="71"/>
      <c r="M23" s="71"/>
      <c r="N23" s="71"/>
      <c r="O23" s="71"/>
    </row>
    <row r="24" spans="1:15" hidden="1" x14ac:dyDescent="0.25">
      <c r="A24" s="71"/>
      <c r="B24" s="71"/>
      <c r="C24" s="72"/>
      <c r="D24" s="71"/>
      <c r="E24" s="71"/>
      <c r="F24" s="71"/>
      <c r="G24" s="71"/>
      <c r="H24" s="71"/>
      <c r="I24" s="71"/>
      <c r="J24" s="71"/>
      <c r="K24" s="71"/>
      <c r="L24" s="71"/>
      <c r="M24" s="71"/>
      <c r="N24" s="71"/>
      <c r="O24" s="71"/>
    </row>
    <row r="25" spans="1:15" hidden="1" x14ac:dyDescent="0.25">
      <c r="A25" s="71"/>
      <c r="B25" s="71"/>
      <c r="C25" s="72"/>
      <c r="D25" s="71"/>
      <c r="E25" s="71"/>
      <c r="F25" s="71"/>
      <c r="G25" s="71"/>
      <c r="H25" s="71"/>
      <c r="I25" s="71"/>
      <c r="J25" s="71"/>
      <c r="K25" s="71"/>
      <c r="L25" s="71"/>
      <c r="M25" s="71"/>
      <c r="N25" s="71"/>
      <c r="O25" s="71"/>
    </row>
    <row r="26" spans="1:15" hidden="1" x14ac:dyDescent="0.25">
      <c r="A26" s="71"/>
      <c r="B26" s="71"/>
      <c r="C26" s="72"/>
      <c r="D26" s="71"/>
      <c r="E26" s="71"/>
      <c r="F26" s="71"/>
      <c r="G26" s="71"/>
      <c r="H26" s="71"/>
      <c r="I26" s="71"/>
      <c r="J26" s="71"/>
      <c r="K26" s="71"/>
      <c r="L26" s="71"/>
      <c r="M26" s="71"/>
      <c r="N26" s="71"/>
      <c r="O26" s="71"/>
    </row>
    <row r="27" spans="1:15" hidden="1" x14ac:dyDescent="0.25">
      <c r="A27" s="71"/>
      <c r="B27" s="71"/>
      <c r="C27" s="72"/>
      <c r="D27" s="71"/>
      <c r="E27" s="71"/>
      <c r="F27" s="71"/>
      <c r="G27" s="71"/>
      <c r="H27" s="71"/>
      <c r="I27" s="71"/>
      <c r="J27" s="71"/>
      <c r="K27" s="71"/>
      <c r="L27" s="71"/>
      <c r="M27" s="71"/>
      <c r="N27" s="71"/>
      <c r="O27" s="71"/>
    </row>
    <row r="28" spans="1:15" ht="15.75" x14ac:dyDescent="0.25">
      <c r="A28" s="71"/>
      <c r="B28" s="71"/>
      <c r="C28" s="72"/>
      <c r="D28" s="75" t="s">
        <v>106</v>
      </c>
      <c r="E28" s="71"/>
      <c r="F28" s="71"/>
      <c r="G28" s="71"/>
      <c r="H28" s="71"/>
      <c r="I28" s="71"/>
      <c r="J28" s="71"/>
      <c r="K28" s="71"/>
      <c r="L28" s="71"/>
      <c r="M28" s="71"/>
      <c r="N28" s="71"/>
      <c r="O28" s="71"/>
    </row>
    <row r="29" spans="1:15" ht="64.5" x14ac:dyDescent="0.25">
      <c r="A29" s="71"/>
      <c r="B29" s="71"/>
      <c r="C29" s="72"/>
      <c r="D29" s="278" t="s">
        <v>107</v>
      </c>
      <c r="E29" s="279"/>
      <c r="F29" s="280"/>
      <c r="G29" s="76" t="s">
        <v>108</v>
      </c>
      <c r="H29" s="77" t="s">
        <v>109</v>
      </c>
      <c r="I29" s="77" t="s">
        <v>110</v>
      </c>
      <c r="J29" s="77" t="s">
        <v>111</v>
      </c>
      <c r="K29" s="77" t="s">
        <v>112</v>
      </c>
      <c r="L29" s="77" t="s">
        <v>113</v>
      </c>
      <c r="M29" s="78" t="s">
        <v>114</v>
      </c>
      <c r="N29" s="79" t="s">
        <v>115</v>
      </c>
      <c r="O29" s="71"/>
    </row>
    <row r="30" spans="1:15" x14ac:dyDescent="0.25">
      <c r="A30" s="71"/>
      <c r="B30" s="71">
        <v>1</v>
      </c>
      <c r="C30" s="80">
        <v>1</v>
      </c>
      <c r="D30" s="81" t="s">
        <v>116</v>
      </c>
      <c r="E30" s="82"/>
      <c r="F30" s="83"/>
      <c r="G30" s="84" t="str">
        <f>IF(ISERROR(VLOOKUP(D30, '[1]4. Billing Det. for Def-Var'!$A$16:$B$16, 2, FALSE)),"", VLOOKUP(D30,'[1]4. Billing Det. for Def-Var'!$A$16:$B$16, 2, FALSE))</f>
        <v/>
      </c>
      <c r="H30" s="85" t="s">
        <v>117</v>
      </c>
      <c r="I30" s="86">
        <v>1.056</v>
      </c>
      <c r="J30" s="87">
        <f t="shared" ref="J30:J49" si="0">IF(ISBLANK(I30),"", I30)</f>
        <v>1.056</v>
      </c>
      <c r="K30" s="88">
        <v>750</v>
      </c>
      <c r="L30" s="88"/>
      <c r="M30" s="85" t="s">
        <v>118</v>
      </c>
      <c r="N30" s="89"/>
      <c r="O30" s="71"/>
    </row>
    <row r="31" spans="1:15" x14ac:dyDescent="0.25">
      <c r="A31" s="71"/>
      <c r="B31" s="71">
        <v>2</v>
      </c>
      <c r="C31" s="80">
        <v>2</v>
      </c>
      <c r="D31" s="81" t="s">
        <v>119</v>
      </c>
      <c r="E31" s="82"/>
      <c r="F31" s="83"/>
      <c r="G31" s="84" t="str">
        <f>IF(ISERROR(VLOOKUP(D31, '[1]4. Billing Det. for Def-Var'!$A$16:$B$16, 2, FALSE)),"", VLOOKUP(D31,'[1]4. Billing Det. for Def-Var'!$A$16:$B$16, 2, FALSE))</f>
        <v/>
      </c>
      <c r="H31" s="85" t="s">
        <v>117</v>
      </c>
      <c r="I31" s="86">
        <v>1.056</v>
      </c>
      <c r="J31" s="87">
        <f t="shared" si="0"/>
        <v>1.056</v>
      </c>
      <c r="K31" s="88">
        <v>2000</v>
      </c>
      <c r="L31" s="88"/>
      <c r="M31" s="85" t="s">
        <v>118</v>
      </c>
      <c r="N31" s="89"/>
      <c r="O31" s="71"/>
    </row>
    <row r="32" spans="1:15" x14ac:dyDescent="0.25">
      <c r="A32" s="71"/>
      <c r="B32" s="71">
        <v>3</v>
      </c>
      <c r="C32" s="80">
        <v>3</v>
      </c>
      <c r="D32" s="81" t="s">
        <v>120</v>
      </c>
      <c r="E32" s="82"/>
      <c r="F32" s="83"/>
      <c r="G32" s="84" t="str">
        <f>IF(ISERROR(VLOOKUP(D32, '[1]4. Billing Det. for Def-Var'!$A$16:$B$16, 2, FALSE)),"", VLOOKUP(D32,'[1]4. Billing Det. for Def-Var'!$A$16:$B$16, 2, FALSE))</f>
        <v/>
      </c>
      <c r="H32" s="85" t="s">
        <v>121</v>
      </c>
      <c r="I32" s="86">
        <v>1.056</v>
      </c>
      <c r="J32" s="87">
        <f t="shared" si="0"/>
        <v>1.056</v>
      </c>
      <c r="K32" s="88">
        <v>328500</v>
      </c>
      <c r="L32" s="88">
        <v>500</v>
      </c>
      <c r="M32" s="85" t="s">
        <v>122</v>
      </c>
      <c r="N32" s="89"/>
      <c r="O32" s="71"/>
    </row>
    <row r="33" spans="1:15" x14ac:dyDescent="0.25">
      <c r="A33" s="71"/>
      <c r="B33" s="71">
        <v>4</v>
      </c>
      <c r="C33" s="80">
        <v>4</v>
      </c>
      <c r="D33" s="81" t="s">
        <v>123</v>
      </c>
      <c r="E33" s="82"/>
      <c r="F33" s="83"/>
      <c r="G33" s="84" t="str">
        <f>IF(ISERROR(VLOOKUP(D33, '[1]4. Billing Det. for Def-Var'!$A$16:$B$16, 2, FALSE)),"", VLOOKUP(D33,'[1]4. Billing Det. for Def-Var'!$A$16:$B$16, 2, FALSE))</f>
        <v/>
      </c>
      <c r="H33" s="85" t="s">
        <v>121</v>
      </c>
      <c r="I33" s="86">
        <v>1.056</v>
      </c>
      <c r="J33" s="87">
        <f t="shared" si="0"/>
        <v>1.056</v>
      </c>
      <c r="K33" s="88">
        <v>1600000</v>
      </c>
      <c r="L33" s="88">
        <v>2500</v>
      </c>
      <c r="M33" s="85" t="s">
        <v>124</v>
      </c>
      <c r="N33" s="89"/>
      <c r="O33" s="71"/>
    </row>
    <row r="34" spans="1:15" x14ac:dyDescent="0.25">
      <c r="A34" s="71"/>
      <c r="B34" s="71">
        <v>5</v>
      </c>
      <c r="C34" s="80">
        <v>5</v>
      </c>
      <c r="D34" s="81" t="s">
        <v>125</v>
      </c>
      <c r="E34" s="82"/>
      <c r="F34" s="83"/>
      <c r="G34" s="84" t="str">
        <f>IF(ISERROR(VLOOKUP(D34, '[1]4. Billing Det. for Def-Var'!$A$16:$B$16, 2, FALSE)),"", VLOOKUP(D34,'[1]4. Billing Det. for Def-Var'!$A$16:$B$16, 2, FALSE))</f>
        <v/>
      </c>
      <c r="H34" s="85" t="s">
        <v>117</v>
      </c>
      <c r="I34" s="86">
        <v>1.056</v>
      </c>
      <c r="J34" s="87">
        <f t="shared" si="0"/>
        <v>1.056</v>
      </c>
      <c r="K34" s="88">
        <v>150</v>
      </c>
      <c r="L34" s="88"/>
      <c r="M34" s="85" t="s">
        <v>118</v>
      </c>
      <c r="N34" s="90"/>
      <c r="O34" s="71"/>
    </row>
    <row r="35" spans="1:15" x14ac:dyDescent="0.25">
      <c r="A35" s="71"/>
      <c r="B35" s="71">
        <v>6</v>
      </c>
      <c r="C35" s="80">
        <v>6</v>
      </c>
      <c r="D35" s="81" t="s">
        <v>126</v>
      </c>
      <c r="E35" s="82"/>
      <c r="F35" s="83"/>
      <c r="G35" s="84" t="str">
        <f>IF(ISERROR(VLOOKUP(D35, '[1]4. Billing Det. for Def-Var'!$A$16:$B$16, 2, FALSE)),"", VLOOKUP(D35,'[1]4. Billing Det. for Def-Var'!$A$16:$B$16, 2, FALSE))</f>
        <v/>
      </c>
      <c r="H35" s="85" t="s">
        <v>117</v>
      </c>
      <c r="I35" s="86">
        <v>1.056</v>
      </c>
      <c r="J35" s="87">
        <f t="shared" si="0"/>
        <v>1.056</v>
      </c>
      <c r="K35" s="88">
        <v>650</v>
      </c>
      <c r="L35" s="88">
        <v>1</v>
      </c>
      <c r="M35" s="85" t="s">
        <v>122</v>
      </c>
      <c r="N35" s="90"/>
      <c r="O35" s="71"/>
    </row>
    <row r="36" spans="1:15" x14ac:dyDescent="0.25">
      <c r="A36" s="71"/>
      <c r="B36" s="71">
        <v>7</v>
      </c>
      <c r="C36" s="80">
        <v>7</v>
      </c>
      <c r="D36" s="81" t="s">
        <v>127</v>
      </c>
      <c r="E36" s="82"/>
      <c r="F36" s="83"/>
      <c r="G36" s="84" t="str">
        <f>IF(ISERROR(VLOOKUP(D36, '[1]4. Billing Det. for Def-Var'!$A$16:$B$16, 2, FALSE)),"", VLOOKUP(D36,'[1]4. Billing Det. for Def-Var'!$A$16:$B$16, 2, FALSE))</f>
        <v/>
      </c>
      <c r="H36" s="85" t="s">
        <v>121</v>
      </c>
      <c r="I36" s="86">
        <v>1.056</v>
      </c>
      <c r="J36" s="87">
        <f t="shared" si="0"/>
        <v>1.056</v>
      </c>
      <c r="K36" s="88">
        <v>94033.37</v>
      </c>
      <c r="L36" s="88">
        <v>251</v>
      </c>
      <c r="M36" s="85" t="s">
        <v>122</v>
      </c>
      <c r="N36" s="90"/>
      <c r="O36" s="71"/>
    </row>
    <row r="37" spans="1:15" x14ac:dyDescent="0.25">
      <c r="A37" s="71"/>
      <c r="B37" s="71">
        <v>8</v>
      </c>
      <c r="C37" s="80">
        <f>IF(ISERROR(VLOOKUP(D37, D30:AS49, 42, FALSE)),"", VLOOKUP(D37, D30:AS49, 42, FALSE))</f>
        <v>0</v>
      </c>
      <c r="D37" s="91" t="s">
        <v>116</v>
      </c>
      <c r="E37" s="92"/>
      <c r="F37" s="93"/>
      <c r="G37" s="84" t="str">
        <f>IF(ISERROR(VLOOKUP(D37, '[1]4. Billing Det. for Def-Var'!$A$16:$B$16, 2, FALSE)),"", VLOOKUP(D37,'[1]4. Billing Det. for Def-Var'!$A$16:$B$16, 2, FALSE))</f>
        <v/>
      </c>
      <c r="H37" s="85" t="s">
        <v>117</v>
      </c>
      <c r="I37" s="86">
        <v>1.056</v>
      </c>
      <c r="J37" s="87">
        <f t="shared" si="0"/>
        <v>1.056</v>
      </c>
      <c r="K37" s="88">
        <v>342</v>
      </c>
      <c r="L37" s="88"/>
      <c r="M37" s="85" t="s">
        <v>118</v>
      </c>
      <c r="N37" s="89"/>
      <c r="O37" s="71"/>
    </row>
    <row r="38" spans="1:15" x14ac:dyDescent="0.25">
      <c r="A38" s="71"/>
      <c r="B38" s="71">
        <v>9</v>
      </c>
      <c r="C38" s="80">
        <f>IF(ISERROR(VLOOKUP(D38, D30:AS49, 42, FALSE)),"", VLOOKUP(D38, D30:AS49, 42, FALSE))</f>
        <v>0</v>
      </c>
      <c r="D38" s="91" t="s">
        <v>116</v>
      </c>
      <c r="E38" s="92"/>
      <c r="F38" s="93"/>
      <c r="G38" s="84" t="str">
        <f>IF(ISERROR(VLOOKUP(D38, '[1]4. Billing Det. for Def-Var'!$A$16:$B$16, 2, FALSE)),"", VLOOKUP(D38,'[1]4. Billing Det. for Def-Var'!$A$16:$B$16, 2, FALSE))</f>
        <v/>
      </c>
      <c r="H38" s="85" t="s">
        <v>117</v>
      </c>
      <c r="I38" s="86">
        <v>1.056</v>
      </c>
      <c r="J38" s="87">
        <f t="shared" si="0"/>
        <v>1.056</v>
      </c>
      <c r="K38" s="88">
        <v>1000</v>
      </c>
      <c r="L38" s="88"/>
      <c r="M38" s="85" t="s">
        <v>118</v>
      </c>
      <c r="N38" s="89"/>
      <c r="O38" s="71"/>
    </row>
    <row r="39" spans="1:15" x14ac:dyDescent="0.25">
      <c r="A39" s="71"/>
      <c r="B39" s="71">
        <v>10</v>
      </c>
      <c r="C39" s="80">
        <f>IF(ISERROR(VLOOKUP(D39, D30:AS49, 42, FALSE)),"", VLOOKUP(D39, D30:AS49, 42, FALSE))</f>
        <v>0</v>
      </c>
      <c r="D39" s="91" t="s">
        <v>116</v>
      </c>
      <c r="E39" s="92"/>
      <c r="F39" s="93"/>
      <c r="G39" s="84" t="str">
        <f>IF(ISERROR(VLOOKUP(D39, '[1]4. Billing Det. for Def-Var'!$A$16:$B$16, 2, FALSE)),"", VLOOKUP(D39,'[1]4. Billing Det. for Def-Var'!$A$16:$B$16, 2, FALSE))</f>
        <v/>
      </c>
      <c r="H39" s="85" t="s">
        <v>117</v>
      </c>
      <c r="I39" s="86">
        <v>1.056</v>
      </c>
      <c r="J39" s="87">
        <f t="shared" si="0"/>
        <v>1.056</v>
      </c>
      <c r="K39" s="88">
        <v>2500</v>
      </c>
      <c r="L39" s="88"/>
      <c r="M39" s="85" t="s">
        <v>118</v>
      </c>
      <c r="N39" s="89"/>
      <c r="O39" s="71"/>
    </row>
    <row r="40" spans="1:15" x14ac:dyDescent="0.25">
      <c r="A40" s="71"/>
      <c r="B40" s="71">
        <v>11</v>
      </c>
      <c r="C40" s="80">
        <f>IF(ISERROR(VLOOKUP(D40, D30:AS49, 42, FALSE)),"", VLOOKUP(D40, D30:AS49, 42, FALSE))</f>
        <v>0</v>
      </c>
      <c r="D40" s="91" t="s">
        <v>119</v>
      </c>
      <c r="E40" s="92"/>
      <c r="F40" s="93"/>
      <c r="G40" s="84" t="str">
        <f>IF(ISERROR(VLOOKUP(D40, '[1]4. Billing Det. for Def-Var'!$A$16:$B$16, 2, FALSE)),"", VLOOKUP(D40,'[1]4. Billing Det. for Def-Var'!$A$16:$B$16, 2, FALSE))</f>
        <v/>
      </c>
      <c r="H40" s="85" t="s">
        <v>117</v>
      </c>
      <c r="I40" s="86">
        <v>1.056</v>
      </c>
      <c r="J40" s="87">
        <f t="shared" si="0"/>
        <v>1.056</v>
      </c>
      <c r="K40" s="88">
        <v>500</v>
      </c>
      <c r="L40" s="88"/>
      <c r="M40" s="85" t="s">
        <v>118</v>
      </c>
      <c r="N40" s="89"/>
      <c r="O40" s="71"/>
    </row>
    <row r="41" spans="1:15" x14ac:dyDescent="0.25">
      <c r="A41" s="71"/>
      <c r="B41" s="71">
        <v>12</v>
      </c>
      <c r="C41" s="80">
        <f>IF(ISERROR(VLOOKUP(D41, D30:AS49, 42, FALSE)),"", VLOOKUP(D41, D30:AS49, 42, FALSE))</f>
        <v>0</v>
      </c>
      <c r="D41" s="91" t="s">
        <v>119</v>
      </c>
      <c r="E41" s="92"/>
      <c r="F41" s="93"/>
      <c r="G41" s="84" t="str">
        <f>IF(ISERROR(VLOOKUP(D41, '[1]4. Billing Det. for Def-Var'!$A$16:$B$16, 2, FALSE)),"", VLOOKUP(D41,'[1]4. Billing Det. for Def-Var'!$A$16:$B$16, 2, FALSE))</f>
        <v/>
      </c>
      <c r="H41" s="85" t="s">
        <v>117</v>
      </c>
      <c r="I41" s="86">
        <v>1.056</v>
      </c>
      <c r="J41" s="87">
        <f t="shared" si="0"/>
        <v>1.056</v>
      </c>
      <c r="K41" s="88">
        <v>5000</v>
      </c>
      <c r="L41" s="88"/>
      <c r="M41" s="85" t="s">
        <v>118</v>
      </c>
      <c r="N41" s="89"/>
      <c r="O41" s="71"/>
    </row>
    <row r="42" spans="1:15" x14ac:dyDescent="0.25">
      <c r="A42" s="71"/>
      <c r="B42" s="71">
        <v>13</v>
      </c>
      <c r="C42" s="80">
        <f>IF(ISERROR(VLOOKUP(D42, D30:AS49, 42, FALSE)),"", VLOOKUP(D42, D30:AS49, 42, FALSE))</f>
        <v>0</v>
      </c>
      <c r="D42" s="91" t="s">
        <v>119</v>
      </c>
      <c r="E42" s="92"/>
      <c r="F42" s="93"/>
      <c r="G42" s="84" t="str">
        <f>IF(ISERROR(VLOOKUP(D42, '[1]4. Billing Det. for Def-Var'!$A$16:$B$16, 2, FALSE)),"", VLOOKUP(D42,'[1]4. Billing Det. for Def-Var'!$A$16:$B$16, 2, FALSE))</f>
        <v/>
      </c>
      <c r="H42" s="85" t="s">
        <v>117</v>
      </c>
      <c r="I42" s="86">
        <v>1.056</v>
      </c>
      <c r="J42" s="87">
        <f t="shared" si="0"/>
        <v>1.056</v>
      </c>
      <c r="K42" s="88">
        <v>15000</v>
      </c>
      <c r="L42" s="88"/>
      <c r="M42" s="85" t="s">
        <v>118</v>
      </c>
      <c r="N42" s="89"/>
      <c r="O42" s="71"/>
    </row>
    <row r="43" spans="1:15" x14ac:dyDescent="0.25">
      <c r="A43" s="71"/>
      <c r="B43" s="71">
        <v>14</v>
      </c>
      <c r="C43" s="80">
        <f>IF(ISERROR(VLOOKUP(D43, D30:AS49, 42, FALSE)),"", VLOOKUP(D43, D30:AS49, 42, FALSE))</f>
        <v>0</v>
      </c>
      <c r="D43" s="91" t="s">
        <v>120</v>
      </c>
      <c r="E43" s="92"/>
      <c r="F43" s="93"/>
      <c r="G43" s="84" t="str">
        <f>IF(ISERROR(VLOOKUP(D43, '[1]4. Billing Det. for Def-Var'!$A$16:$B$16, 2, FALSE)),"", VLOOKUP(D43,'[1]4. Billing Det. for Def-Var'!$A$16:$B$16, 2, FALSE))</f>
        <v/>
      </c>
      <c r="H43" s="85" t="s">
        <v>121</v>
      </c>
      <c r="I43" s="86">
        <v>1.056</v>
      </c>
      <c r="J43" s="87">
        <f t="shared" si="0"/>
        <v>1.056</v>
      </c>
      <c r="K43" s="88">
        <v>20000</v>
      </c>
      <c r="L43" s="88">
        <v>60</v>
      </c>
      <c r="M43" s="85" t="s">
        <v>122</v>
      </c>
      <c r="N43" s="89"/>
      <c r="O43" s="71"/>
    </row>
    <row r="44" spans="1:15" x14ac:dyDescent="0.25">
      <c r="A44" s="71"/>
      <c r="B44" s="71">
        <v>15</v>
      </c>
      <c r="C44" s="80">
        <f>IF(ISERROR(VLOOKUP(D44, D30:AS49, 42, FALSE)),"", VLOOKUP(D44, D30:AS49, 42, FALSE))</f>
        <v>0</v>
      </c>
      <c r="D44" s="91" t="s">
        <v>120</v>
      </c>
      <c r="E44" s="92"/>
      <c r="F44" s="93"/>
      <c r="G44" s="84" t="str">
        <f>IF(ISERROR(VLOOKUP(D44, '[1]4. Billing Det. for Def-Var'!$A$16:$B$16, 2, FALSE)),"", VLOOKUP(D44,'[1]4. Billing Det. for Def-Var'!$A$16:$B$16, 2, FALSE))</f>
        <v/>
      </c>
      <c r="H44" s="85" t="s">
        <v>121</v>
      </c>
      <c r="I44" s="86">
        <v>1.056</v>
      </c>
      <c r="J44" s="87">
        <f t="shared" si="0"/>
        <v>1.056</v>
      </c>
      <c r="K44" s="88">
        <v>500000</v>
      </c>
      <c r="L44" s="88">
        <v>750</v>
      </c>
      <c r="M44" s="85" t="s">
        <v>122</v>
      </c>
      <c r="N44" s="89"/>
      <c r="O44" s="71"/>
    </row>
    <row r="45" spans="1:15" x14ac:dyDescent="0.25">
      <c r="A45" s="71"/>
      <c r="B45" s="71">
        <v>16</v>
      </c>
      <c r="C45" s="80">
        <f>IF(ISERROR(VLOOKUP(D45, D30:AS49, 42, FALSE)),"", VLOOKUP(D45, D30:AS49, 42, FALSE))</f>
        <v>0</v>
      </c>
      <c r="D45" s="91" t="s">
        <v>123</v>
      </c>
      <c r="E45" s="92"/>
      <c r="F45" s="93"/>
      <c r="G45" s="84" t="str">
        <f>IF(ISERROR(VLOOKUP(D45, '[1]4. Billing Det. for Def-Var'!$A$16:$B$16, 2, FALSE)),"", VLOOKUP(D45,'[1]4. Billing Det. for Def-Var'!$A$16:$B$16, 2, FALSE))</f>
        <v/>
      </c>
      <c r="H45" s="85" t="s">
        <v>121</v>
      </c>
      <c r="I45" s="86">
        <v>1.056</v>
      </c>
      <c r="J45" s="87">
        <f t="shared" si="0"/>
        <v>1.056</v>
      </c>
      <c r="K45" s="88">
        <v>1000000</v>
      </c>
      <c r="L45" s="88">
        <v>2000</v>
      </c>
      <c r="M45" s="85" t="s">
        <v>124</v>
      </c>
      <c r="N45" s="89"/>
      <c r="O45" s="71"/>
    </row>
    <row r="46" spans="1:15" x14ac:dyDescent="0.25">
      <c r="A46" s="71"/>
      <c r="B46" s="71">
        <v>17</v>
      </c>
      <c r="C46" s="80">
        <f>IF(ISERROR(VLOOKUP(D46, D30:AS49, 42, FALSE)),"", VLOOKUP(D46, D30:AS49, 42, FALSE))</f>
        <v>0</v>
      </c>
      <c r="D46" s="91" t="s">
        <v>123</v>
      </c>
      <c r="E46" s="92"/>
      <c r="F46" s="93"/>
      <c r="G46" s="84" t="str">
        <f>IF(ISERROR(VLOOKUP(D46, '[1]4. Billing Det. for Def-Var'!$A$16:$B$16, 2, FALSE)),"", VLOOKUP(D46,'[1]4. Billing Det. for Def-Var'!$A$16:$B$16, 2, FALSE))</f>
        <v/>
      </c>
      <c r="H46" s="85" t="s">
        <v>121</v>
      </c>
      <c r="I46" s="86">
        <v>1.056</v>
      </c>
      <c r="J46" s="87">
        <f t="shared" si="0"/>
        <v>1.056</v>
      </c>
      <c r="K46" s="88">
        <v>3000000</v>
      </c>
      <c r="L46" s="88">
        <v>4000</v>
      </c>
      <c r="M46" s="85" t="s">
        <v>124</v>
      </c>
      <c r="N46" s="89"/>
      <c r="O46" s="71"/>
    </row>
    <row r="47" spans="1:15" x14ac:dyDescent="0.25">
      <c r="A47" s="71"/>
      <c r="B47" s="71">
        <v>18</v>
      </c>
      <c r="C47" s="80">
        <f>IF(ISERROR(VLOOKUP(D47, D30:AS49, 42, FALSE)),"", VLOOKUP(D47, D30:AS49, 42, FALSE))</f>
        <v>0</v>
      </c>
      <c r="D47" s="91" t="s">
        <v>120</v>
      </c>
      <c r="E47" s="92"/>
      <c r="F47" s="93"/>
      <c r="G47" s="84" t="str">
        <f>IF(ISERROR(VLOOKUP(D47, '[1]4. Billing Det. for Def-Var'!$A$16:$B$16, 2, FALSE)),"", VLOOKUP(D47,'[1]4. Billing Det. for Def-Var'!$A$16:$B$16, 2, FALSE))</f>
        <v/>
      </c>
      <c r="H47" s="85" t="s">
        <v>117</v>
      </c>
      <c r="I47" s="86">
        <v>1.056</v>
      </c>
      <c r="J47" s="87">
        <f t="shared" si="0"/>
        <v>1.056</v>
      </c>
      <c r="K47" s="88">
        <v>69000</v>
      </c>
      <c r="L47" s="88">
        <v>160</v>
      </c>
      <c r="M47" s="85" t="s">
        <v>122</v>
      </c>
      <c r="N47" s="89"/>
      <c r="O47" s="71"/>
    </row>
    <row r="48" spans="1:15" x14ac:dyDescent="0.25">
      <c r="A48" s="71"/>
      <c r="B48" s="71">
        <v>19</v>
      </c>
      <c r="C48" s="80">
        <f>IF(ISERROR(VLOOKUP(D37, D30:AS49, 42, FALSE)),"", VLOOKUP(D37, D30:AS49, 42, FALSE))</f>
        <v>0</v>
      </c>
      <c r="D48" s="91" t="s">
        <v>128</v>
      </c>
      <c r="E48" s="92"/>
      <c r="F48" s="93"/>
      <c r="G48" s="84" t="str">
        <f>IF(ISERROR(VLOOKUP(D48, '[1]4. Billing Det. for Def-Var'!$A$16:$B$16, 2, FALSE)),"", VLOOKUP(D48,'[1]4. Billing Det. for Def-Var'!$A$16:$B$16, 2, FALSE))</f>
        <v/>
      </c>
      <c r="H48" s="85"/>
      <c r="I48" s="86"/>
      <c r="J48" s="87" t="str">
        <f t="shared" si="0"/>
        <v/>
      </c>
      <c r="K48" s="88"/>
      <c r="L48" s="88"/>
      <c r="M48" s="85"/>
      <c r="N48" s="89"/>
      <c r="O48" s="71"/>
    </row>
    <row r="49" spans="1:15" x14ac:dyDescent="0.25">
      <c r="A49" s="71"/>
      <c r="B49" s="71">
        <v>20</v>
      </c>
      <c r="C49" s="80">
        <f>IF(ISERROR(VLOOKUP(D38, D30:AS49, 42, FALSE)),"", VLOOKUP(D38, D30:AS49, 42, FALSE))</f>
        <v>0</v>
      </c>
      <c r="D49" s="91" t="s">
        <v>128</v>
      </c>
      <c r="E49" s="92"/>
      <c r="F49" s="93"/>
      <c r="G49" s="84" t="str">
        <f>IF(ISERROR(VLOOKUP(D49, '[1]4. Billing Det. for Def-Var'!$A$16:$B$16, 2, FALSE)),"", VLOOKUP(D49,'[1]4. Billing Det. for Def-Var'!$A$16:$B$16, 2, FALSE))</f>
        <v/>
      </c>
      <c r="H49" s="85"/>
      <c r="I49" s="86"/>
      <c r="J49" s="87" t="str">
        <f t="shared" si="0"/>
        <v/>
      </c>
      <c r="K49" s="88"/>
      <c r="L49" s="88"/>
      <c r="M49" s="85"/>
      <c r="N49" s="89"/>
      <c r="O49" s="71"/>
    </row>
    <row r="50" spans="1:15" x14ac:dyDescent="0.25">
      <c r="A50" s="71"/>
      <c r="B50" s="71"/>
      <c r="C50" s="72"/>
      <c r="D50" s="71"/>
      <c r="E50" s="71"/>
      <c r="F50" s="71"/>
      <c r="G50" s="71"/>
      <c r="H50" s="71"/>
      <c r="I50" s="71"/>
      <c r="J50" s="71"/>
      <c r="K50" s="71"/>
      <c r="L50" s="71"/>
      <c r="M50" s="71"/>
      <c r="N50" s="71"/>
      <c r="O50" s="71"/>
    </row>
    <row r="51" spans="1:15" ht="15.75" x14ac:dyDescent="0.25">
      <c r="A51" s="71"/>
      <c r="B51" s="71"/>
      <c r="C51" s="72"/>
      <c r="D51" s="75" t="s">
        <v>129</v>
      </c>
      <c r="E51" s="71"/>
      <c r="F51" s="71"/>
      <c r="G51" s="71"/>
      <c r="H51" s="71"/>
      <c r="I51" s="71"/>
      <c r="J51" s="71"/>
      <c r="K51" s="71"/>
      <c r="L51" s="71"/>
      <c r="M51" s="71"/>
      <c r="N51" s="71"/>
      <c r="O51" s="71"/>
    </row>
    <row r="52" spans="1:15" x14ac:dyDescent="0.25">
      <c r="A52" s="71"/>
      <c r="B52" s="71"/>
      <c r="C52" s="72"/>
      <c r="D52" s="281" t="s">
        <v>107</v>
      </c>
      <c r="E52" s="282"/>
      <c r="F52" s="283"/>
      <c r="G52" s="290" t="s">
        <v>108</v>
      </c>
      <c r="H52" s="291" t="s">
        <v>130</v>
      </c>
      <c r="I52" s="291"/>
      <c r="J52" s="291"/>
      <c r="K52" s="291"/>
      <c r="L52" s="291"/>
      <c r="M52" s="291"/>
      <c r="N52" s="291" t="s">
        <v>93</v>
      </c>
      <c r="O52" s="291"/>
    </row>
    <row r="53" spans="1:15" x14ac:dyDescent="0.25">
      <c r="A53" s="71"/>
      <c r="B53" s="71"/>
      <c r="C53" s="72"/>
      <c r="D53" s="284"/>
      <c r="E53" s="285"/>
      <c r="F53" s="286"/>
      <c r="G53" s="290"/>
      <c r="H53" s="292" t="s">
        <v>3</v>
      </c>
      <c r="I53" s="292"/>
      <c r="J53" s="292" t="s">
        <v>6</v>
      </c>
      <c r="K53" s="292"/>
      <c r="L53" s="292" t="s">
        <v>8</v>
      </c>
      <c r="M53" s="292"/>
      <c r="N53" s="292" t="s">
        <v>131</v>
      </c>
      <c r="O53" s="292"/>
    </row>
    <row r="54" spans="1:15" x14ac:dyDescent="0.25">
      <c r="A54" s="71"/>
      <c r="B54" s="71"/>
      <c r="C54" s="72"/>
      <c r="D54" s="287"/>
      <c r="E54" s="288"/>
      <c r="F54" s="289"/>
      <c r="G54" s="290"/>
      <c r="H54" s="94" t="s">
        <v>132</v>
      </c>
      <c r="I54" s="94" t="s">
        <v>133</v>
      </c>
      <c r="J54" s="94" t="s">
        <v>132</v>
      </c>
      <c r="K54" s="94" t="s">
        <v>133</v>
      </c>
      <c r="L54" s="94" t="s">
        <v>132</v>
      </c>
      <c r="M54" s="94" t="s">
        <v>133</v>
      </c>
      <c r="N54" s="94" t="s">
        <v>132</v>
      </c>
      <c r="O54" s="94" t="s">
        <v>133</v>
      </c>
    </row>
    <row r="55" spans="1:15" x14ac:dyDescent="0.25">
      <c r="A55" s="71"/>
      <c r="B55" s="71" t="str">
        <f>H30</f>
        <v>RPP</v>
      </c>
      <c r="C55" s="72">
        <v>1</v>
      </c>
      <c r="D55" s="293" t="str">
        <f t="shared" ref="D55:D74" si="1">IF(ISBLANK(D30), "", IF(D30 = "Add additional scenarios if required", "", IF(M30="YES", D30 &amp; " - " &amp; H30 &amp; " - Interval Customers", D30 &amp; " - " &amp;H30)))</f>
        <v>RESIDENTIAL SERVICE CLASSIFICATION - RPP</v>
      </c>
      <c r="E55" s="294"/>
      <c r="F55" s="294"/>
      <c r="G55" s="95" t="str">
        <f t="shared" ref="G55:G69" si="2">IF(ISBLANK(G30), "", G30)</f>
        <v/>
      </c>
      <c r="H55" s="96" t="str">
        <f>IF(LEN($G55)&gt;1, (SUMPRODUCT(--($C$78:$C$2000=$B30), --($A$78:$A$2000=$D30), --($B$78:$B$2000="ST_A"), $L$78:$L$2000)), "")</f>
        <v/>
      </c>
      <c r="I55" s="97" t="str">
        <f>IF(LEN($G55)&gt;1, (SUMPRODUCT(--($C$78:$C$2000=$B30), --($A$78:$A$2000=$D30), --($B$78:$B$2000="ST_A"), $M$78:$M$2000)), "")</f>
        <v/>
      </c>
      <c r="J55" s="96" t="str">
        <f>IF(LEN($G55)&gt;1, (SUMPRODUCT(--($C$78:$C$2000=$B30), --($A$78:$A$2000=$D30), --($B$78:$B$2000="ST_B"), $L$78:$L$2000)), "")</f>
        <v/>
      </c>
      <c r="K55" s="97" t="str">
        <f>IF(LEN($G55)&gt;1, (SUMPRODUCT(--($C$78:$C$2000=$B30), --($A$78:$A$2000=$D30), --($B$78:$B$2000="ST_B"), $M$78:$M$2000)), "")</f>
        <v/>
      </c>
      <c r="L55" s="96" t="str">
        <f>IF(LEN($G55)&gt;1, (SUMPRODUCT(--($C$78:$C$2000=$B30), --($A$78:$A$2000=$D30), --($B$78:$B$2000="ST_C"), $L$78:$L$2000)), "")</f>
        <v/>
      </c>
      <c r="M55" s="97" t="str">
        <f>IF(LEN($G55)&gt;1, (SUMPRODUCT(--($C$78:$C$2000=$B30), --($A$78:$A$2000=$D30), --($B$78:$B$2000="ST_C"), $M$78:$M$2000)), "")</f>
        <v/>
      </c>
      <c r="N55" s="96" t="str">
        <f>IF(LEN($G55)&gt;1, (SUMPRODUCT(--($C$78:$C$2000=$B30), --($A$78:$A$2000=$D30), --($B$78:$B$2000=$B55&amp;"_TOTAL"), $L$78:$L$2000)), "")</f>
        <v/>
      </c>
      <c r="O55" s="97" t="str">
        <f>IF(LEN($G55)&gt;1, (SUMPRODUCT(--($C$78:$C$2000=$B30), --($A$78:$A$2000=$D30), --($B$78:$B$2000=$B55&amp;"_TOTAL"), $M$78:$M$2000)), "")</f>
        <v/>
      </c>
    </row>
    <row r="56" spans="1:15" x14ac:dyDescent="0.25">
      <c r="A56" s="71"/>
      <c r="B56" s="71" t="str">
        <f t="shared" ref="B56:B74" si="3">H31</f>
        <v>RPP</v>
      </c>
      <c r="C56" s="72">
        <v>2</v>
      </c>
      <c r="D56" s="293" t="str">
        <f t="shared" si="1"/>
        <v>GENERAL SERVICE LESS THAN 50 KW SERVICE CLASSIFICATION - RPP</v>
      </c>
      <c r="E56" s="294"/>
      <c r="F56" s="294"/>
      <c r="G56" s="95" t="str">
        <f t="shared" si="2"/>
        <v/>
      </c>
      <c r="H56" s="96" t="str">
        <f t="shared" ref="H56:H74" si="4">IF(LEN($G56)&gt;1, (SUMPRODUCT(--($C$78:$C$2000=$B31), --($A$78:$A$2000=$D31), --($B$78:$B$2000="ST_A"), $L$78:$L$2000)), "")</f>
        <v/>
      </c>
      <c r="I56" s="97" t="str">
        <f t="shared" ref="I56:I74" si="5">IF(LEN($G56)&gt;1, (SUMPRODUCT(--($C$78:$C$2000=$B31), --($A$78:$A$2000=$D31), --($B$78:$B$2000="ST_A"), $M$78:$M$2000)), "")</f>
        <v/>
      </c>
      <c r="J56" s="96" t="str">
        <f t="shared" ref="J56:J74" si="6">IF(LEN($G56)&gt;1, (SUMPRODUCT(--($C$78:$C$2000=$B31), --($A$78:$A$2000=$D31), --($B$78:$B$2000="ST_B"), $L$78:$L$2000)), "")</f>
        <v/>
      </c>
      <c r="K56" s="97" t="str">
        <f t="shared" ref="K56:K74" si="7">IF(LEN($G56)&gt;1, (SUMPRODUCT(--($C$78:$C$2000=$B31), --($A$78:$A$2000=$D31), --($B$78:$B$2000="ST_B"), $M$78:$M$2000)), "")</f>
        <v/>
      </c>
      <c r="L56" s="96" t="str">
        <f t="shared" ref="L56:L74" si="8">IF(LEN($G56)&gt;1, (SUMPRODUCT(--($C$78:$C$2000=$B31), --($A$78:$A$2000=$D31), --($B$78:$B$2000="ST_C"), $L$78:$L$2000)), "")</f>
        <v/>
      </c>
      <c r="M56" s="97" t="str">
        <f t="shared" ref="M56:M74" si="9">IF(LEN($G56)&gt;1, (SUMPRODUCT(--($C$78:$C$2000=$B31), --($A$78:$A$2000=$D31), --($B$78:$B$2000="ST_C"), $M$78:$M$2000)), "")</f>
        <v/>
      </c>
      <c r="N56" s="96" t="str">
        <f t="shared" ref="N56:N74" si="10">IF(LEN($G56)&gt;1, (SUMPRODUCT(--($C$78:$C$2000=$B31), --($A$78:$A$2000=$D31), --($B$78:$B$2000=$B56&amp;"_TOTAL"), $L$78:$L$2000)), "")</f>
        <v/>
      </c>
      <c r="O56" s="97" t="str">
        <f t="shared" ref="O56:O74" si="11">IF(LEN($G56)&gt;1, (SUMPRODUCT(--($C$78:$C$2000=$B31), --($A$78:$A$2000=$D31), --($B$78:$B$2000=$B56&amp;"_TOTAL"), $M$78:$M$2000)), "")</f>
        <v/>
      </c>
    </row>
    <row r="57" spans="1:15" x14ac:dyDescent="0.25">
      <c r="A57" s="71"/>
      <c r="B57" s="71" t="str">
        <f t="shared" si="3"/>
        <v>Non-RPP (Other)</v>
      </c>
      <c r="C57" s="72">
        <v>3</v>
      </c>
      <c r="D57" s="293" t="str">
        <f t="shared" si="1"/>
        <v>GENERAL SERVICE 50 TO 999 KW SERVICE CLASSIFICATION - Non-RPP (Other)</v>
      </c>
      <c r="E57" s="294"/>
      <c r="F57" s="294"/>
      <c r="G57" s="95" t="str">
        <f t="shared" si="2"/>
        <v/>
      </c>
      <c r="H57" s="96" t="str">
        <f t="shared" si="4"/>
        <v/>
      </c>
      <c r="I57" s="97" t="str">
        <f t="shared" si="5"/>
        <v/>
      </c>
      <c r="J57" s="96" t="str">
        <f t="shared" si="6"/>
        <v/>
      </c>
      <c r="K57" s="97" t="str">
        <f t="shared" si="7"/>
        <v/>
      </c>
      <c r="L57" s="96" t="str">
        <f t="shared" si="8"/>
        <v/>
      </c>
      <c r="M57" s="97" t="str">
        <f t="shared" si="9"/>
        <v/>
      </c>
      <c r="N57" s="96" t="str">
        <f t="shared" si="10"/>
        <v/>
      </c>
      <c r="O57" s="97" t="str">
        <f t="shared" si="11"/>
        <v/>
      </c>
    </row>
    <row r="58" spans="1:15" x14ac:dyDescent="0.25">
      <c r="A58" s="71"/>
      <c r="B58" s="71" t="str">
        <f t="shared" si="3"/>
        <v>Non-RPP (Other)</v>
      </c>
      <c r="C58" s="72">
        <v>4</v>
      </c>
      <c r="D58" s="293" t="str">
        <f t="shared" si="1"/>
        <v>GENERAL SERVICE 1,000 TO 4,999 KW SERVICE CLASSIFICATION - Non-RPP (Other)</v>
      </c>
      <c r="E58" s="294"/>
      <c r="F58" s="294"/>
      <c r="G58" s="95" t="str">
        <f t="shared" si="2"/>
        <v/>
      </c>
      <c r="H58" s="96" t="str">
        <f t="shared" si="4"/>
        <v/>
      </c>
      <c r="I58" s="97" t="str">
        <f t="shared" si="5"/>
        <v/>
      </c>
      <c r="J58" s="96" t="str">
        <f t="shared" si="6"/>
        <v/>
      </c>
      <c r="K58" s="97" t="str">
        <f t="shared" si="7"/>
        <v/>
      </c>
      <c r="L58" s="96" t="str">
        <f t="shared" si="8"/>
        <v/>
      </c>
      <c r="M58" s="97" t="str">
        <f t="shared" si="9"/>
        <v/>
      </c>
      <c r="N58" s="96" t="str">
        <f t="shared" si="10"/>
        <v/>
      </c>
      <c r="O58" s="97" t="str">
        <f t="shared" si="11"/>
        <v/>
      </c>
    </row>
    <row r="59" spans="1:15" x14ac:dyDescent="0.25">
      <c r="A59" s="71"/>
      <c r="B59" s="71" t="str">
        <f t="shared" si="3"/>
        <v>RPP</v>
      </c>
      <c r="C59" s="72">
        <v>5</v>
      </c>
      <c r="D59" s="293" t="str">
        <f t="shared" si="1"/>
        <v>UNMETERED SCATTERED LOAD SERVICE CLASSIFICATION - RPP</v>
      </c>
      <c r="E59" s="294"/>
      <c r="F59" s="294"/>
      <c r="G59" s="95" t="str">
        <f t="shared" si="2"/>
        <v/>
      </c>
      <c r="H59" s="96" t="str">
        <f t="shared" si="4"/>
        <v/>
      </c>
      <c r="I59" s="97" t="str">
        <f t="shared" si="5"/>
        <v/>
      </c>
      <c r="J59" s="96" t="str">
        <f t="shared" si="6"/>
        <v/>
      </c>
      <c r="K59" s="97" t="str">
        <f t="shared" si="7"/>
        <v/>
      </c>
      <c r="L59" s="96" t="str">
        <f t="shared" si="8"/>
        <v/>
      </c>
      <c r="M59" s="97" t="str">
        <f t="shared" si="9"/>
        <v/>
      </c>
      <c r="N59" s="96" t="str">
        <f t="shared" si="10"/>
        <v/>
      </c>
      <c r="O59" s="97" t="str">
        <f t="shared" si="11"/>
        <v/>
      </c>
    </row>
    <row r="60" spans="1:15" x14ac:dyDescent="0.25">
      <c r="A60" s="71"/>
      <c r="B60" s="71" t="str">
        <f t="shared" si="3"/>
        <v>RPP</v>
      </c>
      <c r="C60" s="72">
        <v>6</v>
      </c>
      <c r="D60" s="293" t="str">
        <f t="shared" si="1"/>
        <v>SENTINEL LIGHTING SERVICE CLASSIFICATION - RPP</v>
      </c>
      <c r="E60" s="294"/>
      <c r="F60" s="294"/>
      <c r="G60" s="95" t="str">
        <f t="shared" si="2"/>
        <v/>
      </c>
      <c r="H60" s="96" t="str">
        <f t="shared" si="4"/>
        <v/>
      </c>
      <c r="I60" s="97" t="str">
        <f t="shared" si="5"/>
        <v/>
      </c>
      <c r="J60" s="96" t="str">
        <f t="shared" si="6"/>
        <v/>
      </c>
      <c r="K60" s="97" t="str">
        <f t="shared" si="7"/>
        <v/>
      </c>
      <c r="L60" s="96" t="str">
        <f t="shared" si="8"/>
        <v/>
      </c>
      <c r="M60" s="97" t="str">
        <f t="shared" si="9"/>
        <v/>
      </c>
      <c r="N60" s="96" t="str">
        <f t="shared" si="10"/>
        <v/>
      </c>
      <c r="O60" s="97" t="str">
        <f t="shared" si="11"/>
        <v/>
      </c>
    </row>
    <row r="61" spans="1:15" x14ac:dyDescent="0.25">
      <c r="A61" s="71"/>
      <c r="B61" s="71" t="str">
        <f t="shared" si="3"/>
        <v>Non-RPP (Other)</v>
      </c>
      <c r="C61" s="72">
        <v>7</v>
      </c>
      <c r="D61" s="293" t="str">
        <f t="shared" si="1"/>
        <v>STREET LIGHTING SERVICE CLASSIFICATION - Non-RPP (Other)</v>
      </c>
      <c r="E61" s="294"/>
      <c r="F61" s="294"/>
      <c r="G61" s="95" t="str">
        <f t="shared" si="2"/>
        <v/>
      </c>
      <c r="H61" s="96" t="str">
        <f t="shared" si="4"/>
        <v/>
      </c>
      <c r="I61" s="97" t="str">
        <f t="shared" si="5"/>
        <v/>
      </c>
      <c r="J61" s="96" t="str">
        <f t="shared" si="6"/>
        <v/>
      </c>
      <c r="K61" s="97" t="str">
        <f t="shared" si="7"/>
        <v/>
      </c>
      <c r="L61" s="96" t="str">
        <f t="shared" si="8"/>
        <v/>
      </c>
      <c r="M61" s="97" t="str">
        <f t="shared" si="9"/>
        <v/>
      </c>
      <c r="N61" s="96" t="str">
        <f t="shared" si="10"/>
        <v/>
      </c>
      <c r="O61" s="97" t="str">
        <f t="shared" si="11"/>
        <v/>
      </c>
    </row>
    <row r="62" spans="1:15" x14ac:dyDescent="0.25">
      <c r="A62" s="71"/>
      <c r="B62" s="71" t="str">
        <f t="shared" si="3"/>
        <v>RPP</v>
      </c>
      <c r="C62" s="72">
        <v>8</v>
      </c>
      <c r="D62" s="293" t="str">
        <f t="shared" si="1"/>
        <v>RESIDENTIAL SERVICE CLASSIFICATION - RPP</v>
      </c>
      <c r="E62" s="294"/>
      <c r="F62" s="294"/>
      <c r="G62" s="95" t="str">
        <f t="shared" si="2"/>
        <v/>
      </c>
      <c r="H62" s="96" t="str">
        <f t="shared" si="4"/>
        <v/>
      </c>
      <c r="I62" s="97" t="str">
        <f t="shared" si="5"/>
        <v/>
      </c>
      <c r="J62" s="96" t="str">
        <f t="shared" si="6"/>
        <v/>
      </c>
      <c r="K62" s="97" t="str">
        <f t="shared" si="7"/>
        <v/>
      </c>
      <c r="L62" s="96" t="str">
        <f t="shared" si="8"/>
        <v/>
      </c>
      <c r="M62" s="97" t="str">
        <f t="shared" si="9"/>
        <v/>
      </c>
      <c r="N62" s="96" t="str">
        <f t="shared" si="10"/>
        <v/>
      </c>
      <c r="O62" s="97" t="str">
        <f t="shared" si="11"/>
        <v/>
      </c>
    </row>
    <row r="63" spans="1:15" x14ac:dyDescent="0.25">
      <c r="A63" s="71"/>
      <c r="B63" s="71" t="str">
        <f t="shared" si="3"/>
        <v>RPP</v>
      </c>
      <c r="C63" s="72">
        <v>9</v>
      </c>
      <c r="D63" s="293" t="str">
        <f t="shared" si="1"/>
        <v>RESIDENTIAL SERVICE CLASSIFICATION - RPP</v>
      </c>
      <c r="E63" s="294"/>
      <c r="F63" s="294"/>
      <c r="G63" s="95" t="str">
        <f t="shared" si="2"/>
        <v/>
      </c>
      <c r="H63" s="96" t="str">
        <f t="shared" si="4"/>
        <v/>
      </c>
      <c r="I63" s="97" t="str">
        <f t="shared" si="5"/>
        <v/>
      </c>
      <c r="J63" s="96" t="str">
        <f t="shared" si="6"/>
        <v/>
      </c>
      <c r="K63" s="97" t="str">
        <f t="shared" si="7"/>
        <v/>
      </c>
      <c r="L63" s="96" t="str">
        <f t="shared" si="8"/>
        <v/>
      </c>
      <c r="M63" s="97" t="str">
        <f t="shared" si="9"/>
        <v/>
      </c>
      <c r="N63" s="96" t="str">
        <f t="shared" si="10"/>
        <v/>
      </c>
      <c r="O63" s="97" t="str">
        <f t="shared" si="11"/>
        <v/>
      </c>
    </row>
    <row r="64" spans="1:15" x14ac:dyDescent="0.25">
      <c r="A64" s="71"/>
      <c r="B64" s="71" t="str">
        <f t="shared" si="3"/>
        <v>RPP</v>
      </c>
      <c r="C64" s="72">
        <v>10</v>
      </c>
      <c r="D64" s="293" t="str">
        <f t="shared" si="1"/>
        <v>RESIDENTIAL SERVICE CLASSIFICATION - RPP</v>
      </c>
      <c r="E64" s="294"/>
      <c r="F64" s="294"/>
      <c r="G64" s="95" t="str">
        <f t="shared" si="2"/>
        <v/>
      </c>
      <c r="H64" s="96" t="str">
        <f t="shared" si="4"/>
        <v/>
      </c>
      <c r="I64" s="97" t="str">
        <f t="shared" si="5"/>
        <v/>
      </c>
      <c r="J64" s="96" t="str">
        <f t="shared" si="6"/>
        <v/>
      </c>
      <c r="K64" s="97" t="str">
        <f t="shared" si="7"/>
        <v/>
      </c>
      <c r="L64" s="96" t="str">
        <f t="shared" si="8"/>
        <v/>
      </c>
      <c r="M64" s="97" t="str">
        <f t="shared" si="9"/>
        <v/>
      </c>
      <c r="N64" s="96" t="str">
        <f t="shared" si="10"/>
        <v/>
      </c>
      <c r="O64" s="97" t="str">
        <f t="shared" si="11"/>
        <v/>
      </c>
    </row>
    <row r="65" spans="1:15" x14ac:dyDescent="0.25">
      <c r="A65" s="71"/>
      <c r="B65" s="71" t="str">
        <f t="shared" si="3"/>
        <v>RPP</v>
      </c>
      <c r="C65" s="72">
        <v>11</v>
      </c>
      <c r="D65" s="293" t="str">
        <f t="shared" si="1"/>
        <v>GENERAL SERVICE LESS THAN 50 KW SERVICE CLASSIFICATION - RPP</v>
      </c>
      <c r="E65" s="294"/>
      <c r="F65" s="294"/>
      <c r="G65" s="95" t="str">
        <f t="shared" si="2"/>
        <v/>
      </c>
      <c r="H65" s="96" t="str">
        <f t="shared" si="4"/>
        <v/>
      </c>
      <c r="I65" s="97" t="str">
        <f t="shared" si="5"/>
        <v/>
      </c>
      <c r="J65" s="96" t="str">
        <f t="shared" si="6"/>
        <v/>
      </c>
      <c r="K65" s="97" t="str">
        <f t="shared" si="7"/>
        <v/>
      </c>
      <c r="L65" s="96" t="str">
        <f t="shared" si="8"/>
        <v/>
      </c>
      <c r="M65" s="97" t="str">
        <f t="shared" si="9"/>
        <v/>
      </c>
      <c r="N65" s="96" t="str">
        <f t="shared" si="10"/>
        <v/>
      </c>
      <c r="O65" s="97" t="str">
        <f t="shared" si="11"/>
        <v/>
      </c>
    </row>
    <row r="66" spans="1:15" x14ac:dyDescent="0.25">
      <c r="A66" s="71"/>
      <c r="B66" s="71" t="str">
        <f t="shared" si="3"/>
        <v>RPP</v>
      </c>
      <c r="C66" s="72">
        <v>12</v>
      </c>
      <c r="D66" s="293" t="str">
        <f t="shared" si="1"/>
        <v>GENERAL SERVICE LESS THAN 50 KW SERVICE CLASSIFICATION - RPP</v>
      </c>
      <c r="E66" s="294"/>
      <c r="F66" s="294"/>
      <c r="G66" s="95" t="str">
        <f t="shared" si="2"/>
        <v/>
      </c>
      <c r="H66" s="96" t="str">
        <f t="shared" si="4"/>
        <v/>
      </c>
      <c r="I66" s="97" t="str">
        <f t="shared" si="5"/>
        <v/>
      </c>
      <c r="J66" s="96" t="str">
        <f t="shared" si="6"/>
        <v/>
      </c>
      <c r="K66" s="97" t="str">
        <f t="shared" si="7"/>
        <v/>
      </c>
      <c r="L66" s="96" t="str">
        <f t="shared" si="8"/>
        <v/>
      </c>
      <c r="M66" s="97" t="str">
        <f t="shared" si="9"/>
        <v/>
      </c>
      <c r="N66" s="96" t="str">
        <f t="shared" si="10"/>
        <v/>
      </c>
      <c r="O66" s="97" t="str">
        <f t="shared" si="11"/>
        <v/>
      </c>
    </row>
    <row r="67" spans="1:15" x14ac:dyDescent="0.25">
      <c r="A67" s="71"/>
      <c r="B67" s="71" t="str">
        <f t="shared" si="3"/>
        <v>RPP</v>
      </c>
      <c r="C67" s="72">
        <v>13</v>
      </c>
      <c r="D67" s="293" t="str">
        <f t="shared" si="1"/>
        <v>GENERAL SERVICE LESS THAN 50 KW SERVICE CLASSIFICATION - RPP</v>
      </c>
      <c r="E67" s="294"/>
      <c r="F67" s="294"/>
      <c r="G67" s="95" t="str">
        <f t="shared" si="2"/>
        <v/>
      </c>
      <c r="H67" s="96" t="str">
        <f t="shared" si="4"/>
        <v/>
      </c>
      <c r="I67" s="97" t="str">
        <f t="shared" si="5"/>
        <v/>
      </c>
      <c r="J67" s="96" t="str">
        <f t="shared" si="6"/>
        <v/>
      </c>
      <c r="K67" s="97" t="str">
        <f t="shared" si="7"/>
        <v/>
      </c>
      <c r="L67" s="96" t="str">
        <f t="shared" si="8"/>
        <v/>
      </c>
      <c r="M67" s="97" t="str">
        <f t="shared" si="9"/>
        <v/>
      </c>
      <c r="N67" s="96" t="str">
        <f t="shared" si="10"/>
        <v/>
      </c>
      <c r="O67" s="97" t="str">
        <f t="shared" si="11"/>
        <v/>
      </c>
    </row>
    <row r="68" spans="1:15" x14ac:dyDescent="0.25">
      <c r="A68" s="71"/>
      <c r="B68" s="71" t="str">
        <f t="shared" si="3"/>
        <v>Non-RPP (Other)</v>
      </c>
      <c r="C68" s="72">
        <v>14</v>
      </c>
      <c r="D68" s="293" t="str">
        <f t="shared" si="1"/>
        <v>GENERAL SERVICE 50 TO 999 KW SERVICE CLASSIFICATION - Non-RPP (Other)</v>
      </c>
      <c r="E68" s="294"/>
      <c r="F68" s="294"/>
      <c r="G68" s="95" t="str">
        <f t="shared" si="2"/>
        <v/>
      </c>
      <c r="H68" s="96" t="str">
        <f t="shared" si="4"/>
        <v/>
      </c>
      <c r="I68" s="97" t="str">
        <f t="shared" si="5"/>
        <v/>
      </c>
      <c r="J68" s="96" t="str">
        <f t="shared" si="6"/>
        <v/>
      </c>
      <c r="K68" s="97" t="str">
        <f t="shared" si="7"/>
        <v/>
      </c>
      <c r="L68" s="96" t="str">
        <f t="shared" si="8"/>
        <v/>
      </c>
      <c r="M68" s="97" t="str">
        <f t="shared" si="9"/>
        <v/>
      </c>
      <c r="N68" s="96" t="str">
        <f t="shared" si="10"/>
        <v/>
      </c>
      <c r="O68" s="97" t="str">
        <f t="shared" si="11"/>
        <v/>
      </c>
    </row>
    <row r="69" spans="1:15" x14ac:dyDescent="0.25">
      <c r="A69" s="71"/>
      <c r="B69" s="71" t="str">
        <f t="shared" si="3"/>
        <v>Non-RPP (Other)</v>
      </c>
      <c r="C69" s="72">
        <v>15</v>
      </c>
      <c r="D69" s="293" t="str">
        <f t="shared" si="1"/>
        <v>GENERAL SERVICE 50 TO 999 KW SERVICE CLASSIFICATION - Non-RPP (Other)</v>
      </c>
      <c r="E69" s="294"/>
      <c r="F69" s="294"/>
      <c r="G69" s="95" t="str">
        <f t="shared" si="2"/>
        <v/>
      </c>
      <c r="H69" s="96" t="str">
        <f t="shared" si="4"/>
        <v/>
      </c>
      <c r="I69" s="97" t="str">
        <f t="shared" si="5"/>
        <v/>
      </c>
      <c r="J69" s="96" t="str">
        <f t="shared" si="6"/>
        <v/>
      </c>
      <c r="K69" s="97" t="str">
        <f t="shared" si="7"/>
        <v/>
      </c>
      <c r="L69" s="96" t="str">
        <f t="shared" si="8"/>
        <v/>
      </c>
      <c r="M69" s="97" t="str">
        <f t="shared" si="9"/>
        <v/>
      </c>
      <c r="N69" s="96" t="str">
        <f t="shared" si="10"/>
        <v/>
      </c>
      <c r="O69" s="97" t="str">
        <f t="shared" si="11"/>
        <v/>
      </c>
    </row>
    <row r="70" spans="1:15" x14ac:dyDescent="0.25">
      <c r="A70" s="71"/>
      <c r="B70" s="71" t="str">
        <f t="shared" si="3"/>
        <v>Non-RPP (Other)</v>
      </c>
      <c r="C70" s="72">
        <v>16</v>
      </c>
      <c r="D70" s="293" t="str">
        <f t="shared" si="1"/>
        <v>GENERAL SERVICE 1,000 TO 4,999 KW SERVICE CLASSIFICATION - Non-RPP (Other)</v>
      </c>
      <c r="E70" s="294"/>
      <c r="F70" s="294"/>
      <c r="G70" s="95" t="str">
        <f>IF(ISBLANK(G45), "", G45)</f>
        <v/>
      </c>
      <c r="H70" s="96" t="str">
        <f t="shared" si="4"/>
        <v/>
      </c>
      <c r="I70" s="97" t="str">
        <f t="shared" si="5"/>
        <v/>
      </c>
      <c r="J70" s="96" t="str">
        <f t="shared" si="6"/>
        <v/>
      </c>
      <c r="K70" s="97" t="str">
        <f t="shared" si="7"/>
        <v/>
      </c>
      <c r="L70" s="96" t="str">
        <f t="shared" si="8"/>
        <v/>
      </c>
      <c r="M70" s="97" t="str">
        <f t="shared" si="9"/>
        <v/>
      </c>
      <c r="N70" s="96" t="str">
        <f t="shared" si="10"/>
        <v/>
      </c>
      <c r="O70" s="97" t="str">
        <f t="shared" si="11"/>
        <v/>
      </c>
    </row>
    <row r="71" spans="1:15" x14ac:dyDescent="0.25">
      <c r="A71" s="71"/>
      <c r="B71" s="71" t="str">
        <f t="shared" si="3"/>
        <v>Non-RPP (Other)</v>
      </c>
      <c r="C71" s="72">
        <v>17</v>
      </c>
      <c r="D71" s="293" t="str">
        <f t="shared" si="1"/>
        <v>GENERAL SERVICE 1,000 TO 4,999 KW SERVICE CLASSIFICATION - Non-RPP (Other)</v>
      </c>
      <c r="E71" s="294"/>
      <c r="F71" s="294"/>
      <c r="G71" s="95" t="str">
        <f>IF(ISBLANK(G46), "", G46)</f>
        <v/>
      </c>
      <c r="H71" s="96" t="str">
        <f t="shared" si="4"/>
        <v/>
      </c>
      <c r="I71" s="97" t="str">
        <f t="shared" si="5"/>
        <v/>
      </c>
      <c r="J71" s="96" t="str">
        <f t="shared" si="6"/>
        <v/>
      </c>
      <c r="K71" s="97" t="str">
        <f t="shared" si="7"/>
        <v/>
      </c>
      <c r="L71" s="96" t="str">
        <f t="shared" si="8"/>
        <v/>
      </c>
      <c r="M71" s="97" t="str">
        <f t="shared" si="9"/>
        <v/>
      </c>
      <c r="N71" s="96" t="str">
        <f t="shared" si="10"/>
        <v/>
      </c>
      <c r="O71" s="97" t="str">
        <f t="shared" si="11"/>
        <v/>
      </c>
    </row>
    <row r="72" spans="1:15" x14ac:dyDescent="0.25">
      <c r="A72" s="71"/>
      <c r="B72" s="71" t="str">
        <f t="shared" si="3"/>
        <v>RPP</v>
      </c>
      <c r="C72" s="72">
        <v>18</v>
      </c>
      <c r="D72" s="293" t="str">
        <f t="shared" si="1"/>
        <v>GENERAL SERVICE 50 TO 999 KW SERVICE CLASSIFICATION - RPP</v>
      </c>
      <c r="E72" s="294"/>
      <c r="F72" s="294"/>
      <c r="G72" s="95" t="str">
        <f>IF(ISBLANK(G47), "", G47)</f>
        <v/>
      </c>
      <c r="H72" s="96" t="str">
        <f t="shared" si="4"/>
        <v/>
      </c>
      <c r="I72" s="97" t="str">
        <f t="shared" si="5"/>
        <v/>
      </c>
      <c r="J72" s="96" t="str">
        <f t="shared" si="6"/>
        <v/>
      </c>
      <c r="K72" s="97" t="str">
        <f t="shared" si="7"/>
        <v/>
      </c>
      <c r="L72" s="96" t="str">
        <f t="shared" si="8"/>
        <v/>
      </c>
      <c r="M72" s="97" t="str">
        <f t="shared" si="9"/>
        <v/>
      </c>
      <c r="N72" s="96" t="str">
        <f t="shared" si="10"/>
        <v/>
      </c>
      <c r="O72" s="97" t="str">
        <f t="shared" si="11"/>
        <v/>
      </c>
    </row>
    <row r="73" spans="1:15" x14ac:dyDescent="0.25">
      <c r="A73" s="71"/>
      <c r="B73" s="71">
        <f t="shared" si="3"/>
        <v>0</v>
      </c>
      <c r="C73" s="72">
        <v>19</v>
      </c>
      <c r="D73" s="293" t="str">
        <f t="shared" si="1"/>
        <v/>
      </c>
      <c r="E73" s="294"/>
      <c r="F73" s="294"/>
      <c r="G73" s="95" t="str">
        <f>IF(ISBLANK(G48), "", G48)</f>
        <v/>
      </c>
      <c r="H73" s="96" t="str">
        <f t="shared" si="4"/>
        <v/>
      </c>
      <c r="I73" s="97" t="str">
        <f t="shared" si="5"/>
        <v/>
      </c>
      <c r="J73" s="96" t="str">
        <f t="shared" si="6"/>
        <v/>
      </c>
      <c r="K73" s="97" t="str">
        <f t="shared" si="7"/>
        <v/>
      </c>
      <c r="L73" s="96" t="str">
        <f t="shared" si="8"/>
        <v/>
      </c>
      <c r="M73" s="97" t="str">
        <f t="shared" si="9"/>
        <v/>
      </c>
      <c r="N73" s="96" t="str">
        <f t="shared" si="10"/>
        <v/>
      </c>
      <c r="O73" s="97" t="str">
        <f t="shared" si="11"/>
        <v/>
      </c>
    </row>
    <row r="74" spans="1:15" x14ac:dyDescent="0.25">
      <c r="A74" s="71"/>
      <c r="B74" s="71">
        <f t="shared" si="3"/>
        <v>0</v>
      </c>
      <c r="C74" s="72">
        <v>20</v>
      </c>
      <c r="D74" s="293" t="str">
        <f t="shared" si="1"/>
        <v/>
      </c>
      <c r="E74" s="294"/>
      <c r="F74" s="294"/>
      <c r="G74" s="95" t="str">
        <f>IF(ISBLANK(G49), "", G49)</f>
        <v/>
      </c>
      <c r="H74" s="96" t="str">
        <f t="shared" si="4"/>
        <v/>
      </c>
      <c r="I74" s="97" t="str">
        <f t="shared" si="5"/>
        <v/>
      </c>
      <c r="J74" s="96" t="str">
        <f t="shared" si="6"/>
        <v/>
      </c>
      <c r="K74" s="97" t="str">
        <f t="shared" si="7"/>
        <v/>
      </c>
      <c r="L74" s="96" t="str">
        <f t="shared" si="8"/>
        <v/>
      </c>
      <c r="M74" s="97" t="str">
        <f t="shared" si="9"/>
        <v/>
      </c>
      <c r="N74" s="96" t="str">
        <f t="shared" si="10"/>
        <v/>
      </c>
      <c r="O74" s="97" t="str">
        <f t="shared" si="11"/>
        <v/>
      </c>
    </row>
    <row r="75" spans="1:15" x14ac:dyDescent="0.25">
      <c r="A75" s="71"/>
      <c r="B75" s="71"/>
      <c r="C75" s="72"/>
      <c r="D75" s="71"/>
      <c r="E75" s="71"/>
      <c r="F75" s="71"/>
      <c r="G75" s="71"/>
      <c r="H75" s="71"/>
      <c r="I75" s="71"/>
      <c r="J75" s="71"/>
      <c r="K75" s="71"/>
      <c r="L75" s="71"/>
      <c r="M75" s="71"/>
      <c r="N75" s="71"/>
      <c r="O75" s="71"/>
    </row>
    <row r="76" spans="1:15" x14ac:dyDescent="0.25">
      <c r="A76" s="98"/>
      <c r="B76" s="98"/>
      <c r="C76" s="99"/>
      <c r="D76" s="98"/>
      <c r="E76" s="98"/>
      <c r="F76" s="98"/>
      <c r="G76" s="98"/>
      <c r="H76" s="98"/>
      <c r="I76" s="98"/>
      <c r="J76" s="98"/>
      <c r="K76" s="98"/>
      <c r="L76" s="98"/>
      <c r="M76" s="98"/>
      <c r="N76" s="98"/>
      <c r="O76" s="98"/>
    </row>
    <row r="77" spans="1:15" x14ac:dyDescent="0.25">
      <c r="A77" s="71"/>
      <c r="B77" s="71"/>
      <c r="C77" s="72"/>
      <c r="D77" s="71"/>
      <c r="E77" s="71"/>
      <c r="F77" s="71"/>
      <c r="G77" s="71"/>
      <c r="H77" s="71"/>
      <c r="I77" s="71"/>
      <c r="J77" s="71"/>
      <c r="K77" s="71"/>
      <c r="L77" s="71"/>
      <c r="M77" s="71"/>
      <c r="N77" s="71"/>
      <c r="O77" s="71"/>
    </row>
    <row r="78" spans="1:15" x14ac:dyDescent="0.25">
      <c r="C78" s="100"/>
      <c r="D78" s="101" t="s">
        <v>134</v>
      </c>
      <c r="E78" s="302" t="str">
        <f>D30</f>
        <v>RESIDENTIAL SERVICE CLASSIFICATION</v>
      </c>
      <c r="F78" s="302"/>
      <c r="G78" s="302"/>
      <c r="H78" s="302"/>
      <c r="I78" s="302"/>
      <c r="J78" s="302"/>
      <c r="K78" s="100" t="str">
        <f>IF(N30="DEMAND - INTERVAL","RTSR - INTERVAL METERED","")</f>
        <v/>
      </c>
    </row>
    <row r="79" spans="1:15" x14ac:dyDescent="0.25">
      <c r="C79" s="100"/>
      <c r="D79" s="101" t="s">
        <v>135</v>
      </c>
      <c r="E79" s="303" t="str">
        <f>H30</f>
        <v>RPP</v>
      </c>
      <c r="F79" s="303"/>
      <c r="G79" s="303"/>
      <c r="H79" s="102"/>
      <c r="I79" s="102"/>
    </row>
    <row r="80" spans="1:15" ht="15.75" x14ac:dyDescent="0.25">
      <c r="C80" s="100"/>
      <c r="D80" s="101" t="s">
        <v>136</v>
      </c>
      <c r="E80" s="103">
        <f>K30</f>
        <v>750</v>
      </c>
      <c r="F80" s="104" t="s">
        <v>137</v>
      </c>
      <c r="G80" s="105"/>
      <c r="J80" s="106"/>
      <c r="K80" s="106"/>
      <c r="L80" s="106"/>
      <c r="M80" s="106"/>
    </row>
    <row r="81" spans="1:13" ht="15.75" x14ac:dyDescent="0.25">
      <c r="C81" s="100"/>
      <c r="D81" s="101" t="s">
        <v>138</v>
      </c>
      <c r="E81" s="103">
        <f>L30</f>
        <v>0</v>
      </c>
      <c r="F81" s="107" t="s">
        <v>139</v>
      </c>
      <c r="G81" s="108"/>
      <c r="H81" s="109"/>
      <c r="I81" s="109"/>
      <c r="J81" s="109"/>
    </row>
    <row r="82" spans="1:13" x14ac:dyDescent="0.25">
      <c r="C82" s="100"/>
      <c r="D82" s="101" t="s">
        <v>140</v>
      </c>
      <c r="E82" s="110">
        <f>I30</f>
        <v>1.056</v>
      </c>
    </row>
    <row r="83" spans="1:13" x14ac:dyDescent="0.25">
      <c r="C83" s="100"/>
      <c r="D83" s="101" t="s">
        <v>141</v>
      </c>
      <c r="E83" s="110">
        <f>J30</f>
        <v>1.056</v>
      </c>
    </row>
    <row r="84" spans="1:13" x14ac:dyDescent="0.25">
      <c r="C84" s="100"/>
      <c r="D84" s="105"/>
    </row>
    <row r="85" spans="1:13" x14ac:dyDescent="0.25">
      <c r="C85" s="100"/>
      <c r="D85" s="105"/>
      <c r="E85" s="111"/>
      <c r="F85" s="304" t="s">
        <v>142</v>
      </c>
      <c r="G85" s="305"/>
      <c r="H85" s="306"/>
      <c r="I85" s="304" t="s">
        <v>143</v>
      </c>
      <c r="J85" s="305"/>
      <c r="K85" s="306"/>
      <c r="L85" s="304" t="s">
        <v>144</v>
      </c>
      <c r="M85" s="306"/>
    </row>
    <row r="86" spans="1:13" x14ac:dyDescent="0.25">
      <c r="C86" s="100"/>
      <c r="D86" s="105"/>
      <c r="E86" s="295"/>
      <c r="F86" s="112" t="s">
        <v>145</v>
      </c>
      <c r="G86" s="112" t="s">
        <v>146</v>
      </c>
      <c r="H86" s="113" t="s">
        <v>147</v>
      </c>
      <c r="I86" s="112" t="s">
        <v>145</v>
      </c>
      <c r="J86" s="114" t="s">
        <v>146</v>
      </c>
      <c r="K86" s="113" t="s">
        <v>147</v>
      </c>
      <c r="L86" s="297" t="s">
        <v>148</v>
      </c>
      <c r="M86" s="299" t="s">
        <v>149</v>
      </c>
    </row>
    <row r="87" spans="1:13" x14ac:dyDescent="0.25">
      <c r="C87" s="100"/>
      <c r="D87" s="105"/>
      <c r="E87" s="296"/>
      <c r="F87" s="115" t="s">
        <v>150</v>
      </c>
      <c r="G87" s="115"/>
      <c r="H87" s="116" t="s">
        <v>150</v>
      </c>
      <c r="I87" s="115" t="s">
        <v>150</v>
      </c>
      <c r="J87" s="116"/>
      <c r="K87" s="116" t="s">
        <v>150</v>
      </c>
      <c r="L87" s="298"/>
      <c r="M87" s="300"/>
    </row>
    <row r="88" spans="1:13" x14ac:dyDescent="0.25">
      <c r="A88" s="100" t="str">
        <f>$E78</f>
        <v>RESIDENTIAL SERVICE CLASSIFICATION</v>
      </c>
      <c r="C88" s="117"/>
      <c r="D88" s="118" t="s">
        <v>151</v>
      </c>
      <c r="E88" s="119"/>
      <c r="F88" s="120">
        <v>23.48</v>
      </c>
      <c r="G88" s="121">
        <v>1</v>
      </c>
      <c r="H88" s="122">
        <f>G88*F88</f>
        <v>23.48</v>
      </c>
      <c r="I88" s="123">
        <v>23.48</v>
      </c>
      <c r="J88" s="124">
        <f>G88</f>
        <v>1</v>
      </c>
      <c r="K88" s="122">
        <f>J88*I88</f>
        <v>23.48</v>
      </c>
      <c r="L88" s="125">
        <f t="shared" ref="L88:L109" si="12">K88-H88</f>
        <v>0</v>
      </c>
      <c r="M88" s="126">
        <f>IF(ISERROR(L88/H88), "", L88/H88)</f>
        <v>0</v>
      </c>
    </row>
    <row r="89" spans="1:13" x14ac:dyDescent="0.25">
      <c r="A89" s="100" t="str">
        <f>A88</f>
        <v>RESIDENTIAL SERVICE CLASSIFICATION</v>
      </c>
      <c r="C89" s="117"/>
      <c r="D89" s="118" t="s">
        <v>152</v>
      </c>
      <c r="E89" s="119"/>
      <c r="F89" s="127">
        <v>3.3999999999999998E-3</v>
      </c>
      <c r="G89" s="121">
        <f>IF($E81&gt;0, $E81, $E80)</f>
        <v>750</v>
      </c>
      <c r="H89" s="122">
        <f t="shared" ref="H89:H101" si="13">G89*F89</f>
        <v>2.5499999999999998</v>
      </c>
      <c r="I89" s="128">
        <v>3.3999999999999998E-3</v>
      </c>
      <c r="J89" s="124">
        <f>IF($E81&gt;0, $E81, $E80)</f>
        <v>750</v>
      </c>
      <c r="K89" s="122">
        <f>J89*I89</f>
        <v>2.5499999999999998</v>
      </c>
      <c r="L89" s="125">
        <f t="shared" si="12"/>
        <v>0</v>
      </c>
      <c r="M89" s="126">
        <f t="shared" ref="M89:M99" si="14">IF(ISERROR(L89/H89), "", L89/H89)</f>
        <v>0</v>
      </c>
    </row>
    <row r="90" spans="1:13" x14ac:dyDescent="0.25">
      <c r="A90" s="100" t="str">
        <f t="shared" ref="A90:A131" si="15">A89</f>
        <v>RESIDENTIAL SERVICE CLASSIFICATION</v>
      </c>
      <c r="C90" s="117"/>
      <c r="D90" s="118" t="s">
        <v>153</v>
      </c>
      <c r="E90" s="119"/>
      <c r="F90" s="127"/>
      <c r="G90" s="121">
        <f>IF($E81&gt;0, $E81, $E80)</f>
        <v>750</v>
      </c>
      <c r="H90" s="122">
        <v>0</v>
      </c>
      <c r="I90" s="128"/>
      <c r="J90" s="124">
        <f>IF($E81&gt;0, $E81, $E80)</f>
        <v>750</v>
      </c>
      <c r="K90" s="122">
        <v>0</v>
      </c>
      <c r="L90" s="125"/>
      <c r="M90" s="126"/>
    </row>
    <row r="91" spans="1:13" x14ac:dyDescent="0.25">
      <c r="A91" s="100" t="str">
        <f t="shared" si="15"/>
        <v>RESIDENTIAL SERVICE CLASSIFICATION</v>
      </c>
      <c r="C91" s="117"/>
      <c r="D91" s="118" t="s">
        <v>154</v>
      </c>
      <c r="E91" s="119"/>
      <c r="F91" s="127"/>
      <c r="G91" s="121">
        <f>IF($E81&gt;0, $E81, $E80)</f>
        <v>750</v>
      </c>
      <c r="H91" s="122">
        <v>0</v>
      </c>
      <c r="I91" s="128"/>
      <c r="J91" s="121">
        <f>IF($E81&gt;0, $E81, $E80)</f>
        <v>750</v>
      </c>
      <c r="K91" s="122">
        <v>0</v>
      </c>
      <c r="L91" s="125">
        <f>K91-H91</f>
        <v>0</v>
      </c>
      <c r="M91" s="126" t="str">
        <f>IF(ISERROR(L91/H91), "", L91/H91)</f>
        <v/>
      </c>
    </row>
    <row r="92" spans="1:13" x14ac:dyDescent="0.25">
      <c r="A92" s="100" t="str">
        <f t="shared" si="15"/>
        <v>RESIDENTIAL SERVICE CLASSIFICATION</v>
      </c>
      <c r="C92" s="117"/>
      <c r="D92" s="129" t="s">
        <v>155</v>
      </c>
      <c r="E92" s="119"/>
      <c r="F92" s="120">
        <v>0</v>
      </c>
      <c r="G92" s="121">
        <v>1</v>
      </c>
      <c r="H92" s="122">
        <f t="shared" si="13"/>
        <v>0</v>
      </c>
      <c r="I92" s="226">
        <f>'Rate Riders'!O8</f>
        <v>4.6409135104517185</v>
      </c>
      <c r="J92" s="124">
        <f>G92</f>
        <v>1</v>
      </c>
      <c r="K92" s="122">
        <f t="shared" ref="K92:K99" si="16">J92*I92</f>
        <v>4.6409135104517185</v>
      </c>
      <c r="L92" s="125">
        <f t="shared" si="12"/>
        <v>4.6409135104517185</v>
      </c>
      <c r="M92" s="126" t="str">
        <f t="shared" si="14"/>
        <v/>
      </c>
    </row>
    <row r="93" spans="1:13" x14ac:dyDescent="0.25">
      <c r="A93" s="100" t="str">
        <f t="shared" si="15"/>
        <v>RESIDENTIAL SERVICE CLASSIFICATION</v>
      </c>
      <c r="C93" s="117"/>
      <c r="D93" s="118" t="s">
        <v>156</v>
      </c>
      <c r="E93" s="119"/>
      <c r="F93" s="127">
        <v>0</v>
      </c>
      <c r="G93" s="121">
        <f>IF($E81&gt;0, $E81, $E80)</f>
        <v>750</v>
      </c>
      <c r="H93" s="122">
        <f t="shared" si="13"/>
        <v>0</v>
      </c>
      <c r="I93" s="128">
        <v>0</v>
      </c>
      <c r="J93" s="124">
        <f>IF($E81&gt;0, $E81, $E80)</f>
        <v>750</v>
      </c>
      <c r="K93" s="122">
        <f t="shared" si="16"/>
        <v>0</v>
      </c>
      <c r="L93" s="125">
        <f t="shared" si="12"/>
        <v>0</v>
      </c>
      <c r="M93" s="126" t="str">
        <f t="shared" si="14"/>
        <v/>
      </c>
    </row>
    <row r="94" spans="1:13" x14ac:dyDescent="0.25">
      <c r="A94" s="100" t="str">
        <f t="shared" si="15"/>
        <v>RESIDENTIAL SERVICE CLASSIFICATION</v>
      </c>
      <c r="B94" s="130" t="s">
        <v>157</v>
      </c>
      <c r="C94" s="117">
        <f>B30</f>
        <v>1</v>
      </c>
      <c r="D94" s="131" t="s">
        <v>158</v>
      </c>
      <c r="E94" s="132"/>
      <c r="F94" s="133"/>
      <c r="G94" s="134"/>
      <c r="H94" s="135">
        <f>SUM(H88:H93)</f>
        <v>26.03</v>
      </c>
      <c r="I94" s="136"/>
      <c r="J94" s="137"/>
      <c r="K94" s="135">
        <f>SUM(K88:K93)</f>
        <v>30.670913510451719</v>
      </c>
      <c r="L94" s="138">
        <f t="shared" si="12"/>
        <v>4.6409135104517176</v>
      </c>
      <c r="M94" s="139">
        <f>IF((H94)=0,"",(L94/H94))</f>
        <v>0.17829095314835641</v>
      </c>
    </row>
    <row r="95" spans="1:13" x14ac:dyDescent="0.25">
      <c r="A95" s="100" t="str">
        <f t="shared" si="15"/>
        <v>RESIDENTIAL SERVICE CLASSIFICATION</v>
      </c>
      <c r="C95" s="117"/>
      <c r="D95" s="140" t="s">
        <v>159</v>
      </c>
      <c r="E95" s="119"/>
      <c r="F95" s="127">
        <f>IF((E80*12&gt;=150000), 0, IF(E79="RPP",(F111*0.65+F112*0.17+F113*0.18),IF(E79="Non-RPP (Retailer)",F114,F115)))</f>
        <v>8.1990000000000007E-2</v>
      </c>
      <c r="G95" s="141">
        <f>IF(F95=0, 0, $E80*E82-E80)</f>
        <v>42</v>
      </c>
      <c r="H95" s="122">
        <f>G95*F95</f>
        <v>3.4435800000000003</v>
      </c>
      <c r="I95" s="128">
        <f>IF((E80*12&gt;=150000), 0, IF(E79="RPP",(I111*0.65+I112*0.17+I113*0.18),IF(E79="Non-RPP (Retailer)",I114,I115)))</f>
        <v>8.1990000000000007E-2</v>
      </c>
      <c r="J95" s="141">
        <f>IF(I95=0, 0, E80*E83-E80)</f>
        <v>42</v>
      </c>
      <c r="K95" s="122">
        <f>J95*I95</f>
        <v>3.4435800000000003</v>
      </c>
      <c r="L95" s="125">
        <f>K95-H95</f>
        <v>0</v>
      </c>
      <c r="M95" s="126">
        <f>IF(ISERROR(L95/H95), "", L95/H95)</f>
        <v>0</v>
      </c>
    </row>
    <row r="96" spans="1:13" ht="25.5" x14ac:dyDescent="0.25">
      <c r="A96" s="100" t="str">
        <f t="shared" si="15"/>
        <v>RESIDENTIAL SERVICE CLASSIFICATION</v>
      </c>
      <c r="C96" s="117"/>
      <c r="D96" s="140" t="s">
        <v>160</v>
      </c>
      <c r="E96" s="119"/>
      <c r="F96" s="127">
        <v>-1.4E-3</v>
      </c>
      <c r="G96" s="142">
        <f>IF($E81&gt;0, $E81, $E80)</f>
        <v>750</v>
      </c>
      <c r="H96" s="122">
        <f t="shared" si="13"/>
        <v>-1.05</v>
      </c>
      <c r="I96" s="128">
        <v>-1.4E-3</v>
      </c>
      <c r="J96" s="142">
        <f>IF($E81&gt;0, $E81, $E80)</f>
        <v>750</v>
      </c>
      <c r="K96" s="122">
        <f t="shared" si="16"/>
        <v>-1.05</v>
      </c>
      <c r="L96" s="125">
        <f t="shared" si="12"/>
        <v>0</v>
      </c>
      <c r="M96" s="126">
        <f t="shared" si="14"/>
        <v>0</v>
      </c>
    </row>
    <row r="97" spans="1:13" x14ac:dyDescent="0.25">
      <c r="A97" s="100" t="str">
        <f t="shared" si="15"/>
        <v>RESIDENTIAL SERVICE CLASSIFICATION</v>
      </c>
      <c r="C97" s="117"/>
      <c r="D97" s="140" t="s">
        <v>161</v>
      </c>
      <c r="E97" s="119"/>
      <c r="F97" s="127">
        <v>-1E-4</v>
      </c>
      <c r="G97" s="142">
        <f>IF($E81&gt;0, $E81, $E80)</f>
        <v>750</v>
      </c>
      <c r="H97" s="122">
        <f>G97*F97</f>
        <v>-7.4999999999999997E-2</v>
      </c>
      <c r="I97" s="128">
        <v>-1E-4</v>
      </c>
      <c r="J97" s="142">
        <f>IF($E81&gt;0, $E81, $E80)</f>
        <v>750</v>
      </c>
      <c r="K97" s="122">
        <f>J97*I97</f>
        <v>-7.4999999999999997E-2</v>
      </c>
      <c r="L97" s="125">
        <f t="shared" si="12"/>
        <v>0</v>
      </c>
      <c r="M97" s="126">
        <f t="shared" si="14"/>
        <v>0</v>
      </c>
    </row>
    <row r="98" spans="1:13" x14ac:dyDescent="0.25">
      <c r="A98" s="100" t="str">
        <f t="shared" si="15"/>
        <v>RESIDENTIAL SERVICE CLASSIFICATION</v>
      </c>
      <c r="C98" s="117"/>
      <c r="D98" s="140" t="s">
        <v>162</v>
      </c>
      <c r="E98" s="119"/>
      <c r="F98" s="127">
        <v>0</v>
      </c>
      <c r="G98" s="142">
        <f>E80</f>
        <v>750</v>
      </c>
      <c r="H98" s="122">
        <f>G98*F98</f>
        <v>0</v>
      </c>
      <c r="I98" s="128">
        <v>0</v>
      </c>
      <c r="J98" s="142">
        <f>E80</f>
        <v>750</v>
      </c>
      <c r="K98" s="122">
        <f t="shared" si="16"/>
        <v>0</v>
      </c>
      <c r="L98" s="125">
        <f t="shared" si="12"/>
        <v>0</v>
      </c>
      <c r="M98" s="126" t="str">
        <f t="shared" si="14"/>
        <v/>
      </c>
    </row>
    <row r="99" spans="1:13" x14ac:dyDescent="0.25">
      <c r="A99" s="100" t="str">
        <f t="shared" si="15"/>
        <v>RESIDENTIAL SERVICE CLASSIFICATION</v>
      </c>
      <c r="C99" s="117"/>
      <c r="D99" s="143" t="s">
        <v>163</v>
      </c>
      <c r="E99" s="119"/>
      <c r="F99" s="127">
        <v>2.5999999999999999E-3</v>
      </c>
      <c r="G99" s="142">
        <f>IF($E81&gt;0, $E81, $E80)</f>
        <v>750</v>
      </c>
      <c r="H99" s="122">
        <f t="shared" si="13"/>
        <v>1.95</v>
      </c>
      <c r="I99" s="128">
        <v>2.5999999999999999E-3</v>
      </c>
      <c r="J99" s="142">
        <f>IF($E81&gt;0, $E81, $E80)</f>
        <v>750</v>
      </c>
      <c r="K99" s="122">
        <f t="shared" si="16"/>
        <v>1.95</v>
      </c>
      <c r="L99" s="125">
        <f t="shared" si="12"/>
        <v>0</v>
      </c>
      <c r="M99" s="126">
        <f t="shared" si="14"/>
        <v>0</v>
      </c>
    </row>
    <row r="100" spans="1:13" ht="25.5" x14ac:dyDescent="0.25">
      <c r="A100" s="100" t="str">
        <f t="shared" si="15"/>
        <v>RESIDENTIAL SERVICE CLASSIFICATION</v>
      </c>
      <c r="C100" s="117"/>
      <c r="D100" s="144" t="s">
        <v>164</v>
      </c>
      <c r="E100" s="119"/>
      <c r="F100" s="145">
        <f>IF(OR(ISNUMBER(SEARCH("RESIDENTIAL", E78))=TRUE, ISNUMBER(SEARCH("GENERAL SERVICE LESS THAN 50", E78))=TRUE), SME, 0)</f>
        <v>0.56999999999999995</v>
      </c>
      <c r="G100" s="121">
        <v>1</v>
      </c>
      <c r="H100" s="122">
        <f>G100*F100</f>
        <v>0.56999999999999995</v>
      </c>
      <c r="I100" s="146">
        <f>IF(OR(ISNUMBER(SEARCH("RESIDENTIAL", E78))=TRUE, ISNUMBER(SEARCH("GENERAL SERVICE LESS THAN 50", E78))=TRUE), SME, 0)</f>
        <v>0.56999999999999995</v>
      </c>
      <c r="J100" s="121">
        <v>1</v>
      </c>
      <c r="K100" s="122">
        <f>J100*I100</f>
        <v>0.56999999999999995</v>
      </c>
      <c r="L100" s="125">
        <f t="shared" si="12"/>
        <v>0</v>
      </c>
      <c r="M100" s="126">
        <f>IF(ISERROR(L100/H100), "", L100/H100)</f>
        <v>0</v>
      </c>
    </row>
    <row r="101" spans="1:13" x14ac:dyDescent="0.25">
      <c r="A101" s="100" t="str">
        <f t="shared" si="15"/>
        <v>RESIDENTIAL SERVICE CLASSIFICATION</v>
      </c>
      <c r="C101" s="117"/>
      <c r="D101" s="143" t="s">
        <v>165</v>
      </c>
      <c r="E101" s="119"/>
      <c r="F101" s="120">
        <v>0</v>
      </c>
      <c r="G101" s="121">
        <v>1</v>
      </c>
      <c r="H101" s="122">
        <f t="shared" si="13"/>
        <v>0</v>
      </c>
      <c r="I101" s="123">
        <v>0</v>
      </c>
      <c r="J101" s="121">
        <v>1</v>
      </c>
      <c r="K101" s="122">
        <f>J101*I101</f>
        <v>0</v>
      </c>
      <c r="L101" s="125">
        <f>K101-H101</f>
        <v>0</v>
      </c>
      <c r="M101" s="126" t="str">
        <f>IF(ISERROR(L101/H101), "", L101/H101)</f>
        <v/>
      </c>
    </row>
    <row r="102" spans="1:13" x14ac:dyDescent="0.25">
      <c r="A102" s="100" t="str">
        <f t="shared" si="15"/>
        <v>RESIDENTIAL SERVICE CLASSIFICATION</v>
      </c>
      <c r="C102" s="117"/>
      <c r="D102" s="143" t="s">
        <v>166</v>
      </c>
      <c r="E102" s="119"/>
      <c r="F102" s="127"/>
      <c r="G102" s="142">
        <f>IF($E81&gt;0, $E81, $E80)</f>
        <v>750</v>
      </c>
      <c r="H102" s="122">
        <f>G102*F102</f>
        <v>0</v>
      </c>
      <c r="I102" s="128">
        <v>0</v>
      </c>
      <c r="J102" s="142">
        <f>IF($E81&gt;0, $E81, $E80)</f>
        <v>750</v>
      </c>
      <c r="K102" s="122">
        <f>J102*I102</f>
        <v>0</v>
      </c>
      <c r="L102" s="125">
        <f t="shared" si="12"/>
        <v>0</v>
      </c>
      <c r="M102" s="126" t="str">
        <f>IF(ISERROR(L102/H102), "", L102/H102)</f>
        <v/>
      </c>
    </row>
    <row r="103" spans="1:13" ht="25.5" x14ac:dyDescent="0.25">
      <c r="A103" s="100" t="str">
        <f t="shared" si="15"/>
        <v>RESIDENTIAL SERVICE CLASSIFICATION</v>
      </c>
      <c r="B103" s="105" t="s">
        <v>167</v>
      </c>
      <c r="C103" s="117">
        <f>B30</f>
        <v>1</v>
      </c>
      <c r="D103" s="147" t="s">
        <v>168</v>
      </c>
      <c r="E103" s="148"/>
      <c r="F103" s="149"/>
      <c r="G103" s="150"/>
      <c r="H103" s="151">
        <f>SUM(H94:H102)</f>
        <v>30.868580000000001</v>
      </c>
      <c r="I103" s="152"/>
      <c r="J103" s="153"/>
      <c r="K103" s="151">
        <f>SUM(K94:K102)</f>
        <v>35.509493510451719</v>
      </c>
      <c r="L103" s="138">
        <f t="shared" si="12"/>
        <v>4.6409135104517176</v>
      </c>
      <c r="M103" s="139">
        <f>IF((H103)=0,"",(L103/H103))</f>
        <v>0.15034425005788143</v>
      </c>
    </row>
    <row r="104" spans="1:13" x14ac:dyDescent="0.25">
      <c r="A104" s="100" t="str">
        <f t="shared" si="15"/>
        <v>RESIDENTIAL SERVICE CLASSIFICATION</v>
      </c>
      <c r="C104" s="117"/>
      <c r="D104" s="154" t="s">
        <v>169</v>
      </c>
      <c r="E104" s="119"/>
      <c r="F104" s="127">
        <v>6.7999999999999996E-3</v>
      </c>
      <c r="G104" s="141">
        <f>IF($E81&gt;0, $E81, $E80*$E82)</f>
        <v>792</v>
      </c>
      <c r="H104" s="122">
        <f>G104*F104</f>
        <v>5.3855999999999993</v>
      </c>
      <c r="I104" s="128">
        <v>6.7999999999999996E-3</v>
      </c>
      <c r="J104" s="141">
        <f>IF($E81&gt;0, $E81, $E80*$E83)</f>
        <v>792</v>
      </c>
      <c r="K104" s="122">
        <f>J104*I104</f>
        <v>5.3855999999999993</v>
      </c>
      <c r="L104" s="125">
        <f t="shared" si="12"/>
        <v>0</v>
      </c>
      <c r="M104" s="126">
        <f>IF(ISERROR(L104/H104), "", L104/H104)</f>
        <v>0</v>
      </c>
    </row>
    <row r="105" spans="1:13" ht="25.5" x14ac:dyDescent="0.25">
      <c r="A105" s="100" t="str">
        <f t="shared" si="15"/>
        <v>RESIDENTIAL SERVICE CLASSIFICATION</v>
      </c>
      <c r="C105" s="117"/>
      <c r="D105" s="155" t="s">
        <v>170</v>
      </c>
      <c r="E105" s="119"/>
      <c r="F105" s="127">
        <v>5.5999999999999999E-3</v>
      </c>
      <c r="G105" s="141">
        <f>IF($E81&gt;0, $E81, $E80*$E82)</f>
        <v>792</v>
      </c>
      <c r="H105" s="122">
        <f>G105*F105</f>
        <v>4.4352</v>
      </c>
      <c r="I105" s="128">
        <v>5.5999999999999999E-3</v>
      </c>
      <c r="J105" s="141">
        <f>IF($E81&gt;0, $E81, $E80*$E83)</f>
        <v>792</v>
      </c>
      <c r="K105" s="122">
        <f>J105*I105</f>
        <v>4.4352</v>
      </c>
      <c r="L105" s="125">
        <f t="shared" si="12"/>
        <v>0</v>
      </c>
      <c r="M105" s="126">
        <f>IF(ISERROR(L105/H105), "", L105/H105)</f>
        <v>0</v>
      </c>
    </row>
    <row r="106" spans="1:13" ht="25.5" x14ac:dyDescent="0.25">
      <c r="A106" s="100" t="str">
        <f t="shared" si="15"/>
        <v>RESIDENTIAL SERVICE CLASSIFICATION</v>
      </c>
      <c r="B106" s="105" t="s">
        <v>171</v>
      </c>
      <c r="C106" s="117">
        <f>B30</f>
        <v>1</v>
      </c>
      <c r="D106" s="147" t="s">
        <v>172</v>
      </c>
      <c r="E106" s="132"/>
      <c r="F106" s="149"/>
      <c r="G106" s="150"/>
      <c r="H106" s="151">
        <f>SUM(H103:H105)</f>
        <v>40.68938</v>
      </c>
      <c r="I106" s="152"/>
      <c r="J106" s="137"/>
      <c r="K106" s="151">
        <f>SUM(K103:K105)</f>
        <v>45.330293510451718</v>
      </c>
      <c r="L106" s="138">
        <f t="shared" si="12"/>
        <v>4.6409135104517176</v>
      </c>
      <c r="M106" s="139">
        <f>IF((H106)=0,"",(L106/H106))</f>
        <v>0.11405712032111862</v>
      </c>
    </row>
    <row r="107" spans="1:13" ht="25.5" x14ac:dyDescent="0.25">
      <c r="A107" s="100" t="str">
        <f t="shared" si="15"/>
        <v>RESIDENTIAL SERVICE CLASSIFICATION</v>
      </c>
      <c r="C107" s="117"/>
      <c r="D107" s="156" t="s">
        <v>173</v>
      </c>
      <c r="E107" s="119"/>
      <c r="F107" s="127">
        <v>3.6000000000000003E-3</v>
      </c>
      <c r="G107" s="141">
        <f>E80*E82</f>
        <v>792</v>
      </c>
      <c r="H107" s="157">
        <f t="shared" ref="H107:H113" si="17">G107*F107</f>
        <v>2.8512000000000004</v>
      </c>
      <c r="I107" s="128">
        <v>3.6000000000000003E-3</v>
      </c>
      <c r="J107" s="141">
        <f>E80*E83</f>
        <v>792</v>
      </c>
      <c r="K107" s="157">
        <f t="shared" ref="K107:K113" si="18">J107*I107</f>
        <v>2.8512000000000004</v>
      </c>
      <c r="L107" s="125">
        <f t="shared" si="12"/>
        <v>0</v>
      </c>
      <c r="M107" s="126">
        <f t="shared" ref="M107:M115" si="19">IF(ISERROR(L107/H107), "", L107/H107)</f>
        <v>0</v>
      </c>
    </row>
    <row r="108" spans="1:13" ht="25.5" x14ac:dyDescent="0.25">
      <c r="A108" s="100" t="str">
        <f t="shared" si="15"/>
        <v>RESIDENTIAL SERVICE CLASSIFICATION</v>
      </c>
      <c r="C108" s="117"/>
      <c r="D108" s="156" t="s">
        <v>174</v>
      </c>
      <c r="E108" s="119"/>
      <c r="F108" s="127">
        <f>'[1]17. Regulatory Charges'!$D$16</f>
        <v>2.9999999999999997E-4</v>
      </c>
      <c r="G108" s="141">
        <f>E80*E82</f>
        <v>792</v>
      </c>
      <c r="H108" s="157">
        <f t="shared" si="17"/>
        <v>0.23759999999999998</v>
      </c>
      <c r="I108" s="128">
        <v>2.9999999999999997E-4</v>
      </c>
      <c r="J108" s="141">
        <f>E80*E83</f>
        <v>792</v>
      </c>
      <c r="K108" s="157">
        <f t="shared" si="18"/>
        <v>0.23759999999999998</v>
      </c>
      <c r="L108" s="125">
        <f t="shared" si="12"/>
        <v>0</v>
      </c>
      <c r="M108" s="126">
        <f t="shared" si="19"/>
        <v>0</v>
      </c>
    </row>
    <row r="109" spans="1:13" x14ac:dyDescent="0.25">
      <c r="A109" s="100" t="str">
        <f t="shared" si="15"/>
        <v>RESIDENTIAL SERVICE CLASSIFICATION</v>
      </c>
      <c r="C109" s="117"/>
      <c r="D109" s="158" t="s">
        <v>175</v>
      </c>
      <c r="E109" s="119"/>
      <c r="F109" s="145">
        <v>0.25</v>
      </c>
      <c r="G109" s="121">
        <v>1</v>
      </c>
      <c r="H109" s="157">
        <f t="shared" si="17"/>
        <v>0.25</v>
      </c>
      <c r="I109" s="146">
        <f>'[1]17. Regulatory Charges'!$D$17</f>
        <v>0.25</v>
      </c>
      <c r="J109" s="124">
        <v>1</v>
      </c>
      <c r="K109" s="157">
        <f t="shared" si="18"/>
        <v>0.25</v>
      </c>
      <c r="L109" s="125">
        <f t="shared" si="12"/>
        <v>0</v>
      </c>
      <c r="M109" s="126">
        <f t="shared" si="19"/>
        <v>0</v>
      </c>
    </row>
    <row r="110" spans="1:13" ht="25.5" x14ac:dyDescent="0.25">
      <c r="A110" s="100" t="str">
        <f t="shared" si="15"/>
        <v>RESIDENTIAL SERVICE CLASSIFICATION</v>
      </c>
      <c r="C110" s="117"/>
      <c r="D110" s="156" t="s">
        <v>176</v>
      </c>
      <c r="E110" s="119"/>
      <c r="F110" s="127"/>
      <c r="G110" s="141"/>
      <c r="H110" s="157"/>
      <c r="I110" s="128"/>
      <c r="J110" s="141"/>
      <c r="K110" s="157"/>
      <c r="L110" s="125"/>
      <c r="M110" s="126"/>
    </row>
    <row r="111" spans="1:13" x14ac:dyDescent="0.25">
      <c r="A111" s="100" t="str">
        <f t="shared" si="15"/>
        <v>RESIDENTIAL SERVICE CLASSIFICATION</v>
      </c>
      <c r="B111" s="105" t="s">
        <v>117</v>
      </c>
      <c r="C111" s="117"/>
      <c r="D111" s="159" t="s">
        <v>177</v>
      </c>
      <c r="E111" s="119"/>
      <c r="F111" s="160">
        <f>OffPeak</f>
        <v>6.5000000000000002E-2</v>
      </c>
      <c r="G111" s="161">
        <f>IF(AND(E80*12&gt;=150000),0.65*E80*E82,0.65*E80)</f>
        <v>487.5</v>
      </c>
      <c r="H111" s="157">
        <f t="shared" si="17"/>
        <v>31.6875</v>
      </c>
      <c r="I111" s="162">
        <f>OffPeak</f>
        <v>6.5000000000000002E-2</v>
      </c>
      <c r="J111" s="161">
        <f>IF(AND(E80*12&gt;=150000),0.65*E80*E83,0.65*E80)</f>
        <v>487.5</v>
      </c>
      <c r="K111" s="157">
        <f t="shared" si="18"/>
        <v>31.6875</v>
      </c>
      <c r="L111" s="125">
        <f>K111-H111</f>
        <v>0</v>
      </c>
      <c r="M111" s="126">
        <f t="shared" si="19"/>
        <v>0</v>
      </c>
    </row>
    <row r="112" spans="1:13" x14ac:dyDescent="0.25">
      <c r="A112" s="100" t="str">
        <f t="shared" si="15"/>
        <v>RESIDENTIAL SERVICE CLASSIFICATION</v>
      </c>
      <c r="B112" s="105" t="s">
        <v>117</v>
      </c>
      <c r="C112" s="117"/>
      <c r="D112" s="159" t="s">
        <v>178</v>
      </c>
      <c r="E112" s="119"/>
      <c r="F112" s="160">
        <f>MidPeak</f>
        <v>9.4E-2</v>
      </c>
      <c r="G112" s="161">
        <f>IF(AND(E80*12&gt;=150000),0.17*E80*E82,0.17*E80)</f>
        <v>127.50000000000001</v>
      </c>
      <c r="H112" s="157">
        <f t="shared" si="17"/>
        <v>11.985000000000001</v>
      </c>
      <c r="I112" s="162">
        <f>MidPeak</f>
        <v>9.4E-2</v>
      </c>
      <c r="J112" s="161">
        <f>IF(AND(E80*12&gt;=150000),0.17*E80*E83,0.17*E80)</f>
        <v>127.50000000000001</v>
      </c>
      <c r="K112" s="157">
        <f t="shared" si="18"/>
        <v>11.985000000000001</v>
      </c>
      <c r="L112" s="125">
        <f>K112-H112</f>
        <v>0</v>
      </c>
      <c r="M112" s="126">
        <f t="shared" si="19"/>
        <v>0</v>
      </c>
    </row>
    <row r="113" spans="1:13" ht="15.75" thickBot="1" x14ac:dyDescent="0.3">
      <c r="A113" s="100" t="str">
        <f t="shared" si="15"/>
        <v>RESIDENTIAL SERVICE CLASSIFICATION</v>
      </c>
      <c r="B113" s="105" t="s">
        <v>117</v>
      </c>
      <c r="C113" s="117"/>
      <c r="D113" s="105" t="s">
        <v>179</v>
      </c>
      <c r="E113" s="119"/>
      <c r="F113" s="160">
        <f>OnPeak</f>
        <v>0.13200000000000001</v>
      </c>
      <c r="G113" s="161">
        <f>IF(AND(E80*12&gt;=150000),0.18*E80*E82,0.18*E80)</f>
        <v>135</v>
      </c>
      <c r="H113" s="157">
        <f t="shared" si="17"/>
        <v>17.82</v>
      </c>
      <c r="I113" s="162">
        <f>OnPeak</f>
        <v>0.13200000000000001</v>
      </c>
      <c r="J113" s="161">
        <f>IF(AND(E80*12&gt;=150000),0.18*E80*E83,0.18*E80)</f>
        <v>135</v>
      </c>
      <c r="K113" s="157">
        <f t="shared" si="18"/>
        <v>17.82</v>
      </c>
      <c r="L113" s="125">
        <f>K113-H113</f>
        <v>0</v>
      </c>
      <c r="M113" s="126">
        <f t="shared" si="19"/>
        <v>0</v>
      </c>
    </row>
    <row r="114" spans="1:13" hidden="1" x14ac:dyDescent="0.25">
      <c r="A114" s="100" t="str">
        <f t="shared" si="15"/>
        <v>RESIDENTIAL SERVICE CLASSIFICATION</v>
      </c>
      <c r="B114" s="100" t="s">
        <v>180</v>
      </c>
      <c r="C114" s="117"/>
      <c r="D114" s="159" t="s">
        <v>181</v>
      </c>
      <c r="E114" s="119"/>
      <c r="F114" s="163">
        <v>0.1101</v>
      </c>
      <c r="G114" s="161">
        <f>IF(AND(E80*12&gt;=150000),E80*E82,E80)</f>
        <v>750</v>
      </c>
      <c r="H114" s="157">
        <f>G114*F114</f>
        <v>82.575000000000003</v>
      </c>
      <c r="I114" s="164">
        <f>F114</f>
        <v>0.1101</v>
      </c>
      <c r="J114" s="161">
        <f>IF(AND(E80*12&gt;=150000),E80*E83,E80)</f>
        <v>750</v>
      </c>
      <c r="K114" s="157">
        <f>J114*I114</f>
        <v>82.575000000000003</v>
      </c>
      <c r="L114" s="125">
        <f>K114-H114</f>
        <v>0</v>
      </c>
      <c r="M114" s="126">
        <f t="shared" si="19"/>
        <v>0</v>
      </c>
    </row>
    <row r="115" spans="1:13" ht="15.75" hidden="1" thickBot="1" x14ac:dyDescent="0.3">
      <c r="A115" s="100" t="str">
        <f t="shared" si="15"/>
        <v>RESIDENTIAL SERVICE CLASSIFICATION</v>
      </c>
      <c r="B115" s="100" t="s">
        <v>121</v>
      </c>
      <c r="C115" s="117"/>
      <c r="D115" s="159" t="s">
        <v>182</v>
      </c>
      <c r="E115" s="119"/>
      <c r="F115" s="163">
        <v>0.1101</v>
      </c>
      <c r="G115" s="161">
        <f>IF(AND(E80*12&gt;=150000),E80*E82,E80)</f>
        <v>750</v>
      </c>
      <c r="H115" s="157">
        <f>G115*F115</f>
        <v>82.575000000000003</v>
      </c>
      <c r="I115" s="164">
        <f>F115</f>
        <v>0.1101</v>
      </c>
      <c r="J115" s="161">
        <f>IF(AND(E80*12&gt;=150000),E80*E83,E80)</f>
        <v>750</v>
      </c>
      <c r="K115" s="157">
        <f>J115*I115</f>
        <v>82.575000000000003</v>
      </c>
      <c r="L115" s="125">
        <f>K115-H115</f>
        <v>0</v>
      </c>
      <c r="M115" s="126">
        <f t="shared" si="19"/>
        <v>0</v>
      </c>
    </row>
    <row r="116" spans="1:13" ht="15.75" thickBot="1" x14ac:dyDescent="0.3">
      <c r="A116" s="100" t="str">
        <f t="shared" si="15"/>
        <v>RESIDENTIAL SERVICE CLASSIFICATION</v>
      </c>
      <c r="B116" s="105"/>
      <c r="C116" s="117"/>
      <c r="D116" s="165"/>
      <c r="E116" s="166"/>
      <c r="F116" s="167"/>
      <c r="G116" s="168"/>
      <c r="H116" s="169"/>
      <c r="I116" s="167"/>
      <c r="J116" s="170"/>
      <c r="K116" s="169"/>
      <c r="L116" s="171"/>
      <c r="M116" s="172"/>
    </row>
    <row r="117" spans="1:13" x14ac:dyDescent="0.25">
      <c r="A117" s="100" t="str">
        <f t="shared" si="15"/>
        <v>RESIDENTIAL SERVICE CLASSIFICATION</v>
      </c>
      <c r="B117" s="105" t="s">
        <v>117</v>
      </c>
      <c r="C117" s="117"/>
      <c r="D117" s="173" t="s">
        <v>183</v>
      </c>
      <c r="E117" s="158"/>
      <c r="F117" s="174"/>
      <c r="G117" s="175"/>
      <c r="H117" s="176">
        <f>SUM(H107:H113,H106)</f>
        <v>105.52068</v>
      </c>
      <c r="I117" s="177"/>
      <c r="J117" s="177"/>
      <c r="K117" s="176">
        <f>SUM(K107:K113,K106)</f>
        <v>110.16159351045172</v>
      </c>
      <c r="L117" s="178">
        <f>K117-H117</f>
        <v>4.6409135104517247</v>
      </c>
      <c r="M117" s="179">
        <f>IF((H117)=0,"",(L117/H117))</f>
        <v>4.3981080395347386E-2</v>
      </c>
    </row>
    <row r="118" spans="1:13" x14ac:dyDescent="0.25">
      <c r="A118" s="100" t="str">
        <f t="shared" si="15"/>
        <v>RESIDENTIAL SERVICE CLASSIFICATION</v>
      </c>
      <c r="B118" s="105" t="s">
        <v>117</v>
      </c>
      <c r="C118" s="117"/>
      <c r="D118" s="180" t="s">
        <v>184</v>
      </c>
      <c r="E118" s="158"/>
      <c r="F118" s="174">
        <v>0.13</v>
      </c>
      <c r="G118" s="181"/>
      <c r="H118" s="182">
        <f>H117*F118</f>
        <v>13.7176884</v>
      </c>
      <c r="I118" s="183">
        <v>0.13</v>
      </c>
      <c r="J118" s="121"/>
      <c r="K118" s="182">
        <f>K117*I118</f>
        <v>14.321007156358725</v>
      </c>
      <c r="L118" s="184">
        <f>K118-H118</f>
        <v>0.60331875635872478</v>
      </c>
      <c r="M118" s="185">
        <f>IF((H118)=0,"",(L118/H118))</f>
        <v>4.3981080395347427E-2</v>
      </c>
    </row>
    <row r="119" spans="1:13" x14ac:dyDescent="0.25">
      <c r="A119" s="100" t="str">
        <f t="shared" si="15"/>
        <v>RESIDENTIAL SERVICE CLASSIFICATION</v>
      </c>
      <c r="B119" s="105" t="s">
        <v>117</v>
      </c>
      <c r="C119" s="117"/>
      <c r="D119" s="180" t="s">
        <v>185</v>
      </c>
      <c r="E119" s="158"/>
      <c r="F119" s="174">
        <v>0.08</v>
      </c>
      <c r="G119" s="181"/>
      <c r="H119" s="182">
        <f>H117*-F119</f>
        <v>-8.4416544000000009</v>
      </c>
      <c r="I119" s="174">
        <v>0.08</v>
      </c>
      <c r="J119" s="121"/>
      <c r="K119" s="182">
        <f>K117*-I119</f>
        <v>-8.8129274808361373</v>
      </c>
      <c r="L119" s="184">
        <f>K119-H119</f>
        <v>-0.37127308083613642</v>
      </c>
      <c r="M119" s="185"/>
    </row>
    <row r="120" spans="1:13" ht="15.75" thickBot="1" x14ac:dyDescent="0.3">
      <c r="A120" s="100" t="str">
        <f t="shared" si="15"/>
        <v>RESIDENTIAL SERVICE CLASSIFICATION</v>
      </c>
      <c r="B120" s="105" t="s">
        <v>186</v>
      </c>
      <c r="C120" s="117">
        <f>B30</f>
        <v>1</v>
      </c>
      <c r="D120" s="301" t="s">
        <v>187</v>
      </c>
      <c r="E120" s="301"/>
      <c r="F120" s="186"/>
      <c r="G120" s="187"/>
      <c r="H120" s="188">
        <f>H117+H118+H119</f>
        <v>110.79671399999999</v>
      </c>
      <c r="I120" s="189"/>
      <c r="J120" s="189"/>
      <c r="K120" s="190">
        <f>K117+K118+K119</f>
        <v>115.6696731859743</v>
      </c>
      <c r="L120" s="191">
        <f>K120-H120</f>
        <v>4.8729591859743095</v>
      </c>
      <c r="M120" s="192">
        <f>IF((H120)=0,"",(L120/H120))</f>
        <v>4.3981080395347372E-2</v>
      </c>
    </row>
    <row r="121" spans="1:13" ht="15.75" hidden="1" thickBot="1" x14ac:dyDescent="0.3">
      <c r="A121" s="100" t="str">
        <f t="shared" si="15"/>
        <v>RESIDENTIAL SERVICE CLASSIFICATION</v>
      </c>
      <c r="B121" s="100" t="s">
        <v>117</v>
      </c>
      <c r="C121" s="117"/>
      <c r="D121" s="165"/>
      <c r="E121" s="166"/>
      <c r="F121" s="167"/>
      <c r="G121" s="168"/>
      <c r="H121" s="169"/>
      <c r="I121" s="167"/>
      <c r="J121" s="170"/>
      <c r="K121" s="169"/>
      <c r="L121" s="171"/>
      <c r="M121" s="172"/>
    </row>
    <row r="122" spans="1:13" hidden="1" x14ac:dyDescent="0.25">
      <c r="A122" s="100" t="str">
        <f t="shared" si="15"/>
        <v>RESIDENTIAL SERVICE CLASSIFICATION</v>
      </c>
      <c r="B122" s="100" t="s">
        <v>180</v>
      </c>
      <c r="C122" s="117"/>
      <c r="D122" s="173" t="s">
        <v>188</v>
      </c>
      <c r="E122" s="158"/>
      <c r="F122" s="174"/>
      <c r="G122" s="175"/>
      <c r="H122" s="176">
        <f>SUM(H114,H107:H110,H106)</f>
        <v>126.60318000000001</v>
      </c>
      <c r="I122" s="177"/>
      <c r="J122" s="177"/>
      <c r="K122" s="176">
        <f>SUM(K114,K107:K110,K106)</f>
        <v>131.24409351045173</v>
      </c>
      <c r="L122" s="178">
        <f>K122-H122</f>
        <v>4.6409135104517247</v>
      </c>
      <c r="M122" s="179">
        <f>IF((H122)=0,"",(L122/H122))</f>
        <v>3.6657163828362954E-2</v>
      </c>
    </row>
    <row r="123" spans="1:13" hidden="1" x14ac:dyDescent="0.25">
      <c r="A123" s="100" t="str">
        <f t="shared" si="15"/>
        <v>RESIDENTIAL SERVICE CLASSIFICATION</v>
      </c>
      <c r="B123" s="100" t="s">
        <v>180</v>
      </c>
      <c r="C123" s="117"/>
      <c r="D123" s="180" t="s">
        <v>184</v>
      </c>
      <c r="E123" s="158"/>
      <c r="F123" s="174">
        <v>0.13</v>
      </c>
      <c r="G123" s="175"/>
      <c r="H123" s="182">
        <f>H122*F123</f>
        <v>16.458413400000001</v>
      </c>
      <c r="I123" s="174">
        <v>0.13</v>
      </c>
      <c r="J123" s="183"/>
      <c r="K123" s="182">
        <f>K122*I123</f>
        <v>17.061732156358726</v>
      </c>
      <c r="L123" s="184">
        <f>K123-H123</f>
        <v>0.60331875635872478</v>
      </c>
      <c r="M123" s="185">
        <f>IF((H123)=0,"",(L123/H123))</f>
        <v>3.6657163828362989E-2</v>
      </c>
    </row>
    <row r="124" spans="1:13" hidden="1" x14ac:dyDescent="0.25">
      <c r="A124" s="100" t="str">
        <f t="shared" si="15"/>
        <v>RESIDENTIAL SERVICE CLASSIFICATION</v>
      </c>
      <c r="B124" s="100" t="s">
        <v>180</v>
      </c>
      <c r="C124" s="117"/>
      <c r="D124" s="180" t="s">
        <v>185</v>
      </c>
      <c r="E124" s="158"/>
      <c r="F124" s="174">
        <v>0.08</v>
      </c>
      <c r="G124" s="175"/>
      <c r="H124" s="182"/>
      <c r="I124" s="174">
        <v>0.08</v>
      </c>
      <c r="J124" s="183"/>
      <c r="K124" s="182"/>
      <c r="L124" s="184"/>
      <c r="M124" s="185"/>
    </row>
    <row r="125" spans="1:13" ht="15.75" hidden="1" thickBot="1" x14ac:dyDescent="0.3">
      <c r="A125" s="100" t="str">
        <f t="shared" si="15"/>
        <v>RESIDENTIAL SERVICE CLASSIFICATION</v>
      </c>
      <c r="B125" s="100" t="s">
        <v>189</v>
      </c>
      <c r="C125" s="117"/>
      <c r="D125" s="301" t="s">
        <v>188</v>
      </c>
      <c r="E125" s="301"/>
      <c r="F125" s="193"/>
      <c r="G125" s="194"/>
      <c r="H125" s="188">
        <f>SUM(H122,H123)</f>
        <v>143.06159340000002</v>
      </c>
      <c r="I125" s="195"/>
      <c r="J125" s="195"/>
      <c r="K125" s="188">
        <f>SUM(K122,K123)</f>
        <v>148.30582566681045</v>
      </c>
      <c r="L125" s="196">
        <f>K125-H125</f>
        <v>5.2442322668104282</v>
      </c>
      <c r="M125" s="197">
        <f>IF((H125)=0,"",(L125/H125))</f>
        <v>3.6657163828362808E-2</v>
      </c>
    </row>
    <row r="126" spans="1:13" ht="15.75" hidden="1" thickBot="1" x14ac:dyDescent="0.3">
      <c r="A126" s="100" t="str">
        <f t="shared" si="15"/>
        <v>RESIDENTIAL SERVICE CLASSIFICATION</v>
      </c>
      <c r="B126" s="100" t="s">
        <v>180</v>
      </c>
      <c r="C126" s="117"/>
      <c r="D126" s="165"/>
      <c r="E126" s="166"/>
      <c r="F126" s="198"/>
      <c r="G126" s="199"/>
      <c r="H126" s="200"/>
      <c r="I126" s="198"/>
      <c r="J126" s="168"/>
      <c r="K126" s="200"/>
      <c r="L126" s="201"/>
      <c r="M126" s="172"/>
    </row>
    <row r="127" spans="1:13" hidden="1" x14ac:dyDescent="0.25">
      <c r="A127" s="100" t="str">
        <f t="shared" si="15"/>
        <v>RESIDENTIAL SERVICE CLASSIFICATION</v>
      </c>
      <c r="B127" s="100" t="s">
        <v>121</v>
      </c>
      <c r="C127" s="117"/>
      <c r="D127" s="173" t="s">
        <v>190</v>
      </c>
      <c r="E127" s="158"/>
      <c r="F127" s="174"/>
      <c r="G127" s="175"/>
      <c r="H127" s="176">
        <f>SUM(H115,H107:H110,H106)</f>
        <v>126.60318000000001</v>
      </c>
      <c r="I127" s="177"/>
      <c r="J127" s="177"/>
      <c r="K127" s="176">
        <f>SUM(K115,K107:K110,K106)</f>
        <v>131.24409351045173</v>
      </c>
      <c r="L127" s="178">
        <f>K127-H127</f>
        <v>4.6409135104517247</v>
      </c>
      <c r="M127" s="179">
        <f>IF((H127)=0,"",(L127/H127))</f>
        <v>3.6657163828362954E-2</v>
      </c>
    </row>
    <row r="128" spans="1:13" hidden="1" x14ac:dyDescent="0.25">
      <c r="A128" s="100" t="str">
        <f t="shared" si="15"/>
        <v>RESIDENTIAL SERVICE CLASSIFICATION</v>
      </c>
      <c r="B128" s="100" t="s">
        <v>121</v>
      </c>
      <c r="C128" s="117"/>
      <c r="D128" s="180" t="s">
        <v>184</v>
      </c>
      <c r="E128" s="158"/>
      <c r="F128" s="174">
        <v>0.13</v>
      </c>
      <c r="G128" s="175"/>
      <c r="H128" s="182">
        <f>H127*F128</f>
        <v>16.458413400000001</v>
      </c>
      <c r="I128" s="174">
        <v>0.13</v>
      </c>
      <c r="J128" s="183"/>
      <c r="K128" s="182">
        <f>K127*I128</f>
        <v>17.061732156358726</v>
      </c>
      <c r="L128" s="184">
        <f>K128-H128</f>
        <v>0.60331875635872478</v>
      </c>
      <c r="M128" s="185">
        <f>IF((H128)=0,"",(L128/H128))</f>
        <v>3.6657163828362989E-2</v>
      </c>
    </row>
    <row r="129" spans="1:13" hidden="1" x14ac:dyDescent="0.25">
      <c r="A129" s="100" t="str">
        <f t="shared" si="15"/>
        <v>RESIDENTIAL SERVICE CLASSIFICATION</v>
      </c>
      <c r="B129" s="100" t="s">
        <v>121</v>
      </c>
      <c r="C129" s="117"/>
      <c r="D129" s="180" t="s">
        <v>185</v>
      </c>
      <c r="E129" s="158"/>
      <c r="F129" s="174">
        <v>0.08</v>
      </c>
      <c r="G129" s="175"/>
      <c r="H129" s="182"/>
      <c r="I129" s="174">
        <v>0.08</v>
      </c>
      <c r="J129" s="183"/>
      <c r="K129" s="182"/>
      <c r="L129" s="184"/>
      <c r="M129" s="185"/>
    </row>
    <row r="130" spans="1:13" ht="15.75" hidden="1" thickBot="1" x14ac:dyDescent="0.3">
      <c r="A130" s="100" t="str">
        <f t="shared" si="15"/>
        <v>RESIDENTIAL SERVICE CLASSIFICATION</v>
      </c>
      <c r="B130" s="100" t="s">
        <v>191</v>
      </c>
      <c r="C130" s="117"/>
      <c r="D130" s="301" t="s">
        <v>190</v>
      </c>
      <c r="E130" s="301"/>
      <c r="F130" s="193"/>
      <c r="G130" s="194"/>
      <c r="H130" s="188">
        <f>SUM(H127,H128)</f>
        <v>143.06159340000002</v>
      </c>
      <c r="I130" s="195"/>
      <c r="J130" s="195"/>
      <c r="K130" s="188">
        <f>SUM(K127,K128)</f>
        <v>148.30582566681045</v>
      </c>
      <c r="L130" s="196">
        <f>K130-H130</f>
        <v>5.2442322668104282</v>
      </c>
      <c r="M130" s="197">
        <f>IF((H130)=0,"",(L130/H130))</f>
        <v>3.6657163828362808E-2</v>
      </c>
    </row>
    <row r="131" spans="1:13" ht="15.75" thickBot="1" x14ac:dyDescent="0.3">
      <c r="A131" s="100" t="str">
        <f t="shared" si="15"/>
        <v>RESIDENTIAL SERVICE CLASSIFICATION</v>
      </c>
      <c r="B131" s="100" t="s">
        <v>121</v>
      </c>
      <c r="C131" s="117"/>
      <c r="D131" s="165"/>
      <c r="E131" s="166"/>
      <c r="F131" s="202"/>
      <c r="G131" s="203"/>
      <c r="H131" s="204"/>
      <c r="I131" s="202"/>
      <c r="J131" s="205"/>
      <c r="K131" s="204"/>
      <c r="L131" s="206"/>
      <c r="M131" s="207"/>
    </row>
    <row r="134" spans="1:13" x14ac:dyDescent="0.25">
      <c r="C134" s="100"/>
      <c r="D134" s="101" t="s">
        <v>134</v>
      </c>
      <c r="E134" s="302" t="str">
        <f>D31</f>
        <v>GENERAL SERVICE LESS THAN 50 KW SERVICE CLASSIFICATION</v>
      </c>
      <c r="F134" s="302"/>
      <c r="G134" s="302"/>
      <c r="H134" s="302"/>
      <c r="I134" s="302"/>
      <c r="J134" s="302"/>
      <c r="K134" s="100" t="str">
        <f>IF(N31="DEMAND - INTERVAL","RTSR - INTERVAL METERED","")</f>
        <v/>
      </c>
    </row>
    <row r="135" spans="1:13" x14ac:dyDescent="0.25">
      <c r="C135" s="100"/>
      <c r="D135" s="101" t="s">
        <v>135</v>
      </c>
      <c r="E135" s="303" t="str">
        <f>H31</f>
        <v>RPP</v>
      </c>
      <c r="F135" s="303"/>
      <c r="G135" s="303"/>
      <c r="H135" s="102"/>
      <c r="I135" s="102"/>
    </row>
    <row r="136" spans="1:13" ht="15.75" x14ac:dyDescent="0.25">
      <c r="C136" s="100"/>
      <c r="D136" s="101" t="s">
        <v>136</v>
      </c>
      <c r="E136" s="103">
        <f>K31</f>
        <v>2000</v>
      </c>
      <c r="F136" s="104" t="s">
        <v>137</v>
      </c>
      <c r="G136" s="105"/>
      <c r="J136" s="106"/>
      <c r="K136" s="106"/>
      <c r="L136" s="106"/>
      <c r="M136" s="106"/>
    </row>
    <row r="137" spans="1:13" ht="15.75" x14ac:dyDescent="0.25">
      <c r="C137" s="100"/>
      <c r="D137" s="101" t="s">
        <v>138</v>
      </c>
      <c r="E137" s="103">
        <f>L31</f>
        <v>0</v>
      </c>
      <c r="F137" s="107" t="s">
        <v>139</v>
      </c>
      <c r="G137" s="108"/>
      <c r="H137" s="109"/>
      <c r="I137" s="109"/>
      <c r="J137" s="109"/>
    </row>
    <row r="138" spans="1:13" x14ac:dyDescent="0.25">
      <c r="C138" s="100"/>
      <c r="D138" s="101" t="s">
        <v>140</v>
      </c>
      <c r="E138" s="110">
        <f>I31</f>
        <v>1.056</v>
      </c>
    </row>
    <row r="139" spans="1:13" x14ac:dyDescent="0.25">
      <c r="C139" s="100"/>
      <c r="D139" s="101" t="s">
        <v>141</v>
      </c>
      <c r="E139" s="110">
        <f>J31</f>
        <v>1.056</v>
      </c>
    </row>
    <row r="140" spans="1:13" x14ac:dyDescent="0.25">
      <c r="C140" s="100"/>
      <c r="D140" s="105"/>
    </row>
    <row r="141" spans="1:13" x14ac:dyDescent="0.25">
      <c r="C141" s="100"/>
      <c r="D141" s="105"/>
      <c r="E141" s="111"/>
      <c r="F141" s="304" t="s">
        <v>142</v>
      </c>
      <c r="G141" s="305"/>
      <c r="H141" s="306"/>
      <c r="I141" s="304" t="s">
        <v>143</v>
      </c>
      <c r="J141" s="305"/>
      <c r="K141" s="306"/>
      <c r="L141" s="304" t="s">
        <v>144</v>
      </c>
      <c r="M141" s="306"/>
    </row>
    <row r="142" spans="1:13" x14ac:dyDescent="0.25">
      <c r="C142" s="100"/>
      <c r="D142" s="105"/>
      <c r="E142" s="295"/>
      <c r="F142" s="112" t="s">
        <v>145</v>
      </c>
      <c r="G142" s="112" t="s">
        <v>146</v>
      </c>
      <c r="H142" s="113" t="s">
        <v>147</v>
      </c>
      <c r="I142" s="112" t="s">
        <v>145</v>
      </c>
      <c r="J142" s="114" t="s">
        <v>146</v>
      </c>
      <c r="K142" s="113" t="s">
        <v>147</v>
      </c>
      <c r="L142" s="297" t="s">
        <v>148</v>
      </c>
      <c r="M142" s="299" t="s">
        <v>149</v>
      </c>
    </row>
    <row r="143" spans="1:13" x14ac:dyDescent="0.25">
      <c r="C143" s="100"/>
      <c r="D143" s="105"/>
      <c r="E143" s="296"/>
      <c r="F143" s="115" t="s">
        <v>150</v>
      </c>
      <c r="G143" s="115"/>
      <c r="H143" s="116" t="s">
        <v>150</v>
      </c>
      <c r="I143" s="115" t="s">
        <v>150</v>
      </c>
      <c r="J143" s="116"/>
      <c r="K143" s="116" t="s">
        <v>150</v>
      </c>
      <c r="L143" s="298"/>
      <c r="M143" s="300"/>
    </row>
    <row r="144" spans="1:13" x14ac:dyDescent="0.25">
      <c r="A144" s="100" t="str">
        <f>$E134</f>
        <v>GENERAL SERVICE LESS THAN 50 KW SERVICE CLASSIFICATION</v>
      </c>
      <c r="C144" s="117"/>
      <c r="D144" s="118" t="s">
        <v>151</v>
      </c>
      <c r="E144" s="119"/>
      <c r="F144" s="120">
        <v>28.37</v>
      </c>
      <c r="G144" s="121">
        <v>1</v>
      </c>
      <c r="H144" s="122">
        <f>G144*F144</f>
        <v>28.37</v>
      </c>
      <c r="I144" s="123">
        <v>28.37</v>
      </c>
      <c r="J144" s="124">
        <f>G144</f>
        <v>1</v>
      </c>
      <c r="K144" s="122">
        <f>J144*I144</f>
        <v>28.37</v>
      </c>
      <c r="L144" s="125">
        <f t="shared" ref="L144:L165" si="20">K144-H144</f>
        <v>0</v>
      </c>
      <c r="M144" s="126">
        <f>IF(ISERROR(L144/H144), "", L144/H144)</f>
        <v>0</v>
      </c>
    </row>
    <row r="145" spans="1:13" x14ac:dyDescent="0.25">
      <c r="A145" s="100" t="str">
        <f>A144</f>
        <v>GENERAL SERVICE LESS THAN 50 KW SERVICE CLASSIFICATION</v>
      </c>
      <c r="C145" s="117"/>
      <c r="D145" s="118" t="s">
        <v>152</v>
      </c>
      <c r="E145" s="119"/>
      <c r="F145" s="127">
        <v>1.0200000000000001E-2</v>
      </c>
      <c r="G145" s="121">
        <f>IF($E137&gt;0, $E137, $E136)</f>
        <v>2000</v>
      </c>
      <c r="H145" s="122">
        <f t="shared" ref="H145:H157" si="21">G145*F145</f>
        <v>20.400000000000002</v>
      </c>
      <c r="I145" s="128">
        <v>1.0200000000000001E-2</v>
      </c>
      <c r="J145" s="124">
        <f>IF($E137&gt;0, $E137, $E136)</f>
        <v>2000</v>
      </c>
      <c r="K145" s="122">
        <f>J145*I145</f>
        <v>20.400000000000002</v>
      </c>
      <c r="L145" s="125">
        <f t="shared" si="20"/>
        <v>0</v>
      </c>
      <c r="M145" s="126">
        <f t="shared" ref="M145:M155" si="22">IF(ISERROR(L145/H145), "", L145/H145)</f>
        <v>0</v>
      </c>
    </row>
    <row r="146" spans="1:13" x14ac:dyDescent="0.25">
      <c r="A146" s="100" t="str">
        <f t="shared" ref="A146:A187" si="23">A145</f>
        <v>GENERAL SERVICE LESS THAN 50 KW SERVICE CLASSIFICATION</v>
      </c>
      <c r="C146" s="117"/>
      <c r="D146" s="118" t="s">
        <v>153</v>
      </c>
      <c r="E146" s="119"/>
      <c r="F146" s="127"/>
      <c r="G146" s="121">
        <f>IF($E137&gt;0, $E137, $E136)</f>
        <v>2000</v>
      </c>
      <c r="H146" s="122">
        <v>0</v>
      </c>
      <c r="I146" s="128"/>
      <c r="J146" s="124">
        <f>IF($E137&gt;0, $E137, $E136)</f>
        <v>2000</v>
      </c>
      <c r="K146" s="122">
        <v>0</v>
      </c>
      <c r="L146" s="125"/>
      <c r="M146" s="126"/>
    </row>
    <row r="147" spans="1:13" x14ac:dyDescent="0.25">
      <c r="A147" s="100" t="str">
        <f t="shared" si="23"/>
        <v>GENERAL SERVICE LESS THAN 50 KW SERVICE CLASSIFICATION</v>
      </c>
      <c r="C147" s="117"/>
      <c r="D147" s="118" t="s">
        <v>154</v>
      </c>
      <c r="E147" s="119"/>
      <c r="F147" s="127"/>
      <c r="G147" s="121">
        <f>IF($E137&gt;0, $E137, $E136)</f>
        <v>2000</v>
      </c>
      <c r="H147" s="122">
        <v>0</v>
      </c>
      <c r="I147" s="128"/>
      <c r="J147" s="121">
        <f>IF($E137&gt;0, $E137, $E136)</f>
        <v>2000</v>
      </c>
      <c r="K147" s="122">
        <v>0</v>
      </c>
      <c r="L147" s="125">
        <f>K147-H147</f>
        <v>0</v>
      </c>
      <c r="M147" s="126" t="str">
        <f>IF(ISERROR(L147/H147), "", L147/H147)</f>
        <v/>
      </c>
    </row>
    <row r="148" spans="1:13" x14ac:dyDescent="0.25">
      <c r="A148" s="100" t="str">
        <f t="shared" si="23"/>
        <v>GENERAL SERVICE LESS THAN 50 KW SERVICE CLASSIFICATION</v>
      </c>
      <c r="C148" s="117"/>
      <c r="D148" s="129" t="s">
        <v>155</v>
      </c>
      <c r="E148" s="119"/>
      <c r="F148" s="120">
        <v>0</v>
      </c>
      <c r="G148" s="121">
        <v>1</v>
      </c>
      <c r="H148" s="122">
        <f t="shared" si="21"/>
        <v>0</v>
      </c>
      <c r="I148" s="226">
        <f>'Rate Riders'!O9</f>
        <v>5.0258152524611814</v>
      </c>
      <c r="J148" s="124">
        <f>G148</f>
        <v>1</v>
      </c>
      <c r="K148" s="122">
        <f t="shared" ref="K148:K155" si="24">J148*I148</f>
        <v>5.0258152524611814</v>
      </c>
      <c r="L148" s="125">
        <f t="shared" si="20"/>
        <v>5.0258152524611814</v>
      </c>
      <c r="M148" s="126" t="str">
        <f t="shared" si="22"/>
        <v/>
      </c>
    </row>
    <row r="149" spans="1:13" x14ac:dyDescent="0.25">
      <c r="A149" s="100" t="str">
        <f t="shared" si="23"/>
        <v>GENERAL SERVICE LESS THAN 50 KW SERVICE CLASSIFICATION</v>
      </c>
      <c r="C149" s="117"/>
      <c r="D149" s="118" t="s">
        <v>156</v>
      </c>
      <c r="E149" s="119"/>
      <c r="F149" s="127">
        <v>0</v>
      </c>
      <c r="G149" s="121">
        <f>IF($E137&gt;0, $E137, $E136)</f>
        <v>2000</v>
      </c>
      <c r="H149" s="122">
        <f t="shared" si="21"/>
        <v>0</v>
      </c>
      <c r="I149" s="227">
        <f>'Rate Riders'!P9</f>
        <v>1.8069550784315846E-3</v>
      </c>
      <c r="J149" s="124">
        <f>IF($E137&gt;0, $E137, $E136)</f>
        <v>2000</v>
      </c>
      <c r="K149" s="122">
        <f t="shared" si="24"/>
        <v>3.6139101568631693</v>
      </c>
      <c r="L149" s="125">
        <f t="shared" si="20"/>
        <v>3.6139101568631693</v>
      </c>
      <c r="M149" s="126" t="str">
        <f t="shared" si="22"/>
        <v/>
      </c>
    </row>
    <row r="150" spans="1:13" x14ac:dyDescent="0.25">
      <c r="A150" s="100" t="str">
        <f t="shared" si="23"/>
        <v>GENERAL SERVICE LESS THAN 50 KW SERVICE CLASSIFICATION</v>
      </c>
      <c r="B150" s="130" t="s">
        <v>157</v>
      </c>
      <c r="C150" s="117">
        <f>B31</f>
        <v>2</v>
      </c>
      <c r="D150" s="131" t="s">
        <v>158</v>
      </c>
      <c r="E150" s="132"/>
      <c r="F150" s="133"/>
      <c r="G150" s="134"/>
      <c r="H150" s="135">
        <f>SUM(H144:H149)</f>
        <v>48.77</v>
      </c>
      <c r="I150" s="136"/>
      <c r="J150" s="137"/>
      <c r="K150" s="135">
        <f>SUM(K144:K149)</f>
        <v>57.409725409324352</v>
      </c>
      <c r="L150" s="138">
        <f t="shared" si="20"/>
        <v>8.639725409324349</v>
      </c>
      <c r="M150" s="139">
        <f>IF((H150)=0,"",(L150/H150))</f>
        <v>0.17715245866976315</v>
      </c>
    </row>
    <row r="151" spans="1:13" x14ac:dyDescent="0.25">
      <c r="A151" s="100" t="str">
        <f t="shared" si="23"/>
        <v>GENERAL SERVICE LESS THAN 50 KW SERVICE CLASSIFICATION</v>
      </c>
      <c r="C151" s="117"/>
      <c r="D151" s="140" t="s">
        <v>159</v>
      </c>
      <c r="E151" s="119"/>
      <c r="F151" s="127">
        <f>IF((E136*12&gt;=150000), 0, IF(E135="RPP",(F167*0.65+F168*0.17+F169*0.18),IF(E135="Non-RPP (Retailer)",F170,F171)))</f>
        <v>8.1990000000000007E-2</v>
      </c>
      <c r="G151" s="141">
        <f>IF(F151=0, 0, $E136*E138-E136)</f>
        <v>112</v>
      </c>
      <c r="H151" s="122">
        <f>G151*F151</f>
        <v>9.1828800000000008</v>
      </c>
      <c r="I151" s="128">
        <v>8.1990000000000007E-2</v>
      </c>
      <c r="J151" s="141">
        <f>IF(I151=0, 0, E136*E139-E136)</f>
        <v>112</v>
      </c>
      <c r="K151" s="122">
        <f>J151*I151</f>
        <v>9.1828800000000008</v>
      </c>
      <c r="L151" s="125">
        <f>K151-H151</f>
        <v>0</v>
      </c>
      <c r="M151" s="126">
        <f>IF(ISERROR(L151/H151), "", L151/H151)</f>
        <v>0</v>
      </c>
    </row>
    <row r="152" spans="1:13" ht="25.5" x14ac:dyDescent="0.25">
      <c r="A152" s="100" t="str">
        <f t="shared" si="23"/>
        <v>GENERAL SERVICE LESS THAN 50 KW SERVICE CLASSIFICATION</v>
      </c>
      <c r="C152" s="117"/>
      <c r="D152" s="140" t="s">
        <v>160</v>
      </c>
      <c r="E152" s="119"/>
      <c r="F152" s="127">
        <v>-1.4E-3</v>
      </c>
      <c r="G152" s="142">
        <f>IF($E137&gt;0, $E137, $E136)</f>
        <v>2000</v>
      </c>
      <c r="H152" s="122">
        <f t="shared" si="21"/>
        <v>-2.8</v>
      </c>
      <c r="I152" s="128">
        <v>-1.4E-3</v>
      </c>
      <c r="J152" s="142">
        <f>IF($E137&gt;0, $E137, $E136)</f>
        <v>2000</v>
      </c>
      <c r="K152" s="122">
        <f t="shared" si="24"/>
        <v>-2.8</v>
      </c>
      <c r="L152" s="125">
        <f t="shared" si="20"/>
        <v>0</v>
      </c>
      <c r="M152" s="126">
        <f t="shared" si="22"/>
        <v>0</v>
      </c>
    </row>
    <row r="153" spans="1:13" x14ac:dyDescent="0.25">
      <c r="A153" s="100" t="str">
        <f t="shared" si="23"/>
        <v>GENERAL SERVICE LESS THAN 50 KW SERVICE CLASSIFICATION</v>
      </c>
      <c r="C153" s="117"/>
      <c r="D153" s="140" t="s">
        <v>161</v>
      </c>
      <c r="E153" s="119"/>
      <c r="F153" s="127">
        <v>-1E-4</v>
      </c>
      <c r="G153" s="142">
        <f>IF($E137&gt;0, $E137, $E136)</f>
        <v>2000</v>
      </c>
      <c r="H153" s="122">
        <f>G153*F153</f>
        <v>-0.2</v>
      </c>
      <c r="I153" s="128">
        <v>-1E-4</v>
      </c>
      <c r="J153" s="142">
        <f>IF($E137&gt;0, $E137, $E136)</f>
        <v>2000</v>
      </c>
      <c r="K153" s="122">
        <f>J153*I153</f>
        <v>-0.2</v>
      </c>
      <c r="L153" s="125">
        <f t="shared" si="20"/>
        <v>0</v>
      </c>
      <c r="M153" s="126">
        <f t="shared" si="22"/>
        <v>0</v>
      </c>
    </row>
    <row r="154" spans="1:13" x14ac:dyDescent="0.25">
      <c r="A154" s="100" t="str">
        <f t="shared" si="23"/>
        <v>GENERAL SERVICE LESS THAN 50 KW SERVICE CLASSIFICATION</v>
      </c>
      <c r="C154" s="117"/>
      <c r="D154" s="140" t="s">
        <v>162</v>
      </c>
      <c r="E154" s="119"/>
      <c r="F154" s="127">
        <v>0</v>
      </c>
      <c r="G154" s="142">
        <f>E136</f>
        <v>2000</v>
      </c>
      <c r="H154" s="122">
        <f>G154*F154</f>
        <v>0</v>
      </c>
      <c r="I154" s="128">
        <v>0</v>
      </c>
      <c r="J154" s="142">
        <f>E136</f>
        <v>2000</v>
      </c>
      <c r="K154" s="122">
        <f t="shared" si="24"/>
        <v>0</v>
      </c>
      <c r="L154" s="125">
        <f t="shared" si="20"/>
        <v>0</v>
      </c>
      <c r="M154" s="126" t="str">
        <f t="shared" si="22"/>
        <v/>
      </c>
    </row>
    <row r="155" spans="1:13" x14ac:dyDescent="0.25">
      <c r="A155" s="100" t="str">
        <f t="shared" si="23"/>
        <v>GENERAL SERVICE LESS THAN 50 KW SERVICE CLASSIFICATION</v>
      </c>
      <c r="C155" s="117"/>
      <c r="D155" s="143" t="s">
        <v>163</v>
      </c>
      <c r="E155" s="119"/>
      <c r="F155" s="127">
        <v>2.3999999999999998E-3</v>
      </c>
      <c r="G155" s="142">
        <f>IF($E137&gt;0, $E137, $E136)</f>
        <v>2000</v>
      </c>
      <c r="H155" s="122">
        <f t="shared" si="21"/>
        <v>4.8</v>
      </c>
      <c r="I155" s="128">
        <v>2.3999999999999998E-3</v>
      </c>
      <c r="J155" s="142">
        <f>IF($E137&gt;0, $E137, $E136)</f>
        <v>2000</v>
      </c>
      <c r="K155" s="122">
        <f t="shared" si="24"/>
        <v>4.8</v>
      </c>
      <c r="L155" s="125">
        <f t="shared" si="20"/>
        <v>0</v>
      </c>
      <c r="M155" s="126">
        <f t="shared" si="22"/>
        <v>0</v>
      </c>
    </row>
    <row r="156" spans="1:13" ht="25.5" x14ac:dyDescent="0.25">
      <c r="A156" s="100" t="str">
        <f t="shared" si="23"/>
        <v>GENERAL SERVICE LESS THAN 50 KW SERVICE CLASSIFICATION</v>
      </c>
      <c r="C156" s="117"/>
      <c r="D156" s="144" t="s">
        <v>164</v>
      </c>
      <c r="E156" s="119"/>
      <c r="F156" s="145">
        <f>IF(OR(ISNUMBER(SEARCH("RESIDENTIAL", E134))=TRUE, ISNUMBER(SEARCH("GENERAL SERVICE LESS THAN 50", E134))=TRUE), SME, 0)</f>
        <v>0.56999999999999995</v>
      </c>
      <c r="G156" s="121">
        <v>1</v>
      </c>
      <c r="H156" s="122">
        <f>G156*F156</f>
        <v>0.56999999999999995</v>
      </c>
      <c r="I156" s="146">
        <v>0.56999999999999995</v>
      </c>
      <c r="J156" s="121">
        <v>1</v>
      </c>
      <c r="K156" s="122">
        <f>J156*I156</f>
        <v>0.56999999999999995</v>
      </c>
      <c r="L156" s="125">
        <f t="shared" si="20"/>
        <v>0</v>
      </c>
      <c r="M156" s="126">
        <f>IF(ISERROR(L156/H156), "", L156/H156)</f>
        <v>0</v>
      </c>
    </row>
    <row r="157" spans="1:13" x14ac:dyDescent="0.25">
      <c r="A157" s="100" t="str">
        <f t="shared" si="23"/>
        <v>GENERAL SERVICE LESS THAN 50 KW SERVICE CLASSIFICATION</v>
      </c>
      <c r="C157" s="117"/>
      <c r="D157" s="143" t="s">
        <v>165</v>
      </c>
      <c r="E157" s="119"/>
      <c r="F157" s="120">
        <v>0</v>
      </c>
      <c r="G157" s="121">
        <v>1</v>
      </c>
      <c r="H157" s="122">
        <f t="shared" si="21"/>
        <v>0</v>
      </c>
      <c r="I157" s="123">
        <v>0</v>
      </c>
      <c r="J157" s="121">
        <v>1</v>
      </c>
      <c r="K157" s="122">
        <f>J157*I157</f>
        <v>0</v>
      </c>
      <c r="L157" s="125">
        <f>K157-H157</f>
        <v>0</v>
      </c>
      <c r="M157" s="126" t="str">
        <f>IF(ISERROR(L157/H157), "", L157/H157)</f>
        <v/>
      </c>
    </row>
    <row r="158" spans="1:13" x14ac:dyDescent="0.25">
      <c r="A158" s="100" t="str">
        <f t="shared" si="23"/>
        <v>GENERAL SERVICE LESS THAN 50 KW SERVICE CLASSIFICATION</v>
      </c>
      <c r="C158" s="117"/>
      <c r="D158" s="143" t="s">
        <v>166</v>
      </c>
      <c r="E158" s="119"/>
      <c r="F158" s="127"/>
      <c r="G158" s="142">
        <f>IF($E137&gt;0, $E137, $E136)</f>
        <v>2000</v>
      </c>
      <c r="H158" s="122">
        <f>G158*F158</f>
        <v>0</v>
      </c>
      <c r="I158" s="128"/>
      <c r="J158" s="142">
        <f>IF($E137&gt;0, $E137, $E136)</f>
        <v>2000</v>
      </c>
      <c r="K158" s="122">
        <f>J158*I158</f>
        <v>0</v>
      </c>
      <c r="L158" s="125">
        <f t="shared" si="20"/>
        <v>0</v>
      </c>
      <c r="M158" s="126" t="str">
        <f>IF(ISERROR(L158/H158), "", L158/H158)</f>
        <v/>
      </c>
    </row>
    <row r="159" spans="1:13" ht="25.5" x14ac:dyDescent="0.25">
      <c r="A159" s="100" t="str">
        <f t="shared" si="23"/>
        <v>GENERAL SERVICE LESS THAN 50 KW SERVICE CLASSIFICATION</v>
      </c>
      <c r="B159" s="105" t="s">
        <v>167</v>
      </c>
      <c r="C159" s="117">
        <f>B31</f>
        <v>2</v>
      </c>
      <c r="D159" s="147" t="s">
        <v>168</v>
      </c>
      <c r="E159" s="148"/>
      <c r="F159" s="149"/>
      <c r="G159" s="150"/>
      <c r="H159" s="151">
        <f>SUM(H150:H158)</f>
        <v>60.322880000000005</v>
      </c>
      <c r="I159" s="152"/>
      <c r="J159" s="153"/>
      <c r="K159" s="151">
        <f>SUM(K150:K158)</f>
        <v>68.96260540932434</v>
      </c>
      <c r="L159" s="138">
        <f t="shared" si="20"/>
        <v>8.6397254093243347</v>
      </c>
      <c r="M159" s="139">
        <f>IF((H159)=0,"",(L159/H159))</f>
        <v>0.1432246837240585</v>
      </c>
    </row>
    <row r="160" spans="1:13" x14ac:dyDescent="0.25">
      <c r="A160" s="100" t="str">
        <f t="shared" si="23"/>
        <v>GENERAL SERVICE LESS THAN 50 KW SERVICE CLASSIFICATION</v>
      </c>
      <c r="C160" s="117"/>
      <c r="D160" s="154" t="s">
        <v>169</v>
      </c>
      <c r="E160" s="119"/>
      <c r="F160" s="127">
        <v>6.0000000000000001E-3</v>
      </c>
      <c r="G160" s="141">
        <f>IF($E137&gt;0, $E137, $E136*$E138)</f>
        <v>2112</v>
      </c>
      <c r="H160" s="122">
        <f>G160*F160</f>
        <v>12.672000000000001</v>
      </c>
      <c r="I160" s="128">
        <v>6.0000000000000001E-3</v>
      </c>
      <c r="J160" s="141">
        <f>IF($E137&gt;0, $E137, $E136*$E139)</f>
        <v>2112</v>
      </c>
      <c r="K160" s="122">
        <f>J160*I160</f>
        <v>12.672000000000001</v>
      </c>
      <c r="L160" s="125">
        <f t="shared" si="20"/>
        <v>0</v>
      </c>
      <c r="M160" s="126">
        <f>IF(ISERROR(L160/H160), "", L160/H160)</f>
        <v>0</v>
      </c>
    </row>
    <row r="161" spans="1:13" ht="25.5" x14ac:dyDescent="0.25">
      <c r="A161" s="100" t="str">
        <f t="shared" si="23"/>
        <v>GENERAL SERVICE LESS THAN 50 KW SERVICE CLASSIFICATION</v>
      </c>
      <c r="C161" s="117"/>
      <c r="D161" s="155" t="s">
        <v>170</v>
      </c>
      <c r="E161" s="119"/>
      <c r="F161" s="127">
        <v>5.3E-3</v>
      </c>
      <c r="G161" s="141">
        <f>IF($E137&gt;0, $E137, $E136*$E138)</f>
        <v>2112</v>
      </c>
      <c r="H161" s="122">
        <f>G161*F161</f>
        <v>11.1936</v>
      </c>
      <c r="I161" s="128">
        <v>5.3E-3</v>
      </c>
      <c r="J161" s="141">
        <f>IF($E137&gt;0, $E137, $E136*$E139)</f>
        <v>2112</v>
      </c>
      <c r="K161" s="122">
        <f>J161*I161</f>
        <v>11.1936</v>
      </c>
      <c r="L161" s="125">
        <f t="shared" si="20"/>
        <v>0</v>
      </c>
      <c r="M161" s="126">
        <f>IF(ISERROR(L161/H161), "", L161/H161)</f>
        <v>0</v>
      </c>
    </row>
    <row r="162" spans="1:13" ht="25.5" x14ac:dyDescent="0.25">
      <c r="A162" s="100" t="str">
        <f t="shared" si="23"/>
        <v>GENERAL SERVICE LESS THAN 50 KW SERVICE CLASSIFICATION</v>
      </c>
      <c r="B162" s="105" t="s">
        <v>171</v>
      </c>
      <c r="C162" s="117">
        <f>B31</f>
        <v>2</v>
      </c>
      <c r="D162" s="147" t="s">
        <v>172</v>
      </c>
      <c r="E162" s="132"/>
      <c r="F162" s="149"/>
      <c r="G162" s="150"/>
      <c r="H162" s="151">
        <f>SUM(H159:H161)</f>
        <v>84.188480000000013</v>
      </c>
      <c r="I162" s="152"/>
      <c r="J162" s="137"/>
      <c r="K162" s="151">
        <f>SUM(K159:K161)</f>
        <v>92.82820540932434</v>
      </c>
      <c r="L162" s="138">
        <f t="shared" si="20"/>
        <v>8.6397254093243276</v>
      </c>
      <c r="M162" s="139">
        <f>IF((H162)=0,"",(L162/H162))</f>
        <v>0.10262360609580226</v>
      </c>
    </row>
    <row r="163" spans="1:13" ht="25.5" x14ac:dyDescent="0.25">
      <c r="A163" s="100" t="str">
        <f t="shared" si="23"/>
        <v>GENERAL SERVICE LESS THAN 50 KW SERVICE CLASSIFICATION</v>
      </c>
      <c r="C163" s="117"/>
      <c r="D163" s="156" t="s">
        <v>173</v>
      </c>
      <c r="E163" s="119"/>
      <c r="F163" s="127">
        <v>3.6000000000000003E-3</v>
      </c>
      <c r="G163" s="141">
        <f>E136*E138</f>
        <v>2112</v>
      </c>
      <c r="H163" s="157">
        <f t="shared" ref="H163:H169" si="25">G163*F163</f>
        <v>7.6032000000000011</v>
      </c>
      <c r="I163" s="128">
        <v>3.6000000000000003E-3</v>
      </c>
      <c r="J163" s="141">
        <f>E136*E139</f>
        <v>2112</v>
      </c>
      <c r="K163" s="157">
        <f t="shared" ref="K163:K169" si="26">J163*I163</f>
        <v>7.6032000000000011</v>
      </c>
      <c r="L163" s="125">
        <f t="shared" si="20"/>
        <v>0</v>
      </c>
      <c r="M163" s="126">
        <f t="shared" ref="M163:M171" si="27">IF(ISERROR(L163/H163), "", L163/H163)</f>
        <v>0</v>
      </c>
    </row>
    <row r="164" spans="1:13" ht="25.5" x14ac:dyDescent="0.25">
      <c r="A164" s="100" t="str">
        <f t="shared" si="23"/>
        <v>GENERAL SERVICE LESS THAN 50 KW SERVICE CLASSIFICATION</v>
      </c>
      <c r="C164" s="117"/>
      <c r="D164" s="156" t="s">
        <v>174</v>
      </c>
      <c r="E164" s="119"/>
      <c r="F164" s="127">
        <f>'[1]17. Regulatory Charges'!$D$16</f>
        <v>2.9999999999999997E-4</v>
      </c>
      <c r="G164" s="141">
        <f>E136*E138</f>
        <v>2112</v>
      </c>
      <c r="H164" s="157">
        <f t="shared" si="25"/>
        <v>0.63359999999999994</v>
      </c>
      <c r="I164" s="128">
        <v>2.9999999999999997E-4</v>
      </c>
      <c r="J164" s="141">
        <f>E136*E139</f>
        <v>2112</v>
      </c>
      <c r="K164" s="157">
        <f t="shared" si="26"/>
        <v>0.63359999999999994</v>
      </c>
      <c r="L164" s="125">
        <f t="shared" si="20"/>
        <v>0</v>
      </c>
      <c r="M164" s="126">
        <f t="shared" si="27"/>
        <v>0</v>
      </c>
    </row>
    <row r="165" spans="1:13" x14ac:dyDescent="0.25">
      <c r="A165" s="100" t="str">
        <f t="shared" si="23"/>
        <v>GENERAL SERVICE LESS THAN 50 KW SERVICE CLASSIFICATION</v>
      </c>
      <c r="C165" s="117"/>
      <c r="D165" s="158" t="s">
        <v>175</v>
      </c>
      <c r="E165" s="119"/>
      <c r="F165" s="145">
        <v>0.25</v>
      </c>
      <c r="G165" s="121">
        <v>1</v>
      </c>
      <c r="H165" s="157">
        <f t="shared" si="25"/>
        <v>0.25</v>
      </c>
      <c r="I165" s="146">
        <v>0.25</v>
      </c>
      <c r="J165" s="124">
        <v>1</v>
      </c>
      <c r="K165" s="157">
        <f t="shared" si="26"/>
        <v>0.25</v>
      </c>
      <c r="L165" s="125">
        <f t="shared" si="20"/>
        <v>0</v>
      </c>
      <c r="M165" s="126">
        <f t="shared" si="27"/>
        <v>0</v>
      </c>
    </row>
    <row r="166" spans="1:13" ht="25.5" x14ac:dyDescent="0.25">
      <c r="A166" s="100" t="str">
        <f t="shared" si="23"/>
        <v>GENERAL SERVICE LESS THAN 50 KW SERVICE CLASSIFICATION</v>
      </c>
      <c r="C166" s="117"/>
      <c r="D166" s="156" t="s">
        <v>176</v>
      </c>
      <c r="E166" s="119"/>
      <c r="F166" s="127"/>
      <c r="G166" s="141"/>
      <c r="H166" s="157"/>
      <c r="I166" s="128"/>
      <c r="J166" s="141"/>
      <c r="K166" s="157"/>
      <c r="L166" s="125"/>
      <c r="M166" s="126"/>
    </row>
    <row r="167" spans="1:13" x14ac:dyDescent="0.25">
      <c r="A167" s="100" t="str">
        <f t="shared" si="23"/>
        <v>GENERAL SERVICE LESS THAN 50 KW SERVICE CLASSIFICATION</v>
      </c>
      <c r="B167" s="105" t="s">
        <v>117</v>
      </c>
      <c r="C167" s="117"/>
      <c r="D167" s="159" t="s">
        <v>177</v>
      </c>
      <c r="E167" s="119"/>
      <c r="F167" s="160">
        <f>OffPeak</f>
        <v>6.5000000000000002E-2</v>
      </c>
      <c r="G167" s="161">
        <f>IF(AND(E136*12&gt;=150000),0.65*E136*E138,0.65*E136)</f>
        <v>1300</v>
      </c>
      <c r="H167" s="157">
        <f t="shared" si="25"/>
        <v>84.5</v>
      </c>
      <c r="I167" s="162">
        <v>6.5000000000000002E-2</v>
      </c>
      <c r="J167" s="161">
        <f>IF(AND(E136*12&gt;=150000),0.65*E136*E139,0.65*E136)</f>
        <v>1300</v>
      </c>
      <c r="K167" s="157">
        <f t="shared" si="26"/>
        <v>84.5</v>
      </c>
      <c r="L167" s="125">
        <f>K167-H167</f>
        <v>0</v>
      </c>
      <c r="M167" s="126">
        <f t="shared" si="27"/>
        <v>0</v>
      </c>
    </row>
    <row r="168" spans="1:13" x14ac:dyDescent="0.25">
      <c r="A168" s="100" t="str">
        <f t="shared" si="23"/>
        <v>GENERAL SERVICE LESS THAN 50 KW SERVICE CLASSIFICATION</v>
      </c>
      <c r="B168" s="105" t="s">
        <v>117</v>
      </c>
      <c r="C168" s="117"/>
      <c r="D168" s="159" t="s">
        <v>178</v>
      </c>
      <c r="E168" s="119"/>
      <c r="F168" s="160">
        <f>MidPeak</f>
        <v>9.4E-2</v>
      </c>
      <c r="G168" s="161">
        <f>IF(AND(E136*12&gt;=150000),0.17*E136*E138,0.17*E136)</f>
        <v>340</v>
      </c>
      <c r="H168" s="157">
        <f t="shared" si="25"/>
        <v>31.96</v>
      </c>
      <c r="I168" s="162">
        <v>9.4E-2</v>
      </c>
      <c r="J168" s="161">
        <f>IF(AND(E136*12&gt;=150000),0.17*E136*E139,0.17*E136)</f>
        <v>340</v>
      </c>
      <c r="K168" s="157">
        <f t="shared" si="26"/>
        <v>31.96</v>
      </c>
      <c r="L168" s="125">
        <f>K168-H168</f>
        <v>0</v>
      </c>
      <c r="M168" s="126">
        <f t="shared" si="27"/>
        <v>0</v>
      </c>
    </row>
    <row r="169" spans="1:13" ht="15.75" thickBot="1" x14ac:dyDescent="0.3">
      <c r="A169" s="100" t="str">
        <f t="shared" si="23"/>
        <v>GENERAL SERVICE LESS THAN 50 KW SERVICE CLASSIFICATION</v>
      </c>
      <c r="B169" s="105" t="s">
        <v>117</v>
      </c>
      <c r="C169" s="117"/>
      <c r="D169" s="105" t="s">
        <v>179</v>
      </c>
      <c r="E169" s="119"/>
      <c r="F169" s="160">
        <f>OnPeak</f>
        <v>0.13200000000000001</v>
      </c>
      <c r="G169" s="161">
        <f>IF(AND(E136*12&gt;=150000),0.18*E136*E138,0.18*E136)</f>
        <v>360</v>
      </c>
      <c r="H169" s="157">
        <f t="shared" si="25"/>
        <v>47.52</v>
      </c>
      <c r="I169" s="162">
        <v>0.13200000000000001</v>
      </c>
      <c r="J169" s="161">
        <f>IF(AND(E136*12&gt;=150000),0.18*E136*E139,0.18*E136)</f>
        <v>360</v>
      </c>
      <c r="K169" s="157">
        <f t="shared" si="26"/>
        <v>47.52</v>
      </c>
      <c r="L169" s="125">
        <f>K169-H169</f>
        <v>0</v>
      </c>
      <c r="M169" s="126">
        <f t="shared" si="27"/>
        <v>0</v>
      </c>
    </row>
    <row r="170" spans="1:13" hidden="1" x14ac:dyDescent="0.25">
      <c r="A170" s="100" t="str">
        <f t="shared" si="23"/>
        <v>GENERAL SERVICE LESS THAN 50 KW SERVICE CLASSIFICATION</v>
      </c>
      <c r="B170" s="100" t="s">
        <v>180</v>
      </c>
      <c r="C170" s="117"/>
      <c r="D170" s="159" t="s">
        <v>181</v>
      </c>
      <c r="E170" s="119"/>
      <c r="F170" s="163">
        <v>0.1101</v>
      </c>
      <c r="G170" s="161">
        <f>IF(AND(E136*12&gt;=150000),E136*E138,E136)</f>
        <v>2000</v>
      </c>
      <c r="H170" s="157">
        <f>G170*F170</f>
        <v>220.20000000000002</v>
      </c>
      <c r="I170" s="164">
        <v>0.1101</v>
      </c>
      <c r="J170" s="161">
        <f>IF(AND(E136*12&gt;=150000),E136*E139,E136)</f>
        <v>2000</v>
      </c>
      <c r="K170" s="157">
        <f>J170*I170</f>
        <v>220.20000000000002</v>
      </c>
      <c r="L170" s="125">
        <f>K170-H170</f>
        <v>0</v>
      </c>
      <c r="M170" s="126">
        <f t="shared" si="27"/>
        <v>0</v>
      </c>
    </row>
    <row r="171" spans="1:13" ht="15.75" hidden="1" thickBot="1" x14ac:dyDescent="0.3">
      <c r="A171" s="100" t="str">
        <f t="shared" si="23"/>
        <v>GENERAL SERVICE LESS THAN 50 KW SERVICE CLASSIFICATION</v>
      </c>
      <c r="B171" s="100" t="s">
        <v>121</v>
      </c>
      <c r="C171" s="117"/>
      <c r="D171" s="159" t="s">
        <v>182</v>
      </c>
      <c r="E171" s="119"/>
      <c r="F171" s="163">
        <v>0.1101</v>
      </c>
      <c r="G171" s="161">
        <f>IF(AND(E136*12&gt;=150000),E136*E138,E136)</f>
        <v>2000</v>
      </c>
      <c r="H171" s="157">
        <f>G171*F171</f>
        <v>220.20000000000002</v>
      </c>
      <c r="I171" s="164">
        <v>0.1101</v>
      </c>
      <c r="J171" s="161">
        <f>IF(AND(E136*12&gt;=150000),E136*E139,E136)</f>
        <v>2000</v>
      </c>
      <c r="K171" s="157">
        <f>J171*I171</f>
        <v>220.20000000000002</v>
      </c>
      <c r="L171" s="125">
        <f>K171-H171</f>
        <v>0</v>
      </c>
      <c r="M171" s="126">
        <f t="shared" si="27"/>
        <v>0</v>
      </c>
    </row>
    <row r="172" spans="1:13" ht="15.75" thickBot="1" x14ac:dyDescent="0.3">
      <c r="A172" s="100" t="str">
        <f t="shared" si="23"/>
        <v>GENERAL SERVICE LESS THAN 50 KW SERVICE CLASSIFICATION</v>
      </c>
      <c r="B172" s="105"/>
      <c r="C172" s="117"/>
      <c r="D172" s="165"/>
      <c r="E172" s="166"/>
      <c r="F172" s="167"/>
      <c r="G172" s="168"/>
      <c r="H172" s="169"/>
      <c r="I172" s="167"/>
      <c r="J172" s="170"/>
      <c r="K172" s="169"/>
      <c r="L172" s="171"/>
      <c r="M172" s="172"/>
    </row>
    <row r="173" spans="1:13" x14ac:dyDescent="0.25">
      <c r="A173" s="100" t="str">
        <f t="shared" si="23"/>
        <v>GENERAL SERVICE LESS THAN 50 KW SERVICE CLASSIFICATION</v>
      </c>
      <c r="B173" s="105" t="s">
        <v>117</v>
      </c>
      <c r="C173" s="117"/>
      <c r="D173" s="173" t="s">
        <v>183</v>
      </c>
      <c r="E173" s="158"/>
      <c r="F173" s="174"/>
      <c r="G173" s="175"/>
      <c r="H173" s="176">
        <f>SUM(H163:H169,H162)</f>
        <v>256.65528</v>
      </c>
      <c r="I173" s="177"/>
      <c r="J173" s="177"/>
      <c r="K173" s="176">
        <f>SUM(K163:K169,K162)</f>
        <v>265.29500540932435</v>
      </c>
      <c r="L173" s="178">
        <f>K173-H173</f>
        <v>8.6397254093243419</v>
      </c>
      <c r="M173" s="179">
        <f>IF((H173)=0,"",(L173/H173))</f>
        <v>3.3662761231034649E-2</v>
      </c>
    </row>
    <row r="174" spans="1:13" x14ac:dyDescent="0.25">
      <c r="A174" s="100" t="str">
        <f t="shared" si="23"/>
        <v>GENERAL SERVICE LESS THAN 50 KW SERVICE CLASSIFICATION</v>
      </c>
      <c r="B174" s="105" t="s">
        <v>117</v>
      </c>
      <c r="C174" s="117"/>
      <c r="D174" s="180" t="s">
        <v>184</v>
      </c>
      <c r="E174" s="158"/>
      <c r="F174" s="174">
        <v>0.13</v>
      </c>
      <c r="G174" s="181"/>
      <c r="H174" s="182">
        <f>H173*F174</f>
        <v>33.365186399999999</v>
      </c>
      <c r="I174" s="183">
        <v>0.13</v>
      </c>
      <c r="J174" s="121"/>
      <c r="K174" s="182">
        <f>K173*I174</f>
        <v>34.488350703212163</v>
      </c>
      <c r="L174" s="184">
        <f>K174-H174</f>
        <v>1.1231643032121639</v>
      </c>
      <c r="M174" s="185">
        <f>IF((H174)=0,"",(L174/H174))</f>
        <v>3.3662761231034628E-2</v>
      </c>
    </row>
    <row r="175" spans="1:13" x14ac:dyDescent="0.25">
      <c r="A175" s="100" t="str">
        <f t="shared" si="23"/>
        <v>GENERAL SERVICE LESS THAN 50 KW SERVICE CLASSIFICATION</v>
      </c>
      <c r="B175" s="105" t="s">
        <v>117</v>
      </c>
      <c r="C175" s="117"/>
      <c r="D175" s="180" t="s">
        <v>185</v>
      </c>
      <c r="E175" s="158"/>
      <c r="F175" s="174">
        <v>0.08</v>
      </c>
      <c r="G175" s="181"/>
      <c r="H175" s="182">
        <f>H173*-F175</f>
        <v>-20.532422400000002</v>
      </c>
      <c r="I175" s="174">
        <v>0.08</v>
      </c>
      <c r="J175" s="121"/>
      <c r="K175" s="182">
        <f>K173*-I175</f>
        <v>-21.223600432745947</v>
      </c>
      <c r="L175" s="184">
        <f>K175-H175</f>
        <v>-0.69117803274594536</v>
      </c>
      <c r="M175" s="185"/>
    </row>
    <row r="176" spans="1:13" ht="15.75" thickBot="1" x14ac:dyDescent="0.3">
      <c r="A176" s="100" t="str">
        <f t="shared" si="23"/>
        <v>GENERAL SERVICE LESS THAN 50 KW SERVICE CLASSIFICATION</v>
      </c>
      <c r="B176" s="105" t="s">
        <v>186</v>
      </c>
      <c r="C176" s="117">
        <f>B31</f>
        <v>2</v>
      </c>
      <c r="D176" s="301" t="s">
        <v>187</v>
      </c>
      <c r="E176" s="301"/>
      <c r="F176" s="186"/>
      <c r="G176" s="187"/>
      <c r="H176" s="188">
        <f>H173+H174+H175</f>
        <v>269.48804400000006</v>
      </c>
      <c r="I176" s="189"/>
      <c r="J176" s="189"/>
      <c r="K176" s="190">
        <f>K173+K174+K175</f>
        <v>278.55975567979056</v>
      </c>
      <c r="L176" s="191">
        <f>K176-H176</f>
        <v>9.0717116797904964</v>
      </c>
      <c r="M176" s="192">
        <f>IF((H176)=0,"",(L176/H176))</f>
        <v>3.3662761231034406E-2</v>
      </c>
    </row>
    <row r="177" spans="1:13" ht="15.75" hidden="1" thickBot="1" x14ac:dyDescent="0.3">
      <c r="A177" s="100" t="str">
        <f t="shared" si="23"/>
        <v>GENERAL SERVICE LESS THAN 50 KW SERVICE CLASSIFICATION</v>
      </c>
      <c r="B177" s="100" t="s">
        <v>117</v>
      </c>
      <c r="C177" s="117"/>
      <c r="D177" s="165"/>
      <c r="E177" s="166"/>
      <c r="F177" s="167"/>
      <c r="G177" s="168"/>
      <c r="H177" s="169"/>
      <c r="I177" s="167"/>
      <c r="J177" s="170"/>
      <c r="K177" s="169"/>
      <c r="L177" s="171"/>
      <c r="M177" s="172"/>
    </row>
    <row r="178" spans="1:13" hidden="1" x14ac:dyDescent="0.25">
      <c r="A178" s="100" t="str">
        <f t="shared" si="23"/>
        <v>GENERAL SERVICE LESS THAN 50 KW SERVICE CLASSIFICATION</v>
      </c>
      <c r="B178" s="100" t="s">
        <v>180</v>
      </c>
      <c r="C178" s="117"/>
      <c r="D178" s="173" t="s">
        <v>188</v>
      </c>
      <c r="E178" s="158"/>
      <c r="F178" s="174"/>
      <c r="G178" s="175"/>
      <c r="H178" s="176">
        <f>SUM(H170,H163:H166,H162)</f>
        <v>312.87528000000003</v>
      </c>
      <c r="I178" s="177"/>
      <c r="J178" s="177"/>
      <c r="K178" s="176">
        <f>SUM(K170,K163:K166,K162)</f>
        <v>321.51500540932432</v>
      </c>
      <c r="L178" s="178">
        <f>K178-H178</f>
        <v>8.639725409324285</v>
      </c>
      <c r="M178" s="179">
        <f>IF((H178)=0,"",(L178/H178))</f>
        <v>2.7613959815950575E-2</v>
      </c>
    </row>
    <row r="179" spans="1:13" hidden="1" x14ac:dyDescent="0.25">
      <c r="A179" s="100" t="str">
        <f t="shared" si="23"/>
        <v>GENERAL SERVICE LESS THAN 50 KW SERVICE CLASSIFICATION</v>
      </c>
      <c r="B179" s="100" t="s">
        <v>180</v>
      </c>
      <c r="C179" s="117"/>
      <c r="D179" s="180" t="s">
        <v>184</v>
      </c>
      <c r="E179" s="158"/>
      <c r="F179" s="174">
        <v>0.13</v>
      </c>
      <c r="G179" s="175"/>
      <c r="H179" s="182">
        <f>H178*F179</f>
        <v>40.673786400000004</v>
      </c>
      <c r="I179" s="174">
        <v>0.13</v>
      </c>
      <c r="J179" s="183"/>
      <c r="K179" s="182">
        <f>K178*I179</f>
        <v>41.796950703212161</v>
      </c>
      <c r="L179" s="184">
        <f>K179-H179</f>
        <v>1.1231643032121568</v>
      </c>
      <c r="M179" s="185">
        <f>IF((H179)=0,"",(L179/H179))</f>
        <v>2.7613959815950568E-2</v>
      </c>
    </row>
    <row r="180" spans="1:13" hidden="1" x14ac:dyDescent="0.25">
      <c r="A180" s="100" t="str">
        <f t="shared" si="23"/>
        <v>GENERAL SERVICE LESS THAN 50 KW SERVICE CLASSIFICATION</v>
      </c>
      <c r="B180" s="100" t="s">
        <v>180</v>
      </c>
      <c r="C180" s="117"/>
      <c r="D180" s="180" t="s">
        <v>185</v>
      </c>
      <c r="E180" s="158"/>
      <c r="F180" s="174">
        <v>0.08</v>
      </c>
      <c r="G180" s="175"/>
      <c r="H180" s="182"/>
      <c r="I180" s="174">
        <v>0.08</v>
      </c>
      <c r="J180" s="183"/>
      <c r="K180" s="182"/>
      <c r="L180" s="184"/>
      <c r="M180" s="185"/>
    </row>
    <row r="181" spans="1:13" ht="15.75" hidden="1" thickBot="1" x14ac:dyDescent="0.3">
      <c r="A181" s="100" t="str">
        <f t="shared" si="23"/>
        <v>GENERAL SERVICE LESS THAN 50 KW SERVICE CLASSIFICATION</v>
      </c>
      <c r="B181" s="100" t="s">
        <v>189</v>
      </c>
      <c r="C181" s="117"/>
      <c r="D181" s="301" t="s">
        <v>188</v>
      </c>
      <c r="E181" s="301"/>
      <c r="F181" s="193"/>
      <c r="G181" s="194"/>
      <c r="H181" s="188">
        <f>SUM(H178,H179)</f>
        <v>353.54906640000002</v>
      </c>
      <c r="I181" s="195"/>
      <c r="J181" s="195"/>
      <c r="K181" s="188">
        <f>SUM(K178,K179)</f>
        <v>363.31195611253645</v>
      </c>
      <c r="L181" s="196">
        <f>K181-H181</f>
        <v>9.7628897125364347</v>
      </c>
      <c r="M181" s="197">
        <f>IF((H181)=0,"",(L181/H181))</f>
        <v>2.7613959815950554E-2</v>
      </c>
    </row>
    <row r="182" spans="1:13" ht="15.75" hidden="1" thickBot="1" x14ac:dyDescent="0.3">
      <c r="A182" s="100" t="str">
        <f t="shared" si="23"/>
        <v>GENERAL SERVICE LESS THAN 50 KW SERVICE CLASSIFICATION</v>
      </c>
      <c r="B182" s="100" t="s">
        <v>180</v>
      </c>
      <c r="C182" s="117"/>
      <c r="D182" s="165"/>
      <c r="E182" s="166"/>
      <c r="F182" s="198"/>
      <c r="G182" s="199"/>
      <c r="H182" s="200"/>
      <c r="I182" s="198"/>
      <c r="J182" s="168"/>
      <c r="K182" s="200"/>
      <c r="L182" s="201"/>
      <c r="M182" s="172"/>
    </row>
    <row r="183" spans="1:13" hidden="1" x14ac:dyDescent="0.25">
      <c r="A183" s="100" t="str">
        <f t="shared" si="23"/>
        <v>GENERAL SERVICE LESS THAN 50 KW SERVICE CLASSIFICATION</v>
      </c>
      <c r="B183" s="100" t="s">
        <v>121</v>
      </c>
      <c r="C183" s="117"/>
      <c r="D183" s="173" t="s">
        <v>190</v>
      </c>
      <c r="E183" s="158"/>
      <c r="F183" s="174"/>
      <c r="G183" s="175"/>
      <c r="H183" s="176">
        <f>SUM(H171,H163:H166,H162)</f>
        <v>312.87528000000003</v>
      </c>
      <c r="I183" s="177"/>
      <c r="J183" s="177"/>
      <c r="K183" s="176">
        <f>SUM(K171,K163:K166,K162)</f>
        <v>321.51500540932432</v>
      </c>
      <c r="L183" s="178">
        <f>K183-H183</f>
        <v>8.639725409324285</v>
      </c>
      <c r="M183" s="179">
        <f>IF((H183)=0,"",(L183/H183))</f>
        <v>2.7613959815950575E-2</v>
      </c>
    </row>
    <row r="184" spans="1:13" hidden="1" x14ac:dyDescent="0.25">
      <c r="A184" s="100" t="str">
        <f t="shared" si="23"/>
        <v>GENERAL SERVICE LESS THAN 50 KW SERVICE CLASSIFICATION</v>
      </c>
      <c r="B184" s="100" t="s">
        <v>121</v>
      </c>
      <c r="C184" s="117"/>
      <c r="D184" s="180" t="s">
        <v>184</v>
      </c>
      <c r="E184" s="158"/>
      <c r="F184" s="174">
        <v>0.13</v>
      </c>
      <c r="G184" s="175"/>
      <c r="H184" s="182">
        <f>H183*F184</f>
        <v>40.673786400000004</v>
      </c>
      <c r="I184" s="174">
        <v>0.13</v>
      </c>
      <c r="J184" s="183"/>
      <c r="K184" s="182">
        <f>K183*I184</f>
        <v>41.796950703212161</v>
      </c>
      <c r="L184" s="184">
        <f>K184-H184</f>
        <v>1.1231643032121568</v>
      </c>
      <c r="M184" s="185">
        <f>IF((H184)=0,"",(L184/H184))</f>
        <v>2.7613959815950568E-2</v>
      </c>
    </row>
    <row r="185" spans="1:13" hidden="1" x14ac:dyDescent="0.25">
      <c r="A185" s="100" t="str">
        <f t="shared" si="23"/>
        <v>GENERAL SERVICE LESS THAN 50 KW SERVICE CLASSIFICATION</v>
      </c>
      <c r="B185" s="100" t="s">
        <v>121</v>
      </c>
      <c r="C185" s="117"/>
      <c r="D185" s="180" t="s">
        <v>185</v>
      </c>
      <c r="E185" s="158"/>
      <c r="F185" s="174">
        <v>0.08</v>
      </c>
      <c r="G185" s="175"/>
      <c r="H185" s="182"/>
      <c r="I185" s="174">
        <v>0.08</v>
      </c>
      <c r="J185" s="183"/>
      <c r="K185" s="182"/>
      <c r="L185" s="184"/>
      <c r="M185" s="185"/>
    </row>
    <row r="186" spans="1:13" ht="15.75" hidden="1" thickBot="1" x14ac:dyDescent="0.3">
      <c r="A186" s="100" t="str">
        <f t="shared" si="23"/>
        <v>GENERAL SERVICE LESS THAN 50 KW SERVICE CLASSIFICATION</v>
      </c>
      <c r="B186" s="100" t="s">
        <v>191</v>
      </c>
      <c r="C186" s="117"/>
      <c r="D186" s="301" t="s">
        <v>190</v>
      </c>
      <c r="E186" s="301"/>
      <c r="F186" s="193"/>
      <c r="G186" s="194"/>
      <c r="H186" s="188">
        <f>SUM(H183,H184)</f>
        <v>353.54906640000002</v>
      </c>
      <c r="I186" s="195"/>
      <c r="J186" s="195"/>
      <c r="K186" s="188">
        <f>SUM(K183,K184)</f>
        <v>363.31195611253645</v>
      </c>
      <c r="L186" s="196">
        <f>K186-H186</f>
        <v>9.7628897125364347</v>
      </c>
      <c r="M186" s="197">
        <f>IF((H186)=0,"",(L186/H186))</f>
        <v>2.7613959815950554E-2</v>
      </c>
    </row>
    <row r="187" spans="1:13" ht="15.75" thickBot="1" x14ac:dyDescent="0.3">
      <c r="A187" s="100" t="str">
        <f t="shared" si="23"/>
        <v>GENERAL SERVICE LESS THAN 50 KW SERVICE CLASSIFICATION</v>
      </c>
      <c r="B187" s="100" t="s">
        <v>121</v>
      </c>
      <c r="C187" s="117"/>
      <c r="D187" s="165"/>
      <c r="E187" s="166"/>
      <c r="F187" s="202"/>
      <c r="G187" s="203"/>
      <c r="H187" s="204"/>
      <c r="I187" s="202"/>
      <c r="J187" s="205"/>
      <c r="K187" s="204"/>
      <c r="L187" s="206"/>
      <c r="M187" s="207"/>
    </row>
    <row r="190" spans="1:13" x14ac:dyDescent="0.25">
      <c r="C190" s="100"/>
      <c r="D190" s="101" t="s">
        <v>134</v>
      </c>
      <c r="E190" s="302" t="str">
        <f>D32</f>
        <v>GENERAL SERVICE 50 TO 999 KW SERVICE CLASSIFICATION</v>
      </c>
      <c r="F190" s="302"/>
      <c r="G190" s="302"/>
      <c r="H190" s="302"/>
      <c r="I190" s="302"/>
      <c r="J190" s="302"/>
      <c r="K190" s="100" t="str">
        <f>IF(N32="DEMAND - INTERVAL","RTSR - INTERVAL METERED","")</f>
        <v/>
      </c>
    </row>
    <row r="191" spans="1:13" x14ac:dyDescent="0.25">
      <c r="C191" s="100"/>
      <c r="D191" s="101" t="s">
        <v>135</v>
      </c>
      <c r="E191" s="303" t="str">
        <f>H32</f>
        <v>Non-RPP (Other)</v>
      </c>
      <c r="F191" s="303"/>
      <c r="G191" s="303"/>
      <c r="H191" s="102"/>
      <c r="I191" s="102"/>
    </row>
    <row r="192" spans="1:13" ht="15.75" x14ac:dyDescent="0.25">
      <c r="C192" s="100"/>
      <c r="D192" s="101" t="s">
        <v>136</v>
      </c>
      <c r="E192" s="103">
        <f>K32</f>
        <v>328500</v>
      </c>
      <c r="F192" s="104" t="s">
        <v>137</v>
      </c>
      <c r="G192" s="105"/>
      <c r="J192" s="106"/>
      <c r="K192" s="106"/>
      <c r="L192" s="106"/>
      <c r="M192" s="106"/>
    </row>
    <row r="193" spans="1:13" ht="15.75" x14ac:dyDescent="0.25">
      <c r="C193" s="100"/>
      <c r="D193" s="101" t="s">
        <v>138</v>
      </c>
      <c r="E193" s="103">
        <f>L32</f>
        <v>500</v>
      </c>
      <c r="F193" s="107" t="s">
        <v>139</v>
      </c>
      <c r="G193" s="108"/>
      <c r="H193" s="109"/>
      <c r="I193" s="109"/>
      <c r="J193" s="109"/>
    </row>
    <row r="194" spans="1:13" x14ac:dyDescent="0.25">
      <c r="C194" s="100"/>
      <c r="D194" s="101" t="s">
        <v>140</v>
      </c>
      <c r="E194" s="110">
        <f>I32</f>
        <v>1.056</v>
      </c>
    </row>
    <row r="195" spans="1:13" x14ac:dyDescent="0.25">
      <c r="C195" s="100"/>
      <c r="D195" s="101" t="s">
        <v>141</v>
      </c>
      <c r="E195" s="110">
        <f>J32</f>
        <v>1.056</v>
      </c>
    </row>
    <row r="196" spans="1:13" x14ac:dyDescent="0.25">
      <c r="C196" s="100"/>
      <c r="D196" s="105"/>
    </row>
    <row r="197" spans="1:13" x14ac:dyDescent="0.25">
      <c r="C197" s="100"/>
      <c r="D197" s="105"/>
      <c r="E197" s="111"/>
      <c r="F197" s="304" t="s">
        <v>142</v>
      </c>
      <c r="G197" s="305"/>
      <c r="H197" s="306"/>
      <c r="I197" s="304" t="s">
        <v>143</v>
      </c>
      <c r="J197" s="305"/>
      <c r="K197" s="306"/>
      <c r="L197" s="304" t="s">
        <v>144</v>
      </c>
      <c r="M197" s="306"/>
    </row>
    <row r="198" spans="1:13" x14ac:dyDescent="0.25">
      <c r="C198" s="100"/>
      <c r="D198" s="105"/>
      <c r="E198" s="295"/>
      <c r="F198" s="112" t="s">
        <v>145</v>
      </c>
      <c r="G198" s="112" t="s">
        <v>146</v>
      </c>
      <c r="H198" s="113" t="s">
        <v>147</v>
      </c>
      <c r="I198" s="112" t="s">
        <v>145</v>
      </c>
      <c r="J198" s="114" t="s">
        <v>146</v>
      </c>
      <c r="K198" s="113" t="s">
        <v>147</v>
      </c>
      <c r="L198" s="297" t="s">
        <v>148</v>
      </c>
      <c r="M198" s="299" t="s">
        <v>149</v>
      </c>
    </row>
    <row r="199" spans="1:13" x14ac:dyDescent="0.25">
      <c r="C199" s="100"/>
      <c r="D199" s="105"/>
      <c r="E199" s="296"/>
      <c r="F199" s="115" t="s">
        <v>150</v>
      </c>
      <c r="G199" s="115"/>
      <c r="H199" s="116" t="s">
        <v>150</v>
      </c>
      <c r="I199" s="115" t="s">
        <v>150</v>
      </c>
      <c r="J199" s="116"/>
      <c r="K199" s="116" t="s">
        <v>150</v>
      </c>
      <c r="L199" s="298"/>
      <c r="M199" s="300"/>
    </row>
    <row r="200" spans="1:13" x14ac:dyDescent="0.25">
      <c r="A200" s="100" t="str">
        <f>$E190</f>
        <v>GENERAL SERVICE 50 TO 999 KW SERVICE CLASSIFICATION</v>
      </c>
      <c r="C200" s="117"/>
      <c r="D200" s="118" t="s">
        <v>151</v>
      </c>
      <c r="E200" s="119"/>
      <c r="F200" s="120">
        <v>86.83</v>
      </c>
      <c r="G200" s="121">
        <v>1</v>
      </c>
      <c r="H200" s="122">
        <f>G200*F200</f>
        <v>86.83</v>
      </c>
      <c r="I200" s="123">
        <v>86.83</v>
      </c>
      <c r="J200" s="124">
        <f>G200</f>
        <v>1</v>
      </c>
      <c r="K200" s="122">
        <f>J200*I200</f>
        <v>86.83</v>
      </c>
      <c r="L200" s="125">
        <f t="shared" ref="L200:L221" si="28">K200-H200</f>
        <v>0</v>
      </c>
      <c r="M200" s="126">
        <f>IF(ISERROR(L200/H200), "", L200/H200)</f>
        <v>0</v>
      </c>
    </row>
    <row r="201" spans="1:13" x14ac:dyDescent="0.25">
      <c r="A201" s="100" t="str">
        <f>A200</f>
        <v>GENERAL SERVICE 50 TO 999 KW SERVICE CLASSIFICATION</v>
      </c>
      <c r="C201" s="117"/>
      <c r="D201" s="118" t="s">
        <v>152</v>
      </c>
      <c r="E201" s="119"/>
      <c r="F201" s="127">
        <v>3.8580000000000001</v>
      </c>
      <c r="G201" s="121">
        <f>IF($E193&gt;0, $E193, $E192)</f>
        <v>500</v>
      </c>
      <c r="H201" s="122">
        <f t="shared" ref="H201:H213" si="29">G201*F201</f>
        <v>1929</v>
      </c>
      <c r="I201" s="128">
        <v>3.8580000000000001</v>
      </c>
      <c r="J201" s="124">
        <f>IF($E193&gt;0, $E193, $E192)</f>
        <v>500</v>
      </c>
      <c r="K201" s="122">
        <f>J201*I201</f>
        <v>1929</v>
      </c>
      <c r="L201" s="125">
        <f t="shared" si="28"/>
        <v>0</v>
      </c>
      <c r="M201" s="126">
        <f t="shared" ref="M201:M211" si="30">IF(ISERROR(L201/H201), "", L201/H201)</f>
        <v>0</v>
      </c>
    </row>
    <row r="202" spans="1:13" x14ac:dyDescent="0.25">
      <c r="A202" s="100" t="str">
        <f t="shared" ref="A202:A243" si="31">A201</f>
        <v>GENERAL SERVICE 50 TO 999 KW SERVICE CLASSIFICATION</v>
      </c>
      <c r="C202" s="117"/>
      <c r="D202" s="118" t="s">
        <v>153</v>
      </c>
      <c r="E202" s="119"/>
      <c r="F202" s="127"/>
      <c r="G202" s="121">
        <f>IF($E193&gt;0, $E193, $E192)</f>
        <v>500</v>
      </c>
      <c r="H202" s="122">
        <v>0</v>
      </c>
      <c r="I202" s="128"/>
      <c r="J202" s="124">
        <f>IF($E193&gt;0, $E193, $E192)</f>
        <v>500</v>
      </c>
      <c r="K202" s="122">
        <v>0</v>
      </c>
      <c r="L202" s="125"/>
      <c r="M202" s="126"/>
    </row>
    <row r="203" spans="1:13" x14ac:dyDescent="0.25">
      <c r="A203" s="100" t="str">
        <f t="shared" si="31"/>
        <v>GENERAL SERVICE 50 TO 999 KW SERVICE CLASSIFICATION</v>
      </c>
      <c r="C203" s="117"/>
      <c r="D203" s="118" t="s">
        <v>154</v>
      </c>
      <c r="E203" s="119"/>
      <c r="F203" s="127"/>
      <c r="G203" s="121">
        <f>IF($E193&gt;0, $E193, $E192)</f>
        <v>500</v>
      </c>
      <c r="H203" s="122">
        <v>0</v>
      </c>
      <c r="I203" s="128"/>
      <c r="J203" s="121">
        <f>IF($E193&gt;0, $E193, $E192)</f>
        <v>500</v>
      </c>
      <c r="K203" s="122">
        <v>0</v>
      </c>
      <c r="L203" s="125">
        <f>K203-H203</f>
        <v>0</v>
      </c>
      <c r="M203" s="126" t="str">
        <f>IF(ISERROR(L203/H203), "", L203/H203)</f>
        <v/>
      </c>
    </row>
    <row r="204" spans="1:13" x14ac:dyDescent="0.25">
      <c r="A204" s="100" t="str">
        <f t="shared" si="31"/>
        <v>GENERAL SERVICE 50 TO 999 KW SERVICE CLASSIFICATION</v>
      </c>
      <c r="C204" s="117"/>
      <c r="D204" s="129" t="s">
        <v>155</v>
      </c>
      <c r="E204" s="119"/>
      <c r="F204" s="120">
        <v>0</v>
      </c>
      <c r="G204" s="121">
        <v>1</v>
      </c>
      <c r="H204" s="122">
        <f t="shared" si="29"/>
        <v>0</v>
      </c>
      <c r="I204" s="226">
        <f>'Rate Riders'!O10</f>
        <v>15.382147986295536</v>
      </c>
      <c r="J204" s="124">
        <f>G204</f>
        <v>1</v>
      </c>
      <c r="K204" s="122">
        <f t="shared" ref="K204:K211" si="32">J204*I204</f>
        <v>15.382147986295536</v>
      </c>
      <c r="L204" s="125">
        <f t="shared" si="28"/>
        <v>15.382147986295536</v>
      </c>
      <c r="M204" s="126" t="str">
        <f t="shared" si="30"/>
        <v/>
      </c>
    </row>
    <row r="205" spans="1:13" x14ac:dyDescent="0.25">
      <c r="A205" s="100" t="str">
        <f t="shared" si="31"/>
        <v>GENERAL SERVICE 50 TO 999 KW SERVICE CLASSIFICATION</v>
      </c>
      <c r="C205" s="117"/>
      <c r="D205" s="118" t="s">
        <v>156</v>
      </c>
      <c r="E205" s="119"/>
      <c r="F205" s="127">
        <v>0</v>
      </c>
      <c r="G205" s="121">
        <f>IF($E193&gt;0, $E193, $E192)</f>
        <v>500</v>
      </c>
      <c r="H205" s="122">
        <f t="shared" si="29"/>
        <v>0</v>
      </c>
      <c r="I205" s="227">
        <f>'Rate Riders'!Q10</f>
        <v>0.68345418554794635</v>
      </c>
      <c r="J205" s="124">
        <f>IF($E193&gt;0, $E193, $E192)</f>
        <v>500</v>
      </c>
      <c r="K205" s="122">
        <f t="shared" si="32"/>
        <v>341.7270927739732</v>
      </c>
      <c r="L205" s="125">
        <f t="shared" si="28"/>
        <v>341.7270927739732</v>
      </c>
      <c r="M205" s="126" t="str">
        <f t="shared" si="30"/>
        <v/>
      </c>
    </row>
    <row r="206" spans="1:13" x14ac:dyDescent="0.25">
      <c r="A206" s="100" t="str">
        <f t="shared" si="31"/>
        <v>GENERAL SERVICE 50 TO 999 KW SERVICE CLASSIFICATION</v>
      </c>
      <c r="B206" s="130" t="s">
        <v>157</v>
      </c>
      <c r="C206" s="117">
        <f>B32</f>
        <v>3</v>
      </c>
      <c r="D206" s="131" t="s">
        <v>158</v>
      </c>
      <c r="E206" s="132"/>
      <c r="F206" s="133"/>
      <c r="G206" s="134"/>
      <c r="H206" s="135">
        <f>SUM(H200:H205)</f>
        <v>2015.83</v>
      </c>
      <c r="I206" s="136"/>
      <c r="J206" s="137"/>
      <c r="K206" s="135">
        <f>SUM(K200:K205)</f>
        <v>2372.9392407602686</v>
      </c>
      <c r="L206" s="138">
        <f t="shared" si="28"/>
        <v>357.10924076026868</v>
      </c>
      <c r="M206" s="139">
        <f>IF((H206)=0,"",(L206/H206))</f>
        <v>0.17715245866976317</v>
      </c>
    </row>
    <row r="207" spans="1:13" x14ac:dyDescent="0.25">
      <c r="A207" s="100" t="str">
        <f t="shared" si="31"/>
        <v>GENERAL SERVICE 50 TO 999 KW SERVICE CLASSIFICATION</v>
      </c>
      <c r="C207" s="117"/>
      <c r="D207" s="140" t="s">
        <v>159</v>
      </c>
      <c r="E207" s="119"/>
      <c r="F207" s="127">
        <f>IF((E192*12&gt;=150000), 0, IF(E191="RPP",(F223*0.65+F224*0.17+F225*0.18),IF(E191="Non-RPP (Retailer)",F226,F227)))</f>
        <v>0</v>
      </c>
      <c r="G207" s="141">
        <f>IF(F207=0, 0, $E192*E194-E192)</f>
        <v>0</v>
      </c>
      <c r="H207" s="122">
        <f>G207*F207</f>
        <v>0</v>
      </c>
      <c r="I207" s="128">
        <v>0</v>
      </c>
      <c r="J207" s="141">
        <f>IF(I207=0, 0, E192*E195-E192)</f>
        <v>0</v>
      </c>
      <c r="K207" s="122">
        <f>J207*I207</f>
        <v>0</v>
      </c>
      <c r="L207" s="125">
        <f>K207-H207</f>
        <v>0</v>
      </c>
      <c r="M207" s="126" t="str">
        <f>IF(ISERROR(L207/H207), "", L207/H207)</f>
        <v/>
      </c>
    </row>
    <row r="208" spans="1:13" ht="25.5" x14ac:dyDescent="0.25">
      <c r="A208" s="100" t="str">
        <f t="shared" si="31"/>
        <v>GENERAL SERVICE 50 TO 999 KW SERVICE CLASSIFICATION</v>
      </c>
      <c r="C208" s="117"/>
      <c r="D208" s="140" t="s">
        <v>160</v>
      </c>
      <c r="E208" s="119"/>
      <c r="F208" s="127">
        <v>-0.70650000000000002</v>
      </c>
      <c r="G208" s="142">
        <f>IF($E193&gt;0, $E193, $E192)</f>
        <v>500</v>
      </c>
      <c r="H208" s="122">
        <f t="shared" si="29"/>
        <v>-353.25</v>
      </c>
      <c r="I208" s="128">
        <v>-0.70650000000000002</v>
      </c>
      <c r="J208" s="142">
        <f>IF($E193&gt;0, $E193, $E192)</f>
        <v>500</v>
      </c>
      <c r="K208" s="122">
        <f t="shared" si="32"/>
        <v>-353.25</v>
      </c>
      <c r="L208" s="125">
        <f t="shared" si="28"/>
        <v>0</v>
      </c>
      <c r="M208" s="126">
        <f t="shared" si="30"/>
        <v>0</v>
      </c>
    </row>
    <row r="209" spans="1:13" x14ac:dyDescent="0.25">
      <c r="A209" s="100" t="str">
        <f t="shared" si="31"/>
        <v>GENERAL SERVICE 50 TO 999 KW SERVICE CLASSIFICATION</v>
      </c>
      <c r="C209" s="117"/>
      <c r="D209" s="140" t="s">
        <v>161</v>
      </c>
      <c r="E209" s="119"/>
      <c r="F209" s="127">
        <v>-2.76E-2</v>
      </c>
      <c r="G209" s="142">
        <f>IF($E193&gt;0, $E193, $E192)</f>
        <v>500</v>
      </c>
      <c r="H209" s="122">
        <f>G209*F209</f>
        <v>-13.799999999999999</v>
      </c>
      <c r="I209" s="128">
        <v>-2.76E-2</v>
      </c>
      <c r="J209" s="142">
        <f>IF($E193&gt;0, $E193, $E192)</f>
        <v>500</v>
      </c>
      <c r="K209" s="122">
        <f>J209*I209</f>
        <v>-13.799999999999999</v>
      </c>
      <c r="L209" s="125">
        <f t="shared" si="28"/>
        <v>0</v>
      </c>
      <c r="M209" s="126">
        <f t="shared" si="30"/>
        <v>0</v>
      </c>
    </row>
    <row r="210" spans="1:13" x14ac:dyDescent="0.25">
      <c r="A210" s="100" t="str">
        <f t="shared" si="31"/>
        <v>GENERAL SERVICE 50 TO 999 KW SERVICE CLASSIFICATION</v>
      </c>
      <c r="C210" s="117"/>
      <c r="D210" s="140" t="s">
        <v>162</v>
      </c>
      <c r="E210" s="119"/>
      <c r="F210" s="127">
        <v>-1E-3</v>
      </c>
      <c r="G210" s="142">
        <f>E192</f>
        <v>328500</v>
      </c>
      <c r="H210" s="122">
        <f>G210*F210</f>
        <v>-328.5</v>
      </c>
      <c r="I210" s="128">
        <v>-1E-3</v>
      </c>
      <c r="J210" s="142">
        <f>E192</f>
        <v>328500</v>
      </c>
      <c r="K210" s="122">
        <f t="shared" si="32"/>
        <v>-328.5</v>
      </c>
      <c r="L210" s="125">
        <f t="shared" si="28"/>
        <v>0</v>
      </c>
      <c r="M210" s="126">
        <f t="shared" si="30"/>
        <v>0</v>
      </c>
    </row>
    <row r="211" spans="1:13" x14ac:dyDescent="0.25">
      <c r="A211" s="100" t="str">
        <f t="shared" si="31"/>
        <v>GENERAL SERVICE 50 TO 999 KW SERVICE CLASSIFICATION</v>
      </c>
      <c r="C211" s="117"/>
      <c r="D211" s="143" t="s">
        <v>163</v>
      </c>
      <c r="E211" s="119"/>
      <c r="F211" s="127">
        <v>1.0483</v>
      </c>
      <c r="G211" s="142">
        <f>IF($E193&gt;0, $E193, $E192)</f>
        <v>500</v>
      </c>
      <c r="H211" s="122">
        <f t="shared" si="29"/>
        <v>524.15</v>
      </c>
      <c r="I211" s="128">
        <v>1.0483</v>
      </c>
      <c r="J211" s="142">
        <f>IF($E193&gt;0, $E193, $E192)</f>
        <v>500</v>
      </c>
      <c r="K211" s="122">
        <f t="shared" si="32"/>
        <v>524.15</v>
      </c>
      <c r="L211" s="125">
        <f t="shared" si="28"/>
        <v>0</v>
      </c>
      <c r="M211" s="126">
        <f t="shared" si="30"/>
        <v>0</v>
      </c>
    </row>
    <row r="212" spans="1:13" ht="25.5" x14ac:dyDescent="0.25">
      <c r="A212" s="100" t="str">
        <f t="shared" si="31"/>
        <v>GENERAL SERVICE 50 TO 999 KW SERVICE CLASSIFICATION</v>
      </c>
      <c r="C212" s="117"/>
      <c r="D212" s="144" t="s">
        <v>164</v>
      </c>
      <c r="E212" s="119"/>
      <c r="F212" s="145">
        <f>IF(OR(ISNUMBER(SEARCH("RESIDENTIAL", E190))=TRUE, ISNUMBER(SEARCH("GENERAL SERVICE LESS THAN 50", E190))=TRUE), SME, 0)</f>
        <v>0</v>
      </c>
      <c r="G212" s="121">
        <v>1</v>
      </c>
      <c r="H212" s="122">
        <f>G212*F212</f>
        <v>0</v>
      </c>
      <c r="I212" s="146">
        <v>0</v>
      </c>
      <c r="J212" s="121">
        <v>1</v>
      </c>
      <c r="K212" s="122">
        <f>J212*I212</f>
        <v>0</v>
      </c>
      <c r="L212" s="125">
        <f t="shared" si="28"/>
        <v>0</v>
      </c>
      <c r="M212" s="126" t="str">
        <f>IF(ISERROR(L212/H212), "", L212/H212)</f>
        <v/>
      </c>
    </row>
    <row r="213" spans="1:13" x14ac:dyDescent="0.25">
      <c r="A213" s="100" t="str">
        <f t="shared" si="31"/>
        <v>GENERAL SERVICE 50 TO 999 KW SERVICE CLASSIFICATION</v>
      </c>
      <c r="C213" s="117"/>
      <c r="D213" s="143" t="s">
        <v>165</v>
      </c>
      <c r="E213" s="119"/>
      <c r="F213" s="120">
        <v>0</v>
      </c>
      <c r="G213" s="121">
        <v>1</v>
      </c>
      <c r="H213" s="122">
        <f t="shared" si="29"/>
        <v>0</v>
      </c>
      <c r="I213" s="123">
        <v>0</v>
      </c>
      <c r="J213" s="121">
        <v>1</v>
      </c>
      <c r="K213" s="122">
        <f>J213*I213</f>
        <v>0</v>
      </c>
      <c r="L213" s="125">
        <f>K213-H213</f>
        <v>0</v>
      </c>
      <c r="M213" s="126" t="str">
        <f>IF(ISERROR(L213/H213), "", L213/H213)</f>
        <v/>
      </c>
    </row>
    <row r="214" spans="1:13" x14ac:dyDescent="0.25">
      <c r="A214" s="100" t="str">
        <f t="shared" si="31"/>
        <v>GENERAL SERVICE 50 TO 999 KW SERVICE CLASSIFICATION</v>
      </c>
      <c r="C214" s="117"/>
      <c r="D214" s="143" t="s">
        <v>166</v>
      </c>
      <c r="E214" s="119"/>
      <c r="F214" s="127"/>
      <c r="G214" s="142">
        <f>IF($E193&gt;0, $E193, $E192)</f>
        <v>500</v>
      </c>
      <c r="H214" s="122">
        <f>G214*F214</f>
        <v>0</v>
      </c>
      <c r="I214" s="128"/>
      <c r="J214" s="142">
        <f>IF($E193&gt;0, $E193, $E192)</f>
        <v>500</v>
      </c>
      <c r="K214" s="122">
        <f>J214*I214</f>
        <v>0</v>
      </c>
      <c r="L214" s="125">
        <f t="shared" si="28"/>
        <v>0</v>
      </c>
      <c r="M214" s="126" t="str">
        <f>IF(ISERROR(L214/H214), "", L214/H214)</f>
        <v/>
      </c>
    </row>
    <row r="215" spans="1:13" ht="25.5" x14ac:dyDescent="0.25">
      <c r="A215" s="100" t="str">
        <f t="shared" si="31"/>
        <v>GENERAL SERVICE 50 TO 999 KW SERVICE CLASSIFICATION</v>
      </c>
      <c r="B215" s="105" t="s">
        <v>167</v>
      </c>
      <c r="C215" s="117">
        <f>B32</f>
        <v>3</v>
      </c>
      <c r="D215" s="147" t="s">
        <v>168</v>
      </c>
      <c r="E215" s="148"/>
      <c r="F215" s="149"/>
      <c r="G215" s="150"/>
      <c r="H215" s="151">
        <f>SUM(H206:H214)</f>
        <v>1844.4299999999998</v>
      </c>
      <c r="I215" s="152"/>
      <c r="J215" s="153"/>
      <c r="K215" s="151">
        <f>SUM(K206:K214)</f>
        <v>2201.5392407602685</v>
      </c>
      <c r="L215" s="138">
        <f t="shared" si="28"/>
        <v>357.10924076026868</v>
      </c>
      <c r="M215" s="139">
        <f>IF((H215)=0,"",(L215/H215))</f>
        <v>0.19361496004742315</v>
      </c>
    </row>
    <row r="216" spans="1:13" x14ac:dyDescent="0.25">
      <c r="A216" s="100" t="str">
        <f t="shared" si="31"/>
        <v>GENERAL SERVICE 50 TO 999 KW SERVICE CLASSIFICATION</v>
      </c>
      <c r="C216" s="117"/>
      <c r="D216" s="154" t="s">
        <v>169</v>
      </c>
      <c r="E216" s="119"/>
      <c r="F216" s="127">
        <v>2.6217000000000001</v>
      </c>
      <c r="G216" s="141">
        <f>IF($E193&gt;0, $E193, $E192*$E194)</f>
        <v>500</v>
      </c>
      <c r="H216" s="122">
        <f>G216*F216</f>
        <v>1310.8500000000001</v>
      </c>
      <c r="I216" s="128">
        <v>2.6217000000000001</v>
      </c>
      <c r="J216" s="141">
        <f>IF($E193&gt;0, $E193, $E192*$E195)</f>
        <v>500</v>
      </c>
      <c r="K216" s="122">
        <f>J216*I216</f>
        <v>1310.8500000000001</v>
      </c>
      <c r="L216" s="125">
        <f t="shared" si="28"/>
        <v>0</v>
      </c>
      <c r="M216" s="126">
        <f>IF(ISERROR(L216/H216), "", L216/H216)</f>
        <v>0</v>
      </c>
    </row>
    <row r="217" spans="1:13" ht="25.5" x14ac:dyDescent="0.25">
      <c r="A217" s="100" t="str">
        <f t="shared" si="31"/>
        <v>GENERAL SERVICE 50 TO 999 KW SERVICE CLASSIFICATION</v>
      </c>
      <c r="C217" s="117"/>
      <c r="D217" s="155" t="s">
        <v>170</v>
      </c>
      <c r="E217" s="119"/>
      <c r="F217" s="127">
        <v>2.2145999999999999</v>
      </c>
      <c r="G217" s="141">
        <f>IF($E193&gt;0, $E193, $E192*$E194)</f>
        <v>500</v>
      </c>
      <c r="H217" s="122">
        <f>G217*F217</f>
        <v>1107.3</v>
      </c>
      <c r="I217" s="128">
        <v>2.2145999999999999</v>
      </c>
      <c r="J217" s="141">
        <f>IF($E193&gt;0, $E193, $E192*$E195)</f>
        <v>500</v>
      </c>
      <c r="K217" s="122">
        <f>J217*I217</f>
        <v>1107.3</v>
      </c>
      <c r="L217" s="125">
        <f t="shared" si="28"/>
        <v>0</v>
      </c>
      <c r="M217" s="126">
        <f>IF(ISERROR(L217/H217), "", L217/H217)</f>
        <v>0</v>
      </c>
    </row>
    <row r="218" spans="1:13" ht="25.5" x14ac:dyDescent="0.25">
      <c r="A218" s="100" t="str">
        <f t="shared" si="31"/>
        <v>GENERAL SERVICE 50 TO 999 KW SERVICE CLASSIFICATION</v>
      </c>
      <c r="B218" s="105" t="s">
        <v>171</v>
      </c>
      <c r="C218" s="117">
        <f>B32</f>
        <v>3</v>
      </c>
      <c r="D218" s="147" t="s">
        <v>172</v>
      </c>
      <c r="E218" s="132"/>
      <c r="F218" s="149"/>
      <c r="G218" s="150"/>
      <c r="H218" s="151">
        <f>SUM(H215:H217)</f>
        <v>4262.58</v>
      </c>
      <c r="I218" s="152"/>
      <c r="J218" s="137"/>
      <c r="K218" s="151">
        <f>SUM(K215:K217)</f>
        <v>4619.6892407602691</v>
      </c>
      <c r="L218" s="138">
        <f t="shared" si="28"/>
        <v>357.10924076026913</v>
      </c>
      <c r="M218" s="139">
        <f>IF((H218)=0,"",(L218/H218))</f>
        <v>8.3777721652208079E-2</v>
      </c>
    </row>
    <row r="219" spans="1:13" ht="25.5" x14ac:dyDescent="0.25">
      <c r="A219" s="100" t="str">
        <f t="shared" si="31"/>
        <v>GENERAL SERVICE 50 TO 999 KW SERVICE CLASSIFICATION</v>
      </c>
      <c r="C219" s="117"/>
      <c r="D219" s="156" t="s">
        <v>173</v>
      </c>
      <c r="E219" s="119"/>
      <c r="F219" s="127">
        <v>3.6000000000000003E-3</v>
      </c>
      <c r="G219" s="141">
        <f>E192*E194</f>
        <v>346896</v>
      </c>
      <c r="H219" s="157">
        <f t="shared" ref="H219:H225" si="33">G219*F219</f>
        <v>1248.8256000000001</v>
      </c>
      <c r="I219" s="128">
        <v>3.6000000000000003E-3</v>
      </c>
      <c r="J219" s="141">
        <f>E192*E195</f>
        <v>346896</v>
      </c>
      <c r="K219" s="157">
        <f t="shared" ref="K219:K225" si="34">J219*I219</f>
        <v>1248.8256000000001</v>
      </c>
      <c r="L219" s="125">
        <f t="shared" si="28"/>
        <v>0</v>
      </c>
      <c r="M219" s="126">
        <f t="shared" ref="M219:M227" si="35">IF(ISERROR(L219/H219), "", L219/H219)</f>
        <v>0</v>
      </c>
    </row>
    <row r="220" spans="1:13" ht="25.5" x14ac:dyDescent="0.25">
      <c r="A220" s="100" t="str">
        <f t="shared" si="31"/>
        <v>GENERAL SERVICE 50 TO 999 KW SERVICE CLASSIFICATION</v>
      </c>
      <c r="C220" s="117"/>
      <c r="D220" s="156" t="s">
        <v>174</v>
      </c>
      <c r="E220" s="119"/>
      <c r="F220" s="127">
        <f>'[1]17. Regulatory Charges'!$D$16</f>
        <v>2.9999999999999997E-4</v>
      </c>
      <c r="G220" s="141">
        <f>E192*E194</f>
        <v>346896</v>
      </c>
      <c r="H220" s="157">
        <f t="shared" si="33"/>
        <v>104.0688</v>
      </c>
      <c r="I220" s="128">
        <v>2.9999999999999997E-4</v>
      </c>
      <c r="J220" s="141">
        <f>E192*E195</f>
        <v>346896</v>
      </c>
      <c r="K220" s="157">
        <f t="shared" si="34"/>
        <v>104.0688</v>
      </c>
      <c r="L220" s="125">
        <f t="shared" si="28"/>
        <v>0</v>
      </c>
      <c r="M220" s="126">
        <f t="shared" si="35"/>
        <v>0</v>
      </c>
    </row>
    <row r="221" spans="1:13" x14ac:dyDescent="0.25">
      <c r="A221" s="100" t="str">
        <f t="shared" si="31"/>
        <v>GENERAL SERVICE 50 TO 999 KW SERVICE CLASSIFICATION</v>
      </c>
      <c r="C221" s="117"/>
      <c r="D221" s="158" t="s">
        <v>175</v>
      </c>
      <c r="E221" s="119"/>
      <c r="F221" s="145">
        <v>0.25</v>
      </c>
      <c r="G221" s="121">
        <v>1</v>
      </c>
      <c r="H221" s="157">
        <f t="shared" si="33"/>
        <v>0.25</v>
      </c>
      <c r="I221" s="146">
        <v>0.25</v>
      </c>
      <c r="J221" s="124">
        <v>1</v>
      </c>
      <c r="K221" s="157">
        <f t="shared" si="34"/>
        <v>0.25</v>
      </c>
      <c r="L221" s="125">
        <f t="shared" si="28"/>
        <v>0</v>
      </c>
      <c r="M221" s="126">
        <f t="shared" si="35"/>
        <v>0</v>
      </c>
    </row>
    <row r="222" spans="1:13" ht="25.5" x14ac:dyDescent="0.25">
      <c r="A222" s="100" t="str">
        <f t="shared" si="31"/>
        <v>GENERAL SERVICE 50 TO 999 KW SERVICE CLASSIFICATION</v>
      </c>
      <c r="C222" s="117"/>
      <c r="D222" s="156" t="s">
        <v>176</v>
      </c>
      <c r="E222" s="119"/>
      <c r="F222" s="127"/>
      <c r="G222" s="141"/>
      <c r="H222" s="157"/>
      <c r="I222" s="128"/>
      <c r="J222" s="141"/>
      <c r="K222" s="157"/>
      <c r="L222" s="125"/>
      <c r="M222" s="126"/>
    </row>
    <row r="223" spans="1:13" hidden="1" x14ac:dyDescent="0.25">
      <c r="A223" s="100" t="str">
        <f t="shared" si="31"/>
        <v>GENERAL SERVICE 50 TO 999 KW SERVICE CLASSIFICATION</v>
      </c>
      <c r="B223" s="105" t="s">
        <v>117</v>
      </c>
      <c r="C223" s="117"/>
      <c r="D223" s="159" t="s">
        <v>177</v>
      </c>
      <c r="E223" s="119"/>
      <c r="F223" s="160">
        <f>OffPeak</f>
        <v>6.5000000000000002E-2</v>
      </c>
      <c r="G223" s="161">
        <f>IF(AND(E192*12&gt;=150000),0.65*E192*E194,0.65*E192)</f>
        <v>225482.40000000002</v>
      </c>
      <c r="H223" s="157">
        <f t="shared" si="33"/>
        <v>14656.356000000002</v>
      </c>
      <c r="I223" s="162">
        <v>6.5000000000000002E-2</v>
      </c>
      <c r="J223" s="161">
        <f>IF(AND(E192*12&gt;=150000),0.65*E192*E195,0.65*E192)</f>
        <v>225482.40000000002</v>
      </c>
      <c r="K223" s="157">
        <f t="shared" si="34"/>
        <v>14656.356000000002</v>
      </c>
      <c r="L223" s="125">
        <f>K223-H223</f>
        <v>0</v>
      </c>
      <c r="M223" s="126">
        <f t="shared" si="35"/>
        <v>0</v>
      </c>
    </row>
    <row r="224" spans="1:13" hidden="1" x14ac:dyDescent="0.25">
      <c r="A224" s="100" t="str">
        <f t="shared" si="31"/>
        <v>GENERAL SERVICE 50 TO 999 KW SERVICE CLASSIFICATION</v>
      </c>
      <c r="B224" s="105" t="s">
        <v>117</v>
      </c>
      <c r="C224" s="117"/>
      <c r="D224" s="159" t="s">
        <v>178</v>
      </c>
      <c r="E224" s="119"/>
      <c r="F224" s="160">
        <f>MidPeak</f>
        <v>9.4E-2</v>
      </c>
      <c r="G224" s="161">
        <f>IF(AND(E192*12&gt;=150000),0.17*E192*E194,0.17*E192)</f>
        <v>58972.320000000007</v>
      </c>
      <c r="H224" s="157">
        <f t="shared" si="33"/>
        <v>5543.3980800000008</v>
      </c>
      <c r="I224" s="162">
        <v>9.4E-2</v>
      </c>
      <c r="J224" s="161">
        <f>IF(AND(E192*12&gt;=150000),0.17*E192*E195,0.17*E192)</f>
        <v>58972.320000000007</v>
      </c>
      <c r="K224" s="157">
        <f t="shared" si="34"/>
        <v>5543.3980800000008</v>
      </c>
      <c r="L224" s="125">
        <f>K224-H224</f>
        <v>0</v>
      </c>
      <c r="M224" s="126">
        <f t="shared" si="35"/>
        <v>0</v>
      </c>
    </row>
    <row r="225" spans="1:13" hidden="1" x14ac:dyDescent="0.25">
      <c r="A225" s="100" t="str">
        <f t="shared" si="31"/>
        <v>GENERAL SERVICE 50 TO 999 KW SERVICE CLASSIFICATION</v>
      </c>
      <c r="B225" s="105" t="s">
        <v>117</v>
      </c>
      <c r="C225" s="117"/>
      <c r="D225" s="105" t="s">
        <v>179</v>
      </c>
      <c r="E225" s="119"/>
      <c r="F225" s="160">
        <f>OnPeak</f>
        <v>0.13200000000000001</v>
      </c>
      <c r="G225" s="161">
        <f>IF(AND(E192*12&gt;=150000),0.18*E192*E194,0.18*E192)</f>
        <v>62441.280000000006</v>
      </c>
      <c r="H225" s="157">
        <f t="shared" si="33"/>
        <v>8242.2489600000008</v>
      </c>
      <c r="I225" s="162">
        <v>0.13200000000000001</v>
      </c>
      <c r="J225" s="161">
        <f>IF(AND(E192*12&gt;=150000),0.18*E192*E195,0.18*E192)</f>
        <v>62441.280000000006</v>
      </c>
      <c r="K225" s="157">
        <f t="shared" si="34"/>
        <v>8242.2489600000008</v>
      </c>
      <c r="L225" s="125">
        <f>K225-H225</f>
        <v>0</v>
      </c>
      <c r="M225" s="126">
        <f t="shared" si="35"/>
        <v>0</v>
      </c>
    </row>
    <row r="226" spans="1:13" hidden="1" x14ac:dyDescent="0.25">
      <c r="A226" s="100" t="str">
        <f t="shared" si="31"/>
        <v>GENERAL SERVICE 50 TO 999 KW SERVICE CLASSIFICATION</v>
      </c>
      <c r="B226" s="100" t="s">
        <v>180</v>
      </c>
      <c r="C226" s="117"/>
      <c r="D226" s="159" t="s">
        <v>181</v>
      </c>
      <c r="E226" s="119"/>
      <c r="F226" s="163">
        <v>0.1101</v>
      </c>
      <c r="G226" s="161">
        <f>IF(AND(E192*12&gt;=150000),E192*E194,E192)</f>
        <v>346896</v>
      </c>
      <c r="H226" s="157">
        <f>G226*F226</f>
        <v>38193.249600000003</v>
      </c>
      <c r="I226" s="164">
        <v>0.1101</v>
      </c>
      <c r="J226" s="161">
        <f>IF(AND(E192*12&gt;=150000),E192*E195,E192)</f>
        <v>346896</v>
      </c>
      <c r="K226" s="157">
        <f>J226*I226</f>
        <v>38193.249600000003</v>
      </c>
      <c r="L226" s="125">
        <f>K226-H226</f>
        <v>0</v>
      </c>
      <c r="M226" s="126">
        <f t="shared" si="35"/>
        <v>0</v>
      </c>
    </row>
    <row r="227" spans="1:13" ht="15.75" thickBot="1" x14ac:dyDescent="0.3">
      <c r="A227" s="100" t="str">
        <f t="shared" si="31"/>
        <v>GENERAL SERVICE 50 TO 999 KW SERVICE CLASSIFICATION</v>
      </c>
      <c r="B227" s="100" t="s">
        <v>121</v>
      </c>
      <c r="C227" s="117"/>
      <c r="D227" s="159" t="s">
        <v>182</v>
      </c>
      <c r="E227" s="119"/>
      <c r="F227" s="163">
        <v>0.1101</v>
      </c>
      <c r="G227" s="161">
        <f>IF(AND(E192*12&gt;=150000),E192*E194,E192)</f>
        <v>346896</v>
      </c>
      <c r="H227" s="157">
        <f>G227*F227</f>
        <v>38193.249600000003</v>
      </c>
      <c r="I227" s="164">
        <v>0.1101</v>
      </c>
      <c r="J227" s="161">
        <f>IF(AND(E192*12&gt;=150000),E192*E195,E192)</f>
        <v>346896</v>
      </c>
      <c r="K227" s="157">
        <f>J227*I227</f>
        <v>38193.249600000003</v>
      </c>
      <c r="L227" s="125">
        <f>K227-H227</f>
        <v>0</v>
      </c>
      <c r="M227" s="126">
        <f t="shared" si="35"/>
        <v>0</v>
      </c>
    </row>
    <row r="228" spans="1:13" ht="15.75" thickBot="1" x14ac:dyDescent="0.3">
      <c r="A228" s="100" t="str">
        <f t="shared" si="31"/>
        <v>GENERAL SERVICE 50 TO 999 KW SERVICE CLASSIFICATION</v>
      </c>
      <c r="B228" s="105"/>
      <c r="C228" s="117"/>
      <c r="D228" s="165"/>
      <c r="E228" s="166"/>
      <c r="F228" s="167"/>
      <c r="G228" s="168"/>
      <c r="H228" s="169"/>
      <c r="I228" s="167"/>
      <c r="J228" s="170"/>
      <c r="K228" s="169"/>
      <c r="L228" s="171"/>
      <c r="M228" s="172"/>
    </row>
    <row r="229" spans="1:13" hidden="1" x14ac:dyDescent="0.25">
      <c r="A229" s="100" t="str">
        <f t="shared" si="31"/>
        <v>GENERAL SERVICE 50 TO 999 KW SERVICE CLASSIFICATION</v>
      </c>
      <c r="B229" s="105" t="s">
        <v>117</v>
      </c>
      <c r="C229" s="117"/>
      <c r="D229" s="173" t="s">
        <v>183</v>
      </c>
      <c r="E229" s="158"/>
      <c r="F229" s="174"/>
      <c r="G229" s="175"/>
      <c r="H229" s="176">
        <f>SUM(H219:H225,H218)</f>
        <v>34057.727440000002</v>
      </c>
      <c r="I229" s="177"/>
      <c r="J229" s="177"/>
      <c r="K229" s="176">
        <f>SUM(K219:K225,K218)</f>
        <v>34414.836680760272</v>
      </c>
      <c r="L229" s="178">
        <f>K229-H229</f>
        <v>357.10924076027004</v>
      </c>
      <c r="M229" s="179">
        <f>IF((H229)=0,"",(L229/H229))</f>
        <v>1.048541014339241E-2</v>
      </c>
    </row>
    <row r="230" spans="1:13" hidden="1" x14ac:dyDescent="0.25">
      <c r="A230" s="100" t="str">
        <f t="shared" si="31"/>
        <v>GENERAL SERVICE 50 TO 999 KW SERVICE CLASSIFICATION</v>
      </c>
      <c r="B230" s="105" t="s">
        <v>117</v>
      </c>
      <c r="C230" s="117"/>
      <c r="D230" s="180" t="s">
        <v>184</v>
      </c>
      <c r="E230" s="158"/>
      <c r="F230" s="174">
        <v>0.13</v>
      </c>
      <c r="G230" s="181"/>
      <c r="H230" s="182">
        <f>H229*F230</f>
        <v>4427.5045672000006</v>
      </c>
      <c r="I230" s="183">
        <v>0.13</v>
      </c>
      <c r="J230" s="121"/>
      <c r="K230" s="182">
        <f>K229*I230</f>
        <v>4473.9287684988358</v>
      </c>
      <c r="L230" s="184">
        <f>K230-H230</f>
        <v>46.424201298835214</v>
      </c>
      <c r="M230" s="185">
        <f>IF((H230)=0,"",(L230/H230))</f>
        <v>1.0485410143392434E-2</v>
      </c>
    </row>
    <row r="231" spans="1:13" hidden="1" x14ac:dyDescent="0.25">
      <c r="A231" s="100" t="str">
        <f t="shared" si="31"/>
        <v>GENERAL SERVICE 50 TO 999 KW SERVICE CLASSIFICATION</v>
      </c>
      <c r="B231" s="105" t="s">
        <v>117</v>
      </c>
      <c r="C231" s="117"/>
      <c r="D231" s="180" t="s">
        <v>185</v>
      </c>
      <c r="E231" s="158"/>
      <c r="F231" s="174">
        <v>0.08</v>
      </c>
      <c r="G231" s="181"/>
      <c r="H231" s="182">
        <v>0</v>
      </c>
      <c r="I231" s="174">
        <v>0.08</v>
      </c>
      <c r="J231" s="121"/>
      <c r="K231" s="182">
        <v>0</v>
      </c>
      <c r="L231" s="184">
        <f>K231-H231</f>
        <v>0</v>
      </c>
      <c r="M231" s="185"/>
    </row>
    <row r="232" spans="1:13" ht="15.75" hidden="1" thickBot="1" x14ac:dyDescent="0.3">
      <c r="A232" s="100" t="str">
        <f t="shared" si="31"/>
        <v>GENERAL SERVICE 50 TO 999 KW SERVICE CLASSIFICATION</v>
      </c>
      <c r="B232" s="105" t="s">
        <v>186</v>
      </c>
      <c r="C232" s="117"/>
      <c r="D232" s="301" t="s">
        <v>187</v>
      </c>
      <c r="E232" s="301"/>
      <c r="F232" s="186"/>
      <c r="G232" s="187"/>
      <c r="H232" s="188">
        <f>H229+H230+H231</f>
        <v>38485.2320072</v>
      </c>
      <c r="I232" s="189"/>
      <c r="J232" s="189"/>
      <c r="K232" s="190">
        <f>K229+K230+K231</f>
        <v>38888.76544925911</v>
      </c>
      <c r="L232" s="191">
        <f>K232-H232</f>
        <v>403.5334420591098</v>
      </c>
      <c r="M232" s="192">
        <f>IF((H232)=0,"",(L232/H232))</f>
        <v>1.0485410143392531E-2</v>
      </c>
    </row>
    <row r="233" spans="1:13" ht="15.75" hidden="1" thickBot="1" x14ac:dyDescent="0.3">
      <c r="A233" s="100" t="str">
        <f t="shared" si="31"/>
        <v>GENERAL SERVICE 50 TO 999 KW SERVICE CLASSIFICATION</v>
      </c>
      <c r="B233" s="100" t="s">
        <v>117</v>
      </c>
      <c r="C233" s="117"/>
      <c r="D233" s="165"/>
      <c r="E233" s="166"/>
      <c r="F233" s="167"/>
      <c r="G233" s="168"/>
      <c r="H233" s="169"/>
      <c r="I233" s="167"/>
      <c r="J233" s="170"/>
      <c r="K233" s="169"/>
      <c r="L233" s="171"/>
      <c r="M233" s="172"/>
    </row>
    <row r="234" spans="1:13" hidden="1" x14ac:dyDescent="0.25">
      <c r="A234" s="100" t="str">
        <f t="shared" si="31"/>
        <v>GENERAL SERVICE 50 TO 999 KW SERVICE CLASSIFICATION</v>
      </c>
      <c r="B234" s="100" t="s">
        <v>180</v>
      </c>
      <c r="C234" s="117"/>
      <c r="D234" s="173" t="s">
        <v>188</v>
      </c>
      <c r="E234" s="158"/>
      <c r="F234" s="174"/>
      <c r="G234" s="175"/>
      <c r="H234" s="176">
        <f>SUM(H226,H219:H222,H218)</f>
        <v>43808.974000000009</v>
      </c>
      <c r="I234" s="177"/>
      <c r="J234" s="177"/>
      <c r="K234" s="176">
        <f>SUM(K226,K219:K222,K218)</f>
        <v>44166.083240760279</v>
      </c>
      <c r="L234" s="178">
        <f>K234-H234</f>
        <v>357.10924076027004</v>
      </c>
      <c r="M234" s="179">
        <f>IF((H234)=0,"",(L234/H234))</f>
        <v>8.1515088840078739E-3</v>
      </c>
    </row>
    <row r="235" spans="1:13" hidden="1" x14ac:dyDescent="0.25">
      <c r="A235" s="100" t="str">
        <f t="shared" si="31"/>
        <v>GENERAL SERVICE 50 TO 999 KW SERVICE CLASSIFICATION</v>
      </c>
      <c r="B235" s="100" t="s">
        <v>180</v>
      </c>
      <c r="C235" s="117"/>
      <c r="D235" s="180" t="s">
        <v>184</v>
      </c>
      <c r="E235" s="158"/>
      <c r="F235" s="174">
        <v>0.13</v>
      </c>
      <c r="G235" s="175"/>
      <c r="H235" s="182">
        <f>H234*F235</f>
        <v>5695.1666200000018</v>
      </c>
      <c r="I235" s="174">
        <v>0.13</v>
      </c>
      <c r="J235" s="183"/>
      <c r="K235" s="182">
        <f>K234*I235</f>
        <v>5741.5908212988361</v>
      </c>
      <c r="L235" s="184">
        <f>K235-H235</f>
        <v>46.424201298834305</v>
      </c>
      <c r="M235" s="185">
        <f>IF((H235)=0,"",(L235/H235))</f>
        <v>8.1515088840077334E-3</v>
      </c>
    </row>
    <row r="236" spans="1:13" hidden="1" x14ac:dyDescent="0.25">
      <c r="A236" s="100" t="str">
        <f t="shared" si="31"/>
        <v>GENERAL SERVICE 50 TO 999 KW SERVICE CLASSIFICATION</v>
      </c>
      <c r="B236" s="100" t="s">
        <v>180</v>
      </c>
      <c r="C236" s="117"/>
      <c r="D236" s="180" t="s">
        <v>185</v>
      </c>
      <c r="E236" s="158"/>
      <c r="F236" s="174">
        <v>0.08</v>
      </c>
      <c r="G236" s="175"/>
      <c r="H236" s="182">
        <v>0</v>
      </c>
      <c r="I236" s="174">
        <v>0.08</v>
      </c>
      <c r="J236" s="183"/>
      <c r="K236" s="182">
        <v>0</v>
      </c>
      <c r="L236" s="184"/>
      <c r="M236" s="185"/>
    </row>
    <row r="237" spans="1:13" ht="15.75" hidden="1" thickBot="1" x14ac:dyDescent="0.3">
      <c r="A237" s="100" t="str">
        <f t="shared" si="31"/>
        <v>GENERAL SERVICE 50 TO 999 KW SERVICE CLASSIFICATION</v>
      </c>
      <c r="B237" s="100" t="s">
        <v>189</v>
      </c>
      <c r="C237" s="117"/>
      <c r="D237" s="301" t="s">
        <v>188</v>
      </c>
      <c r="E237" s="301"/>
      <c r="F237" s="193"/>
      <c r="G237" s="194"/>
      <c r="H237" s="188">
        <f>SUM(H234,H235)</f>
        <v>49504.140620000013</v>
      </c>
      <c r="I237" s="195"/>
      <c r="J237" s="195"/>
      <c r="K237" s="188">
        <f>SUM(K234,K235)</f>
        <v>49907.674062059115</v>
      </c>
      <c r="L237" s="196">
        <f>K237-H237</f>
        <v>403.53344205910253</v>
      </c>
      <c r="M237" s="197">
        <f>IF((H237)=0,"",(L237/H237))</f>
        <v>8.1515088840078201E-3</v>
      </c>
    </row>
    <row r="238" spans="1:13" ht="15.75" hidden="1" thickBot="1" x14ac:dyDescent="0.3">
      <c r="A238" s="100" t="str">
        <f t="shared" si="31"/>
        <v>GENERAL SERVICE 50 TO 999 KW SERVICE CLASSIFICATION</v>
      </c>
      <c r="B238" s="100" t="s">
        <v>180</v>
      </c>
      <c r="C238" s="117"/>
      <c r="D238" s="165"/>
      <c r="E238" s="166"/>
      <c r="F238" s="198"/>
      <c r="G238" s="199"/>
      <c r="H238" s="200"/>
      <c r="I238" s="198"/>
      <c r="J238" s="168"/>
      <c r="K238" s="200"/>
      <c r="L238" s="201"/>
      <c r="M238" s="172"/>
    </row>
    <row r="239" spans="1:13" x14ac:dyDescent="0.25">
      <c r="A239" s="100" t="str">
        <f t="shared" si="31"/>
        <v>GENERAL SERVICE 50 TO 999 KW SERVICE CLASSIFICATION</v>
      </c>
      <c r="B239" s="100" t="s">
        <v>121</v>
      </c>
      <c r="C239" s="117"/>
      <c r="D239" s="173" t="s">
        <v>190</v>
      </c>
      <c r="E239" s="158"/>
      <c r="F239" s="174"/>
      <c r="G239" s="175"/>
      <c r="H239" s="176">
        <f>SUM(H227,H219:H222,H218)</f>
        <v>43808.974000000009</v>
      </c>
      <c r="I239" s="177"/>
      <c r="J239" s="177"/>
      <c r="K239" s="176">
        <f>SUM(K227,K219:K222,K218)</f>
        <v>44166.083240760279</v>
      </c>
      <c r="L239" s="178">
        <f>K239-H239</f>
        <v>357.10924076027004</v>
      </c>
      <c r="M239" s="179">
        <f>IF((H239)=0,"",(L239/H239))</f>
        <v>8.1515088840078739E-3</v>
      </c>
    </row>
    <row r="240" spans="1:13" x14ac:dyDescent="0.25">
      <c r="A240" s="100" t="str">
        <f t="shared" si="31"/>
        <v>GENERAL SERVICE 50 TO 999 KW SERVICE CLASSIFICATION</v>
      </c>
      <c r="B240" s="100" t="s">
        <v>121</v>
      </c>
      <c r="C240" s="117"/>
      <c r="D240" s="180" t="s">
        <v>184</v>
      </c>
      <c r="E240" s="158"/>
      <c r="F240" s="174">
        <v>0.13</v>
      </c>
      <c r="G240" s="175"/>
      <c r="H240" s="182">
        <f>H239*F240</f>
        <v>5695.1666200000018</v>
      </c>
      <c r="I240" s="174">
        <v>0.13</v>
      </c>
      <c r="J240" s="183"/>
      <c r="K240" s="182">
        <f>K239*I240</f>
        <v>5741.5908212988361</v>
      </c>
      <c r="L240" s="184">
        <f>K240-H240</f>
        <v>46.424201298834305</v>
      </c>
      <c r="M240" s="185">
        <f>IF((H240)=0,"",(L240/H240))</f>
        <v>8.1515088840077334E-3</v>
      </c>
    </row>
    <row r="241" spans="1:13" x14ac:dyDescent="0.25">
      <c r="A241" s="100" t="str">
        <f t="shared" si="31"/>
        <v>GENERAL SERVICE 50 TO 999 KW SERVICE CLASSIFICATION</v>
      </c>
      <c r="B241" s="100" t="s">
        <v>121</v>
      </c>
      <c r="C241" s="117"/>
      <c r="D241" s="180" t="s">
        <v>185</v>
      </c>
      <c r="E241" s="158"/>
      <c r="F241" s="174">
        <v>0.08</v>
      </c>
      <c r="G241" s="175"/>
      <c r="H241" s="182">
        <v>0</v>
      </c>
      <c r="I241" s="174">
        <v>0.08</v>
      </c>
      <c r="J241" s="183"/>
      <c r="K241" s="182">
        <v>0</v>
      </c>
      <c r="L241" s="184"/>
      <c r="M241" s="185"/>
    </row>
    <row r="242" spans="1:13" ht="15.75" thickBot="1" x14ac:dyDescent="0.3">
      <c r="A242" s="100" t="str">
        <f t="shared" si="31"/>
        <v>GENERAL SERVICE 50 TO 999 KW SERVICE CLASSIFICATION</v>
      </c>
      <c r="B242" s="100" t="s">
        <v>191</v>
      </c>
      <c r="C242" s="117">
        <f>B32</f>
        <v>3</v>
      </c>
      <c r="D242" s="301" t="s">
        <v>190</v>
      </c>
      <c r="E242" s="301"/>
      <c r="F242" s="193"/>
      <c r="G242" s="194"/>
      <c r="H242" s="188">
        <f>SUM(H239,H240)</f>
        <v>49504.140620000013</v>
      </c>
      <c r="I242" s="195"/>
      <c r="J242" s="195"/>
      <c r="K242" s="188">
        <f>SUM(K239,K240)</f>
        <v>49907.674062059115</v>
      </c>
      <c r="L242" s="196">
        <f>K242-H242</f>
        <v>403.53344205910253</v>
      </c>
      <c r="M242" s="197">
        <f>IF((H242)=0,"",(L242/H242))</f>
        <v>8.1515088840078201E-3</v>
      </c>
    </row>
    <row r="243" spans="1:13" ht="15.75" thickBot="1" x14ac:dyDescent="0.3">
      <c r="A243" s="100" t="str">
        <f t="shared" si="31"/>
        <v>GENERAL SERVICE 50 TO 999 KW SERVICE CLASSIFICATION</v>
      </c>
      <c r="B243" s="100" t="s">
        <v>121</v>
      </c>
      <c r="C243" s="117"/>
      <c r="D243" s="165"/>
      <c r="E243" s="166"/>
      <c r="F243" s="202"/>
      <c r="G243" s="203"/>
      <c r="H243" s="204"/>
      <c r="I243" s="202"/>
      <c r="J243" s="205"/>
      <c r="K243" s="204"/>
      <c r="L243" s="206"/>
      <c r="M243" s="207"/>
    </row>
    <row r="246" spans="1:13" x14ac:dyDescent="0.25">
      <c r="C246" s="100"/>
      <c r="D246" s="101" t="s">
        <v>134</v>
      </c>
      <c r="E246" s="302" t="str">
        <f>D33</f>
        <v>GENERAL SERVICE 1,000 TO 4,999 KW SERVICE CLASSIFICATION</v>
      </c>
      <c r="F246" s="302"/>
      <c r="G246" s="302"/>
      <c r="H246" s="302"/>
      <c r="I246" s="302"/>
      <c r="J246" s="302"/>
      <c r="K246" s="100" t="str">
        <f>IF(N33="DEMAND - INTERVAL","RTSR - INTERVAL METERED","")</f>
        <v/>
      </c>
    </row>
    <row r="247" spans="1:13" x14ac:dyDescent="0.25">
      <c r="C247" s="100"/>
      <c r="D247" s="101" t="s">
        <v>135</v>
      </c>
      <c r="E247" s="303" t="str">
        <f>H33</f>
        <v>Non-RPP (Other)</v>
      </c>
      <c r="F247" s="303"/>
      <c r="G247" s="303"/>
      <c r="H247" s="102"/>
      <c r="I247" s="102"/>
    </row>
    <row r="248" spans="1:13" ht="15.75" x14ac:dyDescent="0.25">
      <c r="C248" s="100"/>
      <c r="D248" s="101" t="s">
        <v>136</v>
      </c>
      <c r="E248" s="103">
        <f>K33</f>
        <v>1600000</v>
      </c>
      <c r="F248" s="104" t="s">
        <v>137</v>
      </c>
      <c r="G248" s="105"/>
      <c r="J248" s="106"/>
      <c r="K248" s="106"/>
      <c r="L248" s="106"/>
      <c r="M248" s="106"/>
    </row>
    <row r="249" spans="1:13" ht="15.75" x14ac:dyDescent="0.25">
      <c r="C249" s="100"/>
      <c r="D249" s="101" t="s">
        <v>138</v>
      </c>
      <c r="E249" s="103">
        <f>L33</f>
        <v>2500</v>
      </c>
      <c r="F249" s="107" t="s">
        <v>139</v>
      </c>
      <c r="G249" s="108"/>
      <c r="H249" s="109"/>
      <c r="I249" s="109"/>
      <c r="J249" s="109"/>
    </row>
    <row r="250" spans="1:13" x14ac:dyDescent="0.25">
      <c r="C250" s="100"/>
      <c r="D250" s="101" t="s">
        <v>140</v>
      </c>
      <c r="E250" s="110">
        <f>I33</f>
        <v>1.056</v>
      </c>
    </row>
    <row r="251" spans="1:13" x14ac:dyDescent="0.25">
      <c r="C251" s="100"/>
      <c r="D251" s="101" t="s">
        <v>141</v>
      </c>
      <c r="E251" s="110">
        <f>J33</f>
        <v>1.056</v>
      </c>
    </row>
    <row r="252" spans="1:13" x14ac:dyDescent="0.25">
      <c r="C252" s="100"/>
      <c r="D252" s="105"/>
    </row>
    <row r="253" spans="1:13" x14ac:dyDescent="0.25">
      <c r="C253" s="100"/>
      <c r="D253" s="105"/>
      <c r="E253" s="111"/>
      <c r="F253" s="304" t="s">
        <v>142</v>
      </c>
      <c r="G253" s="305"/>
      <c r="H253" s="306"/>
      <c r="I253" s="304" t="s">
        <v>143</v>
      </c>
      <c r="J253" s="305"/>
      <c r="K253" s="306"/>
      <c r="L253" s="304" t="s">
        <v>144</v>
      </c>
      <c r="M253" s="306"/>
    </row>
    <row r="254" spans="1:13" x14ac:dyDescent="0.25">
      <c r="C254" s="100"/>
      <c r="D254" s="105"/>
      <c r="E254" s="295"/>
      <c r="F254" s="112" t="s">
        <v>145</v>
      </c>
      <c r="G254" s="112" t="s">
        <v>146</v>
      </c>
      <c r="H254" s="113" t="s">
        <v>147</v>
      </c>
      <c r="I254" s="112" t="s">
        <v>145</v>
      </c>
      <c r="J254" s="114" t="s">
        <v>146</v>
      </c>
      <c r="K254" s="113" t="s">
        <v>147</v>
      </c>
      <c r="L254" s="297" t="s">
        <v>148</v>
      </c>
      <c r="M254" s="299" t="s">
        <v>149</v>
      </c>
    </row>
    <row r="255" spans="1:13" x14ac:dyDescent="0.25">
      <c r="C255" s="100"/>
      <c r="D255" s="105"/>
      <c r="E255" s="296"/>
      <c r="F255" s="115" t="s">
        <v>150</v>
      </c>
      <c r="G255" s="115"/>
      <c r="H255" s="116" t="s">
        <v>150</v>
      </c>
      <c r="I255" s="115" t="s">
        <v>150</v>
      </c>
      <c r="J255" s="116"/>
      <c r="K255" s="116" t="s">
        <v>150</v>
      </c>
      <c r="L255" s="298"/>
      <c r="M255" s="300"/>
    </row>
    <row r="256" spans="1:13" x14ac:dyDescent="0.25">
      <c r="A256" s="100" t="str">
        <f>$E246</f>
        <v>GENERAL SERVICE 1,000 TO 4,999 KW SERVICE CLASSIFICATION</v>
      </c>
      <c r="C256" s="117"/>
      <c r="D256" s="118" t="s">
        <v>151</v>
      </c>
      <c r="E256" s="119"/>
      <c r="F256" s="120">
        <v>185.55</v>
      </c>
      <c r="G256" s="121">
        <v>1</v>
      </c>
      <c r="H256" s="122">
        <f>G256*F256</f>
        <v>185.55</v>
      </c>
      <c r="I256" s="123">
        <v>185.55</v>
      </c>
      <c r="J256" s="124">
        <f>G256</f>
        <v>1</v>
      </c>
      <c r="K256" s="122">
        <f>J256*I256</f>
        <v>185.55</v>
      </c>
      <c r="L256" s="125">
        <f t="shared" ref="L256:L277" si="36">K256-H256</f>
        <v>0</v>
      </c>
      <c r="M256" s="126">
        <f>IF(ISERROR(L256/H256), "", L256/H256)</f>
        <v>0</v>
      </c>
    </row>
    <row r="257" spans="1:13" x14ac:dyDescent="0.25">
      <c r="A257" s="100" t="str">
        <f>A256</f>
        <v>GENERAL SERVICE 1,000 TO 4,999 KW SERVICE CLASSIFICATION</v>
      </c>
      <c r="C257" s="117"/>
      <c r="D257" s="118" t="s">
        <v>152</v>
      </c>
      <c r="E257" s="119"/>
      <c r="F257" s="127">
        <v>3.4704999999999999</v>
      </c>
      <c r="G257" s="121">
        <f>IF($E249&gt;0, $E249, $E248)</f>
        <v>2500</v>
      </c>
      <c r="H257" s="122">
        <f t="shared" ref="H257:H269" si="37">G257*F257</f>
        <v>8676.25</v>
      </c>
      <c r="I257" s="128">
        <v>3.4704999999999999</v>
      </c>
      <c r="J257" s="124">
        <f>IF($E249&gt;0, $E249, $E248)</f>
        <v>2500</v>
      </c>
      <c r="K257" s="122">
        <f>J257*I257</f>
        <v>8676.25</v>
      </c>
      <c r="L257" s="125">
        <f t="shared" si="36"/>
        <v>0</v>
      </c>
      <c r="M257" s="126">
        <f t="shared" ref="M257:M267" si="38">IF(ISERROR(L257/H257), "", L257/H257)</f>
        <v>0</v>
      </c>
    </row>
    <row r="258" spans="1:13" x14ac:dyDescent="0.25">
      <c r="A258" s="100" t="str">
        <f t="shared" ref="A258:A299" si="39">A257</f>
        <v>GENERAL SERVICE 1,000 TO 4,999 KW SERVICE CLASSIFICATION</v>
      </c>
      <c r="C258" s="117"/>
      <c r="D258" s="118" t="s">
        <v>153</v>
      </c>
      <c r="E258" s="119"/>
      <c r="F258" s="127"/>
      <c r="G258" s="121">
        <f>IF($E249&gt;0, $E249, $E248)</f>
        <v>2500</v>
      </c>
      <c r="H258" s="122">
        <v>0</v>
      </c>
      <c r="I258" s="128"/>
      <c r="J258" s="124">
        <f>IF($E249&gt;0, $E249, $E248)</f>
        <v>2500</v>
      </c>
      <c r="K258" s="122">
        <v>0</v>
      </c>
      <c r="L258" s="125"/>
      <c r="M258" s="126"/>
    </row>
    <row r="259" spans="1:13" x14ac:dyDescent="0.25">
      <c r="A259" s="100" t="str">
        <f t="shared" si="39"/>
        <v>GENERAL SERVICE 1,000 TO 4,999 KW SERVICE CLASSIFICATION</v>
      </c>
      <c r="C259" s="117"/>
      <c r="D259" s="118" t="s">
        <v>154</v>
      </c>
      <c r="E259" s="119"/>
      <c r="F259" s="127"/>
      <c r="G259" s="121">
        <f>IF($E249&gt;0, $E249, $E248)</f>
        <v>2500</v>
      </c>
      <c r="H259" s="122">
        <v>0</v>
      </c>
      <c r="I259" s="128"/>
      <c r="J259" s="121">
        <f>IF($E249&gt;0, $E249, $E248)</f>
        <v>2500</v>
      </c>
      <c r="K259" s="122">
        <v>0</v>
      </c>
      <c r="L259" s="125">
        <f>K259-H259</f>
        <v>0</v>
      </c>
      <c r="M259" s="126" t="str">
        <f>IF(ISERROR(L259/H259), "", L259/H259)</f>
        <v/>
      </c>
    </row>
    <row r="260" spans="1:13" x14ac:dyDescent="0.25">
      <c r="A260" s="100" t="str">
        <f t="shared" si="39"/>
        <v>GENERAL SERVICE 1,000 TO 4,999 KW SERVICE CLASSIFICATION</v>
      </c>
      <c r="C260" s="117"/>
      <c r="D260" s="129" t="s">
        <v>155</v>
      </c>
      <c r="E260" s="119"/>
      <c r="F260" s="120">
        <v>0</v>
      </c>
      <c r="G260" s="121">
        <v>1</v>
      </c>
      <c r="H260" s="122">
        <f t="shared" si="37"/>
        <v>0</v>
      </c>
      <c r="I260" s="226">
        <f>'Rate Riders'!O11</f>
        <v>32.87063870617456</v>
      </c>
      <c r="J260" s="124">
        <f>G260</f>
        <v>1</v>
      </c>
      <c r="K260" s="122">
        <f t="shared" ref="K260:K267" si="40">J260*I260</f>
        <v>32.87063870617456</v>
      </c>
      <c r="L260" s="125">
        <f t="shared" si="36"/>
        <v>32.87063870617456</v>
      </c>
      <c r="M260" s="126" t="str">
        <f t="shared" si="38"/>
        <v/>
      </c>
    </row>
    <row r="261" spans="1:13" x14ac:dyDescent="0.25">
      <c r="A261" s="100" t="str">
        <f t="shared" si="39"/>
        <v>GENERAL SERVICE 1,000 TO 4,999 KW SERVICE CLASSIFICATION</v>
      </c>
      <c r="C261" s="117"/>
      <c r="D261" s="118" t="s">
        <v>156</v>
      </c>
      <c r="E261" s="119"/>
      <c r="F261" s="127">
        <v>0</v>
      </c>
      <c r="G261" s="121">
        <f>IF($E249&gt;0, $E249, $E248)</f>
        <v>2500</v>
      </c>
      <c r="H261" s="122">
        <f t="shared" si="37"/>
        <v>0</v>
      </c>
      <c r="I261" s="227">
        <f>'Rate Riders'!Q11</f>
        <v>0.61480760781341304</v>
      </c>
      <c r="J261" s="124">
        <f>IF($E249&gt;0, $E249, $E248)</f>
        <v>2500</v>
      </c>
      <c r="K261" s="122">
        <f t="shared" si="40"/>
        <v>1537.0190195335326</v>
      </c>
      <c r="L261" s="125">
        <f t="shared" si="36"/>
        <v>1537.0190195335326</v>
      </c>
      <c r="M261" s="126" t="str">
        <f t="shared" si="38"/>
        <v/>
      </c>
    </row>
    <row r="262" spans="1:13" x14ac:dyDescent="0.25">
      <c r="A262" s="100" t="str">
        <f t="shared" si="39"/>
        <v>GENERAL SERVICE 1,000 TO 4,999 KW SERVICE CLASSIFICATION</v>
      </c>
      <c r="B262" s="130" t="s">
        <v>157</v>
      </c>
      <c r="C262" s="117">
        <f>B33</f>
        <v>4</v>
      </c>
      <c r="D262" s="131" t="s">
        <v>158</v>
      </c>
      <c r="E262" s="132"/>
      <c r="F262" s="133"/>
      <c r="G262" s="134"/>
      <c r="H262" s="135">
        <f>SUM(H256:H261)</f>
        <v>8861.7999999999993</v>
      </c>
      <c r="I262" s="136"/>
      <c r="J262" s="137"/>
      <c r="K262" s="135">
        <f>SUM(K256:K261)</f>
        <v>10431.689658239706</v>
      </c>
      <c r="L262" s="138">
        <f t="shared" si="36"/>
        <v>1569.8896582397065</v>
      </c>
      <c r="M262" s="139">
        <f>IF((H262)=0,"",(L262/H262))</f>
        <v>0.17715245866976309</v>
      </c>
    </row>
    <row r="263" spans="1:13" x14ac:dyDescent="0.25">
      <c r="A263" s="100" t="str">
        <f t="shared" si="39"/>
        <v>GENERAL SERVICE 1,000 TO 4,999 KW SERVICE CLASSIFICATION</v>
      </c>
      <c r="C263" s="117"/>
      <c r="D263" s="140" t="s">
        <v>159</v>
      </c>
      <c r="E263" s="119"/>
      <c r="F263" s="127">
        <f>IF((E248*12&gt;=150000), 0, IF(E247="RPP",(F279*0.65+F280*0.17+F281*0.18),IF(E247="Non-RPP (Retailer)",F282,F283)))</f>
        <v>0</v>
      </c>
      <c r="G263" s="141">
        <f>IF(F263=0, 0, $E248*E250-E248)</f>
        <v>0</v>
      </c>
      <c r="H263" s="122">
        <f>G263*F263</f>
        <v>0</v>
      </c>
      <c r="I263" s="128">
        <v>0</v>
      </c>
      <c r="J263" s="141">
        <f>IF(I263=0, 0, E248*E251-E248)</f>
        <v>0</v>
      </c>
      <c r="K263" s="122">
        <f>J263*I263</f>
        <v>0</v>
      </c>
      <c r="L263" s="125">
        <f>K263-H263</f>
        <v>0</v>
      </c>
      <c r="M263" s="126" t="str">
        <f>IF(ISERROR(L263/H263), "", L263/H263)</f>
        <v/>
      </c>
    </row>
    <row r="264" spans="1:13" ht="25.5" x14ac:dyDescent="0.25">
      <c r="A264" s="100" t="str">
        <f t="shared" si="39"/>
        <v>GENERAL SERVICE 1,000 TO 4,999 KW SERVICE CLASSIFICATION</v>
      </c>
      <c r="C264" s="117"/>
      <c r="D264" s="140" t="s">
        <v>160</v>
      </c>
      <c r="E264" s="119"/>
      <c r="F264" s="127">
        <v>-0.93979999999999997</v>
      </c>
      <c r="G264" s="142">
        <f>IF($E249&gt;0, $E249, $E248)</f>
        <v>2500</v>
      </c>
      <c r="H264" s="122">
        <f t="shared" si="37"/>
        <v>-2349.5</v>
      </c>
      <c r="I264" s="128">
        <v>-0.93979999999999997</v>
      </c>
      <c r="J264" s="142">
        <f>IF($E249&gt;0, $E249, $E248)</f>
        <v>2500</v>
      </c>
      <c r="K264" s="122">
        <f t="shared" si="40"/>
        <v>-2349.5</v>
      </c>
      <c r="L264" s="125">
        <f t="shared" si="36"/>
        <v>0</v>
      </c>
      <c r="M264" s="126">
        <f t="shared" si="38"/>
        <v>0</v>
      </c>
    </row>
    <row r="265" spans="1:13" x14ac:dyDescent="0.25">
      <c r="A265" s="100" t="str">
        <f t="shared" si="39"/>
        <v>GENERAL SERVICE 1,000 TO 4,999 KW SERVICE CLASSIFICATION</v>
      </c>
      <c r="C265" s="117"/>
      <c r="D265" s="140" t="s">
        <v>161</v>
      </c>
      <c r="E265" s="119"/>
      <c r="F265" s="127">
        <v>-3.4099999999999998E-2</v>
      </c>
      <c r="G265" s="142">
        <f>IF($E249&gt;0, $E249, $E248)</f>
        <v>2500</v>
      </c>
      <c r="H265" s="122">
        <f>G265*F265</f>
        <v>-85.25</v>
      </c>
      <c r="I265" s="128">
        <v>-3.4099999999999998E-2</v>
      </c>
      <c r="J265" s="142">
        <f>IF($E249&gt;0, $E249, $E248)</f>
        <v>2500</v>
      </c>
      <c r="K265" s="122">
        <f>J265*I265</f>
        <v>-85.25</v>
      </c>
      <c r="L265" s="125">
        <f t="shared" si="36"/>
        <v>0</v>
      </c>
      <c r="M265" s="126">
        <f t="shared" si="38"/>
        <v>0</v>
      </c>
    </row>
    <row r="266" spans="1:13" x14ac:dyDescent="0.25">
      <c r="A266" s="100" t="str">
        <f t="shared" si="39"/>
        <v>GENERAL SERVICE 1,000 TO 4,999 KW SERVICE CLASSIFICATION</v>
      </c>
      <c r="C266" s="117"/>
      <c r="D266" s="140" t="s">
        <v>162</v>
      </c>
      <c r="E266" s="119"/>
      <c r="F266" s="127">
        <v>-1E-3</v>
      </c>
      <c r="G266" s="142">
        <f>E248</f>
        <v>1600000</v>
      </c>
      <c r="H266" s="122">
        <f>G266*F266</f>
        <v>-1600</v>
      </c>
      <c r="I266" s="128">
        <v>-1E-3</v>
      </c>
      <c r="J266" s="142">
        <f>E248</f>
        <v>1600000</v>
      </c>
      <c r="K266" s="122">
        <f t="shared" si="40"/>
        <v>-1600</v>
      </c>
      <c r="L266" s="125">
        <f t="shared" si="36"/>
        <v>0</v>
      </c>
      <c r="M266" s="126">
        <f t="shared" si="38"/>
        <v>0</v>
      </c>
    </row>
    <row r="267" spans="1:13" x14ac:dyDescent="0.25">
      <c r="A267" s="100" t="str">
        <f t="shared" si="39"/>
        <v>GENERAL SERVICE 1,000 TO 4,999 KW SERVICE CLASSIFICATION</v>
      </c>
      <c r="C267" s="117"/>
      <c r="D267" s="143" t="s">
        <v>163</v>
      </c>
      <c r="E267" s="119"/>
      <c r="F267" s="127">
        <v>1.0483</v>
      </c>
      <c r="G267" s="142">
        <f>IF($E249&gt;0, $E249, $E248)</f>
        <v>2500</v>
      </c>
      <c r="H267" s="122">
        <f t="shared" si="37"/>
        <v>2620.75</v>
      </c>
      <c r="I267" s="128">
        <v>1.0483</v>
      </c>
      <c r="J267" s="142">
        <f>IF($E249&gt;0, $E249, $E248)</f>
        <v>2500</v>
      </c>
      <c r="K267" s="122">
        <f t="shared" si="40"/>
        <v>2620.75</v>
      </c>
      <c r="L267" s="125">
        <f t="shared" si="36"/>
        <v>0</v>
      </c>
      <c r="M267" s="126">
        <f t="shared" si="38"/>
        <v>0</v>
      </c>
    </row>
    <row r="268" spans="1:13" ht="25.5" x14ac:dyDescent="0.25">
      <c r="A268" s="100" t="str">
        <f t="shared" si="39"/>
        <v>GENERAL SERVICE 1,000 TO 4,999 KW SERVICE CLASSIFICATION</v>
      </c>
      <c r="C268" s="117"/>
      <c r="D268" s="144" t="s">
        <v>164</v>
      </c>
      <c r="E268" s="119"/>
      <c r="F268" s="145">
        <f>IF(OR(ISNUMBER(SEARCH("RESIDENTIAL", E246))=TRUE, ISNUMBER(SEARCH("GENERAL SERVICE LESS THAN 50", E246))=TRUE), SME, 0)</f>
        <v>0</v>
      </c>
      <c r="G268" s="121">
        <v>1</v>
      </c>
      <c r="H268" s="122">
        <f>G268*F268</f>
        <v>0</v>
      </c>
      <c r="I268" s="146">
        <v>0</v>
      </c>
      <c r="J268" s="121">
        <v>1</v>
      </c>
      <c r="K268" s="122">
        <f>J268*I268</f>
        <v>0</v>
      </c>
      <c r="L268" s="125">
        <f t="shared" si="36"/>
        <v>0</v>
      </c>
      <c r="M268" s="126" t="str">
        <f>IF(ISERROR(L268/H268), "", L268/H268)</f>
        <v/>
      </c>
    </row>
    <row r="269" spans="1:13" x14ac:dyDescent="0.25">
      <c r="A269" s="100" t="str">
        <f t="shared" si="39"/>
        <v>GENERAL SERVICE 1,000 TO 4,999 KW SERVICE CLASSIFICATION</v>
      </c>
      <c r="C269" s="117"/>
      <c r="D269" s="143" t="s">
        <v>165</v>
      </c>
      <c r="E269" s="119"/>
      <c r="F269" s="120">
        <v>0</v>
      </c>
      <c r="G269" s="121">
        <v>1</v>
      </c>
      <c r="H269" s="122">
        <f t="shared" si="37"/>
        <v>0</v>
      </c>
      <c r="I269" s="123">
        <v>0</v>
      </c>
      <c r="J269" s="121">
        <v>1</v>
      </c>
      <c r="K269" s="122">
        <f>J269*I269</f>
        <v>0</v>
      </c>
      <c r="L269" s="125">
        <f>K269-H269</f>
        <v>0</v>
      </c>
      <c r="M269" s="126" t="str">
        <f>IF(ISERROR(L269/H269), "", L269/H269)</f>
        <v/>
      </c>
    </row>
    <row r="270" spans="1:13" x14ac:dyDescent="0.25">
      <c r="A270" s="100" t="str">
        <f t="shared" si="39"/>
        <v>GENERAL SERVICE 1,000 TO 4,999 KW SERVICE CLASSIFICATION</v>
      </c>
      <c r="C270" s="117"/>
      <c r="D270" s="143" t="s">
        <v>166</v>
      </c>
      <c r="E270" s="119"/>
      <c r="F270" s="127"/>
      <c r="G270" s="142">
        <f>IF($E249&gt;0, $E249, $E248)</f>
        <v>2500</v>
      </c>
      <c r="H270" s="122">
        <f>G270*F270</f>
        <v>0</v>
      </c>
      <c r="I270" s="128"/>
      <c r="J270" s="142">
        <f>IF($E249&gt;0, $E249, $E248)</f>
        <v>2500</v>
      </c>
      <c r="K270" s="122">
        <f>J270*I270</f>
        <v>0</v>
      </c>
      <c r="L270" s="125">
        <f t="shared" si="36"/>
        <v>0</v>
      </c>
      <c r="M270" s="126" t="str">
        <f>IF(ISERROR(L270/H270), "", L270/H270)</f>
        <v/>
      </c>
    </row>
    <row r="271" spans="1:13" ht="25.5" x14ac:dyDescent="0.25">
      <c r="A271" s="100" t="str">
        <f t="shared" si="39"/>
        <v>GENERAL SERVICE 1,000 TO 4,999 KW SERVICE CLASSIFICATION</v>
      </c>
      <c r="B271" s="105" t="s">
        <v>167</v>
      </c>
      <c r="C271" s="117">
        <f>B33</f>
        <v>4</v>
      </c>
      <c r="D271" s="147" t="s">
        <v>168</v>
      </c>
      <c r="E271" s="148"/>
      <c r="F271" s="149"/>
      <c r="G271" s="150"/>
      <c r="H271" s="151">
        <f>SUM(H262:H270)</f>
        <v>7447.7999999999993</v>
      </c>
      <c r="I271" s="152"/>
      <c r="J271" s="153"/>
      <c r="K271" s="151">
        <f>SUM(K262:K270)</f>
        <v>9017.6896582397058</v>
      </c>
      <c r="L271" s="138">
        <f t="shared" si="36"/>
        <v>1569.8896582397065</v>
      </c>
      <c r="M271" s="139">
        <f>IF((H271)=0,"",(L271/H271))</f>
        <v>0.21078568949753035</v>
      </c>
    </row>
    <row r="272" spans="1:13" x14ac:dyDescent="0.25">
      <c r="A272" s="100" t="str">
        <f t="shared" si="39"/>
        <v>GENERAL SERVICE 1,000 TO 4,999 KW SERVICE CLASSIFICATION</v>
      </c>
      <c r="C272" s="117"/>
      <c r="D272" s="154" t="s">
        <v>169</v>
      </c>
      <c r="E272" s="119"/>
      <c r="F272" s="127">
        <v>2.6217000000000001</v>
      </c>
      <c r="G272" s="141">
        <f>IF($E249&gt;0, $E249, $E248*$E250)</f>
        <v>2500</v>
      </c>
      <c r="H272" s="122">
        <f>G272*F272</f>
        <v>6554.25</v>
      </c>
      <c r="I272" s="128">
        <v>2.6217000000000001</v>
      </c>
      <c r="J272" s="141">
        <f>IF($E249&gt;0, $E249, $E248*$E251)</f>
        <v>2500</v>
      </c>
      <c r="K272" s="122">
        <f>J272*I272</f>
        <v>6554.25</v>
      </c>
      <c r="L272" s="125">
        <f t="shared" si="36"/>
        <v>0</v>
      </c>
      <c r="M272" s="126">
        <f>IF(ISERROR(L272/H272), "", L272/H272)</f>
        <v>0</v>
      </c>
    </row>
    <row r="273" spans="1:13" ht="25.5" x14ac:dyDescent="0.25">
      <c r="A273" s="100" t="str">
        <f t="shared" si="39"/>
        <v>GENERAL SERVICE 1,000 TO 4,999 KW SERVICE CLASSIFICATION</v>
      </c>
      <c r="C273" s="117"/>
      <c r="D273" s="155" t="s">
        <v>170</v>
      </c>
      <c r="E273" s="119"/>
      <c r="F273" s="127">
        <v>2.2145999999999999</v>
      </c>
      <c r="G273" s="141">
        <f>IF($E249&gt;0, $E249, $E248*$E250)</f>
        <v>2500</v>
      </c>
      <c r="H273" s="122">
        <f>G273*F273</f>
        <v>5536.5</v>
      </c>
      <c r="I273" s="128">
        <v>2.2145999999999999</v>
      </c>
      <c r="J273" s="141">
        <f>IF($E249&gt;0, $E249, $E248*$E251)</f>
        <v>2500</v>
      </c>
      <c r="K273" s="122">
        <f>J273*I273</f>
        <v>5536.5</v>
      </c>
      <c r="L273" s="125">
        <f t="shared" si="36"/>
        <v>0</v>
      </c>
      <c r="M273" s="126">
        <f>IF(ISERROR(L273/H273), "", L273/H273)</f>
        <v>0</v>
      </c>
    </row>
    <row r="274" spans="1:13" ht="25.5" x14ac:dyDescent="0.25">
      <c r="A274" s="100" t="str">
        <f t="shared" si="39"/>
        <v>GENERAL SERVICE 1,000 TO 4,999 KW SERVICE CLASSIFICATION</v>
      </c>
      <c r="B274" s="105" t="s">
        <v>171</v>
      </c>
      <c r="C274" s="117">
        <f>B33</f>
        <v>4</v>
      </c>
      <c r="D274" s="147" t="s">
        <v>172</v>
      </c>
      <c r="E274" s="132"/>
      <c r="F274" s="149"/>
      <c r="G274" s="150"/>
      <c r="H274" s="151">
        <f>SUM(H271:H273)</f>
        <v>19538.55</v>
      </c>
      <c r="I274" s="152"/>
      <c r="J274" s="137"/>
      <c r="K274" s="151">
        <f>SUM(K271:K273)</f>
        <v>21108.439658239706</v>
      </c>
      <c r="L274" s="138">
        <f t="shared" si="36"/>
        <v>1569.8896582397065</v>
      </c>
      <c r="M274" s="139">
        <f>IF((H274)=0,"",(L274/H274))</f>
        <v>8.0348319513971436E-2</v>
      </c>
    </row>
    <row r="275" spans="1:13" ht="25.5" x14ac:dyDescent="0.25">
      <c r="A275" s="100" t="str">
        <f t="shared" si="39"/>
        <v>GENERAL SERVICE 1,000 TO 4,999 KW SERVICE CLASSIFICATION</v>
      </c>
      <c r="C275" s="117"/>
      <c r="D275" s="156" t="s">
        <v>173</v>
      </c>
      <c r="E275" s="119"/>
      <c r="F275" s="127">
        <v>3.6000000000000003E-3</v>
      </c>
      <c r="G275" s="141">
        <f>E248*E250</f>
        <v>1689600</v>
      </c>
      <c r="H275" s="157">
        <f t="shared" ref="H275:H281" si="41">G275*F275</f>
        <v>6082.56</v>
      </c>
      <c r="I275" s="128">
        <v>3.6000000000000003E-3</v>
      </c>
      <c r="J275" s="141">
        <f>E248*E251</f>
        <v>1689600</v>
      </c>
      <c r="K275" s="157">
        <f t="shared" ref="K275:K281" si="42">J275*I275</f>
        <v>6082.56</v>
      </c>
      <c r="L275" s="125">
        <f t="shared" si="36"/>
        <v>0</v>
      </c>
      <c r="M275" s="126">
        <f t="shared" ref="M275:M283" si="43">IF(ISERROR(L275/H275), "", L275/H275)</f>
        <v>0</v>
      </c>
    </row>
    <row r="276" spans="1:13" ht="25.5" x14ac:dyDescent="0.25">
      <c r="A276" s="100" t="str">
        <f t="shared" si="39"/>
        <v>GENERAL SERVICE 1,000 TO 4,999 KW SERVICE CLASSIFICATION</v>
      </c>
      <c r="C276" s="117"/>
      <c r="D276" s="156" t="s">
        <v>174</v>
      </c>
      <c r="E276" s="119"/>
      <c r="F276" s="127">
        <f>'[1]17. Regulatory Charges'!$D$16</f>
        <v>2.9999999999999997E-4</v>
      </c>
      <c r="G276" s="141">
        <f>E248*E250</f>
        <v>1689600</v>
      </c>
      <c r="H276" s="157">
        <f t="shared" si="41"/>
        <v>506.87999999999994</v>
      </c>
      <c r="I276" s="128">
        <v>2.9999999999999997E-4</v>
      </c>
      <c r="J276" s="141">
        <f>E248*E251</f>
        <v>1689600</v>
      </c>
      <c r="K276" s="157">
        <f t="shared" si="42"/>
        <v>506.87999999999994</v>
      </c>
      <c r="L276" s="125">
        <f t="shared" si="36"/>
        <v>0</v>
      </c>
      <c r="M276" s="126">
        <f t="shared" si="43"/>
        <v>0</v>
      </c>
    </row>
    <row r="277" spans="1:13" x14ac:dyDescent="0.25">
      <c r="A277" s="100" t="str">
        <f t="shared" si="39"/>
        <v>GENERAL SERVICE 1,000 TO 4,999 KW SERVICE CLASSIFICATION</v>
      </c>
      <c r="C277" s="117"/>
      <c r="D277" s="158" t="s">
        <v>175</v>
      </c>
      <c r="E277" s="119"/>
      <c r="F277" s="145">
        <v>0.25</v>
      </c>
      <c r="G277" s="121">
        <v>1</v>
      </c>
      <c r="H277" s="157">
        <f t="shared" si="41"/>
        <v>0.25</v>
      </c>
      <c r="I277" s="146">
        <v>0.25</v>
      </c>
      <c r="J277" s="124">
        <v>1</v>
      </c>
      <c r="K277" s="157">
        <f t="shared" si="42"/>
        <v>0.25</v>
      </c>
      <c r="L277" s="125">
        <f t="shared" si="36"/>
        <v>0</v>
      </c>
      <c r="M277" s="126">
        <f t="shared" si="43"/>
        <v>0</v>
      </c>
    </row>
    <row r="278" spans="1:13" ht="25.5" x14ac:dyDescent="0.25">
      <c r="A278" s="100" t="str">
        <f t="shared" si="39"/>
        <v>GENERAL SERVICE 1,000 TO 4,999 KW SERVICE CLASSIFICATION</v>
      </c>
      <c r="C278" s="117"/>
      <c r="D278" s="156" t="s">
        <v>176</v>
      </c>
      <c r="E278" s="119"/>
      <c r="F278" s="127"/>
      <c r="G278" s="141"/>
      <c r="H278" s="157"/>
      <c r="I278" s="128"/>
      <c r="J278" s="141"/>
      <c r="K278" s="157"/>
      <c r="L278" s="125"/>
      <c r="M278" s="126"/>
    </row>
    <row r="279" spans="1:13" hidden="1" x14ac:dyDescent="0.25">
      <c r="A279" s="100" t="str">
        <f t="shared" si="39"/>
        <v>GENERAL SERVICE 1,000 TO 4,999 KW SERVICE CLASSIFICATION</v>
      </c>
      <c r="B279" s="105" t="s">
        <v>117</v>
      </c>
      <c r="C279" s="117"/>
      <c r="D279" s="159" t="s">
        <v>177</v>
      </c>
      <c r="E279" s="119"/>
      <c r="F279" s="160">
        <f>OffPeak</f>
        <v>6.5000000000000002E-2</v>
      </c>
      <c r="G279" s="161">
        <f>IF(AND(E248*12&gt;=150000),0.65*E248*E250,0.65*E248)</f>
        <v>1098240</v>
      </c>
      <c r="H279" s="157">
        <f t="shared" si="41"/>
        <v>71385.600000000006</v>
      </c>
      <c r="I279" s="162">
        <v>6.5000000000000002E-2</v>
      </c>
      <c r="J279" s="161">
        <f>IF(AND(E248*12&gt;=150000),0.65*E248*E251,0.65*E248)</f>
        <v>1098240</v>
      </c>
      <c r="K279" s="157">
        <f t="shared" si="42"/>
        <v>71385.600000000006</v>
      </c>
      <c r="L279" s="125">
        <f>K279-H279</f>
        <v>0</v>
      </c>
      <c r="M279" s="126">
        <f t="shared" si="43"/>
        <v>0</v>
      </c>
    </row>
    <row r="280" spans="1:13" hidden="1" x14ac:dyDescent="0.25">
      <c r="A280" s="100" t="str">
        <f t="shared" si="39"/>
        <v>GENERAL SERVICE 1,000 TO 4,999 KW SERVICE CLASSIFICATION</v>
      </c>
      <c r="B280" s="105" t="s">
        <v>117</v>
      </c>
      <c r="C280" s="117"/>
      <c r="D280" s="159" t="s">
        <v>178</v>
      </c>
      <c r="E280" s="119"/>
      <c r="F280" s="160">
        <f>MidPeak</f>
        <v>9.4E-2</v>
      </c>
      <c r="G280" s="161">
        <f>IF(AND(E248*12&gt;=150000),0.17*E248*E250,0.17*E248)</f>
        <v>287232</v>
      </c>
      <c r="H280" s="157">
        <f t="shared" si="41"/>
        <v>26999.808000000001</v>
      </c>
      <c r="I280" s="162">
        <v>9.4E-2</v>
      </c>
      <c r="J280" s="161">
        <f>IF(AND(E248*12&gt;=150000),0.17*E248*E251,0.17*E248)</f>
        <v>287232</v>
      </c>
      <c r="K280" s="157">
        <f t="shared" si="42"/>
        <v>26999.808000000001</v>
      </c>
      <c r="L280" s="125">
        <f>K280-H280</f>
        <v>0</v>
      </c>
      <c r="M280" s="126">
        <f t="shared" si="43"/>
        <v>0</v>
      </c>
    </row>
    <row r="281" spans="1:13" hidden="1" x14ac:dyDescent="0.25">
      <c r="A281" s="100" t="str">
        <f t="shared" si="39"/>
        <v>GENERAL SERVICE 1,000 TO 4,999 KW SERVICE CLASSIFICATION</v>
      </c>
      <c r="B281" s="105" t="s">
        <v>117</v>
      </c>
      <c r="C281" s="117"/>
      <c r="D281" s="105" t="s">
        <v>179</v>
      </c>
      <c r="E281" s="119"/>
      <c r="F281" s="160">
        <f>OnPeak</f>
        <v>0.13200000000000001</v>
      </c>
      <c r="G281" s="161">
        <f>IF(AND(E248*12&gt;=150000),0.18*E248*E250,0.18*E248)</f>
        <v>304128</v>
      </c>
      <c r="H281" s="157">
        <f t="shared" si="41"/>
        <v>40144.896000000001</v>
      </c>
      <c r="I281" s="162">
        <v>0.13200000000000001</v>
      </c>
      <c r="J281" s="161">
        <f>IF(AND(E248*12&gt;=150000),0.18*E248*E251,0.18*E248)</f>
        <v>304128</v>
      </c>
      <c r="K281" s="157">
        <f t="shared" si="42"/>
        <v>40144.896000000001</v>
      </c>
      <c r="L281" s="125">
        <f>K281-H281</f>
        <v>0</v>
      </c>
      <c r="M281" s="126">
        <f t="shared" si="43"/>
        <v>0</v>
      </c>
    </row>
    <row r="282" spans="1:13" hidden="1" x14ac:dyDescent="0.25">
      <c r="A282" s="100" t="str">
        <f t="shared" si="39"/>
        <v>GENERAL SERVICE 1,000 TO 4,999 KW SERVICE CLASSIFICATION</v>
      </c>
      <c r="B282" s="100" t="s">
        <v>180</v>
      </c>
      <c r="C282" s="117"/>
      <c r="D282" s="159" t="s">
        <v>181</v>
      </c>
      <c r="E282" s="119"/>
      <c r="F282" s="163">
        <v>0.1101</v>
      </c>
      <c r="G282" s="161">
        <f>IF(AND(E248*12&gt;=150000),E248*E250,E248)</f>
        <v>1689600</v>
      </c>
      <c r="H282" s="157">
        <f>G282*F282</f>
        <v>186024.95999999999</v>
      </c>
      <c r="I282" s="164">
        <v>0.1101</v>
      </c>
      <c r="J282" s="161">
        <f>IF(AND(E248*12&gt;=150000),E248*E251,E248)</f>
        <v>1689600</v>
      </c>
      <c r="K282" s="157">
        <f>J282*I282</f>
        <v>186024.95999999999</v>
      </c>
      <c r="L282" s="125">
        <f>K282-H282</f>
        <v>0</v>
      </c>
      <c r="M282" s="126">
        <f t="shared" si="43"/>
        <v>0</v>
      </c>
    </row>
    <row r="283" spans="1:13" ht="15.75" thickBot="1" x14ac:dyDescent="0.3">
      <c r="A283" s="100" t="str">
        <f t="shared" si="39"/>
        <v>GENERAL SERVICE 1,000 TO 4,999 KW SERVICE CLASSIFICATION</v>
      </c>
      <c r="B283" s="100" t="s">
        <v>121</v>
      </c>
      <c r="C283" s="117"/>
      <c r="D283" s="159" t="s">
        <v>182</v>
      </c>
      <c r="E283" s="119"/>
      <c r="F283" s="163">
        <v>0.1101</v>
      </c>
      <c r="G283" s="161">
        <f>IF(AND(E248*12&gt;=150000),E248*E250,E248)</f>
        <v>1689600</v>
      </c>
      <c r="H283" s="157">
        <f>G283*F283</f>
        <v>186024.95999999999</v>
      </c>
      <c r="I283" s="164">
        <v>0.1101</v>
      </c>
      <c r="J283" s="161">
        <f>IF(AND(E248*12&gt;=150000),E248*E251,E248)</f>
        <v>1689600</v>
      </c>
      <c r="K283" s="157">
        <f>J283*I283</f>
        <v>186024.95999999999</v>
      </c>
      <c r="L283" s="125">
        <f>K283-H283</f>
        <v>0</v>
      </c>
      <c r="M283" s="126">
        <f t="shared" si="43"/>
        <v>0</v>
      </c>
    </row>
    <row r="284" spans="1:13" ht="15.75" thickBot="1" x14ac:dyDescent="0.3">
      <c r="A284" s="100" t="str">
        <f t="shared" si="39"/>
        <v>GENERAL SERVICE 1,000 TO 4,999 KW SERVICE CLASSIFICATION</v>
      </c>
      <c r="B284" s="105"/>
      <c r="C284" s="117"/>
      <c r="D284" s="165"/>
      <c r="E284" s="166"/>
      <c r="F284" s="167"/>
      <c r="G284" s="168"/>
      <c r="H284" s="169"/>
      <c r="I284" s="167"/>
      <c r="J284" s="170"/>
      <c r="K284" s="169"/>
      <c r="L284" s="171"/>
      <c r="M284" s="172"/>
    </row>
    <row r="285" spans="1:13" hidden="1" x14ac:dyDescent="0.25">
      <c r="A285" s="100" t="str">
        <f t="shared" si="39"/>
        <v>GENERAL SERVICE 1,000 TO 4,999 KW SERVICE CLASSIFICATION</v>
      </c>
      <c r="B285" s="105" t="s">
        <v>117</v>
      </c>
      <c r="C285" s="117"/>
      <c r="D285" s="173" t="s">
        <v>183</v>
      </c>
      <c r="E285" s="158"/>
      <c r="F285" s="174"/>
      <c r="G285" s="175"/>
      <c r="H285" s="176">
        <f>SUM(H275:H281,H274)</f>
        <v>164658.54399999999</v>
      </c>
      <c r="I285" s="177"/>
      <c r="J285" s="177"/>
      <c r="K285" s="176">
        <f>SUM(K275:K281,K274)</f>
        <v>166228.43365823972</v>
      </c>
      <c r="L285" s="178">
        <f>K285-H285</f>
        <v>1569.8896582397283</v>
      </c>
      <c r="M285" s="179">
        <f>IF((H285)=0,"",(L285/H285))</f>
        <v>9.5342131668535116E-3</v>
      </c>
    </row>
    <row r="286" spans="1:13" hidden="1" x14ac:dyDescent="0.25">
      <c r="A286" s="100" t="str">
        <f t="shared" si="39"/>
        <v>GENERAL SERVICE 1,000 TO 4,999 KW SERVICE CLASSIFICATION</v>
      </c>
      <c r="B286" s="105" t="s">
        <v>117</v>
      </c>
      <c r="C286" s="117"/>
      <c r="D286" s="180" t="s">
        <v>184</v>
      </c>
      <c r="E286" s="158"/>
      <c r="F286" s="174">
        <v>0.13</v>
      </c>
      <c r="G286" s="181"/>
      <c r="H286" s="182">
        <f>H285*F286</f>
        <v>21405.610720000001</v>
      </c>
      <c r="I286" s="183">
        <v>0.13</v>
      </c>
      <c r="J286" s="121"/>
      <c r="K286" s="182">
        <f>K285*I286</f>
        <v>21609.696375571166</v>
      </c>
      <c r="L286" s="184">
        <f>K286-H286</f>
        <v>204.08565557116526</v>
      </c>
      <c r="M286" s="185">
        <f>IF((H286)=0,"",(L286/H286))</f>
        <v>9.5342131668535394E-3</v>
      </c>
    </row>
    <row r="287" spans="1:13" hidden="1" x14ac:dyDescent="0.25">
      <c r="A287" s="100" t="str">
        <f t="shared" si="39"/>
        <v>GENERAL SERVICE 1,000 TO 4,999 KW SERVICE CLASSIFICATION</v>
      </c>
      <c r="B287" s="105" t="s">
        <v>117</v>
      </c>
      <c r="C287" s="117"/>
      <c r="D287" s="180" t="s">
        <v>185</v>
      </c>
      <c r="E287" s="158"/>
      <c r="F287" s="174">
        <v>0.08</v>
      </c>
      <c r="G287" s="181"/>
      <c r="H287" s="182">
        <v>0</v>
      </c>
      <c r="I287" s="174">
        <v>0.08</v>
      </c>
      <c r="J287" s="121"/>
      <c r="K287" s="182">
        <v>0</v>
      </c>
      <c r="L287" s="184">
        <f>K287-H287</f>
        <v>0</v>
      </c>
      <c r="M287" s="185"/>
    </row>
    <row r="288" spans="1:13" ht="15.75" hidden="1" thickBot="1" x14ac:dyDescent="0.3">
      <c r="A288" s="100" t="str">
        <f t="shared" si="39"/>
        <v>GENERAL SERVICE 1,000 TO 4,999 KW SERVICE CLASSIFICATION</v>
      </c>
      <c r="B288" s="105" t="s">
        <v>186</v>
      </c>
      <c r="C288" s="117"/>
      <c r="D288" s="301" t="s">
        <v>187</v>
      </c>
      <c r="E288" s="301"/>
      <c r="F288" s="186"/>
      <c r="G288" s="187"/>
      <c r="H288" s="188">
        <f>H285+H286+H287</f>
        <v>186064.15471999999</v>
      </c>
      <c r="I288" s="189"/>
      <c r="J288" s="189"/>
      <c r="K288" s="190">
        <f>K285+K286+K287</f>
        <v>187838.13003381088</v>
      </c>
      <c r="L288" s="191">
        <f>K288-H288</f>
        <v>1773.9753138108936</v>
      </c>
      <c r="M288" s="192">
        <f>IF((H288)=0,"",(L288/H288))</f>
        <v>9.5342131668535151E-3</v>
      </c>
    </row>
    <row r="289" spans="1:13" ht="15.75" hidden="1" thickBot="1" x14ac:dyDescent="0.3">
      <c r="A289" s="100" t="str">
        <f t="shared" si="39"/>
        <v>GENERAL SERVICE 1,000 TO 4,999 KW SERVICE CLASSIFICATION</v>
      </c>
      <c r="B289" s="100" t="s">
        <v>117</v>
      </c>
      <c r="C289" s="117"/>
      <c r="D289" s="165"/>
      <c r="E289" s="166"/>
      <c r="F289" s="167"/>
      <c r="G289" s="168"/>
      <c r="H289" s="169"/>
      <c r="I289" s="167"/>
      <c r="J289" s="170"/>
      <c r="K289" s="169"/>
      <c r="L289" s="171"/>
      <c r="M289" s="172"/>
    </row>
    <row r="290" spans="1:13" hidden="1" x14ac:dyDescent="0.25">
      <c r="A290" s="100" t="str">
        <f t="shared" si="39"/>
        <v>GENERAL SERVICE 1,000 TO 4,999 KW SERVICE CLASSIFICATION</v>
      </c>
      <c r="B290" s="100" t="s">
        <v>180</v>
      </c>
      <c r="C290" s="117"/>
      <c r="D290" s="173" t="s">
        <v>188</v>
      </c>
      <c r="E290" s="158"/>
      <c r="F290" s="174"/>
      <c r="G290" s="175"/>
      <c r="H290" s="176">
        <f>SUM(H282,H275:H278,H274)</f>
        <v>212153.19999999998</v>
      </c>
      <c r="I290" s="177"/>
      <c r="J290" s="177"/>
      <c r="K290" s="176">
        <f>SUM(K282,K275:K278,K274)</f>
        <v>213723.08965823971</v>
      </c>
      <c r="L290" s="178">
        <f>K290-H290</f>
        <v>1569.8896582397283</v>
      </c>
      <c r="M290" s="179">
        <f>IF((H290)=0,"",(L290/H290))</f>
        <v>7.3997925001354136E-3</v>
      </c>
    </row>
    <row r="291" spans="1:13" hidden="1" x14ac:dyDescent="0.25">
      <c r="A291" s="100" t="str">
        <f t="shared" si="39"/>
        <v>GENERAL SERVICE 1,000 TO 4,999 KW SERVICE CLASSIFICATION</v>
      </c>
      <c r="B291" s="100" t="s">
        <v>180</v>
      </c>
      <c r="C291" s="117"/>
      <c r="D291" s="180" t="s">
        <v>184</v>
      </c>
      <c r="E291" s="158"/>
      <c r="F291" s="174">
        <v>0.13</v>
      </c>
      <c r="G291" s="175"/>
      <c r="H291" s="182">
        <f>H290*F291</f>
        <v>27579.915999999997</v>
      </c>
      <c r="I291" s="174">
        <v>0.13</v>
      </c>
      <c r="J291" s="183"/>
      <c r="K291" s="182">
        <f>K290*I291</f>
        <v>27784.001655571163</v>
      </c>
      <c r="L291" s="184">
        <f>K291-H291</f>
        <v>204.08565557116526</v>
      </c>
      <c r="M291" s="185">
        <f>IF((H291)=0,"",(L291/H291))</f>
        <v>7.3997925001354345E-3</v>
      </c>
    </row>
    <row r="292" spans="1:13" hidden="1" x14ac:dyDescent="0.25">
      <c r="A292" s="100" t="str">
        <f t="shared" si="39"/>
        <v>GENERAL SERVICE 1,000 TO 4,999 KW SERVICE CLASSIFICATION</v>
      </c>
      <c r="B292" s="100" t="s">
        <v>180</v>
      </c>
      <c r="C292" s="117"/>
      <c r="D292" s="180" t="s">
        <v>185</v>
      </c>
      <c r="E292" s="158"/>
      <c r="F292" s="174">
        <v>0.08</v>
      </c>
      <c r="G292" s="175"/>
      <c r="H292" s="182">
        <v>0</v>
      </c>
      <c r="I292" s="174">
        <v>0.08</v>
      </c>
      <c r="J292" s="183"/>
      <c r="K292" s="182">
        <v>0</v>
      </c>
      <c r="L292" s="184"/>
      <c r="M292" s="185"/>
    </row>
    <row r="293" spans="1:13" ht="15.75" hidden="1" thickBot="1" x14ac:dyDescent="0.3">
      <c r="A293" s="100" t="str">
        <f t="shared" si="39"/>
        <v>GENERAL SERVICE 1,000 TO 4,999 KW SERVICE CLASSIFICATION</v>
      </c>
      <c r="B293" s="100" t="s">
        <v>189</v>
      </c>
      <c r="C293" s="117"/>
      <c r="D293" s="301" t="s">
        <v>188</v>
      </c>
      <c r="E293" s="301"/>
      <c r="F293" s="193"/>
      <c r="G293" s="194"/>
      <c r="H293" s="188">
        <f>SUM(H290,H291)</f>
        <v>239733.11599999998</v>
      </c>
      <c r="I293" s="195"/>
      <c r="J293" s="195"/>
      <c r="K293" s="188">
        <f>SUM(K290,K291)</f>
        <v>241507.09131381087</v>
      </c>
      <c r="L293" s="196">
        <f>K293-H293</f>
        <v>1773.9753138108936</v>
      </c>
      <c r="M293" s="197">
        <f>IF((H293)=0,"",(L293/H293))</f>
        <v>7.3997925001354162E-3</v>
      </c>
    </row>
    <row r="294" spans="1:13" ht="15.75" hidden="1" thickBot="1" x14ac:dyDescent="0.3">
      <c r="A294" s="100" t="str">
        <f t="shared" si="39"/>
        <v>GENERAL SERVICE 1,000 TO 4,999 KW SERVICE CLASSIFICATION</v>
      </c>
      <c r="B294" s="100" t="s">
        <v>180</v>
      </c>
      <c r="C294" s="117"/>
      <c r="D294" s="165"/>
      <c r="E294" s="166"/>
      <c r="F294" s="198"/>
      <c r="G294" s="199"/>
      <c r="H294" s="200"/>
      <c r="I294" s="198"/>
      <c r="J294" s="168"/>
      <c r="K294" s="200"/>
      <c r="L294" s="201"/>
      <c r="M294" s="172"/>
    </row>
    <row r="295" spans="1:13" x14ac:dyDescent="0.25">
      <c r="A295" s="100" t="str">
        <f t="shared" si="39"/>
        <v>GENERAL SERVICE 1,000 TO 4,999 KW SERVICE CLASSIFICATION</v>
      </c>
      <c r="B295" s="100" t="s">
        <v>121</v>
      </c>
      <c r="C295" s="117"/>
      <c r="D295" s="173" t="s">
        <v>190</v>
      </c>
      <c r="E295" s="158"/>
      <c r="F295" s="174"/>
      <c r="G295" s="175"/>
      <c r="H295" s="176">
        <f>SUM(H283,H275:H278,H274)</f>
        <v>212153.19999999998</v>
      </c>
      <c r="I295" s="177"/>
      <c r="J295" s="177"/>
      <c r="K295" s="176">
        <f>SUM(K283,K275:K278,K274)</f>
        <v>213723.08965823971</v>
      </c>
      <c r="L295" s="178">
        <f>K295-H295</f>
        <v>1569.8896582397283</v>
      </c>
      <c r="M295" s="179">
        <f>IF((H295)=0,"",(L295/H295))</f>
        <v>7.3997925001354136E-3</v>
      </c>
    </row>
    <row r="296" spans="1:13" x14ac:dyDescent="0.25">
      <c r="A296" s="100" t="str">
        <f t="shared" si="39"/>
        <v>GENERAL SERVICE 1,000 TO 4,999 KW SERVICE CLASSIFICATION</v>
      </c>
      <c r="B296" s="100" t="s">
        <v>121</v>
      </c>
      <c r="C296" s="117"/>
      <c r="D296" s="180" t="s">
        <v>184</v>
      </c>
      <c r="E296" s="158"/>
      <c r="F296" s="174">
        <v>0.13</v>
      </c>
      <c r="G296" s="175"/>
      <c r="H296" s="182">
        <f>H295*F296</f>
        <v>27579.915999999997</v>
      </c>
      <c r="I296" s="174">
        <v>0.13</v>
      </c>
      <c r="J296" s="183"/>
      <c r="K296" s="182">
        <f>K295*I296</f>
        <v>27784.001655571163</v>
      </c>
      <c r="L296" s="184">
        <f>K296-H296</f>
        <v>204.08565557116526</v>
      </c>
      <c r="M296" s="185">
        <f>IF((H296)=0,"",(L296/H296))</f>
        <v>7.3997925001354345E-3</v>
      </c>
    </row>
    <row r="297" spans="1:13" x14ac:dyDescent="0.25">
      <c r="A297" s="100" t="str">
        <f t="shared" si="39"/>
        <v>GENERAL SERVICE 1,000 TO 4,999 KW SERVICE CLASSIFICATION</v>
      </c>
      <c r="B297" s="100" t="s">
        <v>121</v>
      </c>
      <c r="C297" s="117"/>
      <c r="D297" s="180" t="s">
        <v>185</v>
      </c>
      <c r="E297" s="158"/>
      <c r="F297" s="174">
        <v>0.08</v>
      </c>
      <c r="G297" s="175"/>
      <c r="H297" s="182">
        <v>0</v>
      </c>
      <c r="I297" s="174">
        <v>0.08</v>
      </c>
      <c r="J297" s="183"/>
      <c r="K297" s="182">
        <v>0</v>
      </c>
      <c r="L297" s="184"/>
      <c r="M297" s="185"/>
    </row>
    <row r="298" spans="1:13" ht="15.75" thickBot="1" x14ac:dyDescent="0.3">
      <c r="A298" s="100" t="str">
        <f t="shared" si="39"/>
        <v>GENERAL SERVICE 1,000 TO 4,999 KW SERVICE CLASSIFICATION</v>
      </c>
      <c r="B298" s="100" t="s">
        <v>191</v>
      </c>
      <c r="C298" s="117">
        <f>B33</f>
        <v>4</v>
      </c>
      <c r="D298" s="301" t="s">
        <v>190</v>
      </c>
      <c r="E298" s="301"/>
      <c r="F298" s="193"/>
      <c r="G298" s="194"/>
      <c r="H298" s="188">
        <f>SUM(H295,H296)</f>
        <v>239733.11599999998</v>
      </c>
      <c r="I298" s="195"/>
      <c r="J298" s="195"/>
      <c r="K298" s="188">
        <f>SUM(K295,K296)</f>
        <v>241507.09131381087</v>
      </c>
      <c r="L298" s="196">
        <f>K298-H298</f>
        <v>1773.9753138108936</v>
      </c>
      <c r="M298" s="197">
        <f>IF((H298)=0,"",(L298/H298))</f>
        <v>7.3997925001354162E-3</v>
      </c>
    </row>
    <row r="299" spans="1:13" ht="15.75" thickBot="1" x14ac:dyDescent="0.3">
      <c r="A299" s="100" t="str">
        <f t="shared" si="39"/>
        <v>GENERAL SERVICE 1,000 TO 4,999 KW SERVICE CLASSIFICATION</v>
      </c>
      <c r="B299" s="100" t="s">
        <v>121</v>
      </c>
      <c r="C299" s="117"/>
      <c r="D299" s="165"/>
      <c r="E299" s="166"/>
      <c r="F299" s="202"/>
      <c r="G299" s="203"/>
      <c r="H299" s="204"/>
      <c r="I299" s="202"/>
      <c r="J299" s="205"/>
      <c r="K299" s="204"/>
      <c r="L299" s="206"/>
      <c r="M299" s="207"/>
    </row>
    <row r="302" spans="1:13" x14ac:dyDescent="0.25">
      <c r="C302" s="100"/>
      <c r="D302" s="101" t="s">
        <v>134</v>
      </c>
      <c r="E302" s="302" t="str">
        <f>D34</f>
        <v>UNMETERED SCATTERED LOAD SERVICE CLASSIFICATION</v>
      </c>
      <c r="F302" s="302"/>
      <c r="G302" s="302"/>
      <c r="H302" s="302"/>
      <c r="I302" s="302"/>
      <c r="J302" s="302"/>
      <c r="K302" s="100" t="str">
        <f>IF(N34="DEMAND - INTERVAL","RTSR - INTERVAL METERED","")</f>
        <v/>
      </c>
    </row>
    <row r="303" spans="1:13" x14ac:dyDescent="0.25">
      <c r="C303" s="100"/>
      <c r="D303" s="101" t="s">
        <v>135</v>
      </c>
      <c r="E303" s="303" t="str">
        <f>H34</f>
        <v>RPP</v>
      </c>
      <c r="F303" s="303"/>
      <c r="G303" s="303"/>
      <c r="H303" s="102"/>
      <c r="I303" s="102"/>
    </row>
    <row r="304" spans="1:13" ht="15.75" x14ac:dyDescent="0.25">
      <c r="C304" s="100"/>
      <c r="D304" s="101" t="s">
        <v>136</v>
      </c>
      <c r="E304" s="103">
        <f>K34</f>
        <v>150</v>
      </c>
      <c r="F304" s="104" t="s">
        <v>137</v>
      </c>
      <c r="G304" s="105"/>
      <c r="J304" s="106"/>
      <c r="K304" s="106"/>
      <c r="L304" s="106"/>
      <c r="M304" s="106"/>
    </row>
    <row r="305" spans="1:13" ht="15.75" x14ac:dyDescent="0.25">
      <c r="C305" s="100"/>
      <c r="D305" s="101" t="s">
        <v>138</v>
      </c>
      <c r="E305" s="103">
        <f>L34</f>
        <v>0</v>
      </c>
      <c r="F305" s="107" t="s">
        <v>139</v>
      </c>
      <c r="G305" s="108"/>
      <c r="H305" s="109"/>
      <c r="I305" s="109"/>
      <c r="J305" s="109"/>
    </row>
    <row r="306" spans="1:13" x14ac:dyDescent="0.25">
      <c r="C306" s="100"/>
      <c r="D306" s="101" t="s">
        <v>140</v>
      </c>
      <c r="E306" s="110">
        <f>I34</f>
        <v>1.056</v>
      </c>
    </row>
    <row r="307" spans="1:13" x14ac:dyDescent="0.25">
      <c r="C307" s="100"/>
      <c r="D307" s="101" t="s">
        <v>141</v>
      </c>
      <c r="E307" s="110">
        <f>J34</f>
        <v>1.056</v>
      </c>
    </row>
    <row r="308" spans="1:13" x14ac:dyDescent="0.25">
      <c r="C308" s="100"/>
      <c r="D308" s="105"/>
    </row>
    <row r="309" spans="1:13" x14ac:dyDescent="0.25">
      <c r="C309" s="100"/>
      <c r="D309" s="105"/>
      <c r="E309" s="111"/>
      <c r="F309" s="304" t="s">
        <v>142</v>
      </c>
      <c r="G309" s="305"/>
      <c r="H309" s="306"/>
      <c r="I309" s="304" t="s">
        <v>143</v>
      </c>
      <c r="J309" s="305"/>
      <c r="K309" s="306"/>
      <c r="L309" s="304" t="s">
        <v>144</v>
      </c>
      <c r="M309" s="306"/>
    </row>
    <row r="310" spans="1:13" x14ac:dyDescent="0.25">
      <c r="C310" s="100"/>
      <c r="D310" s="105"/>
      <c r="E310" s="295"/>
      <c r="F310" s="112" t="s">
        <v>145</v>
      </c>
      <c r="G310" s="112" t="s">
        <v>146</v>
      </c>
      <c r="H310" s="113" t="s">
        <v>147</v>
      </c>
      <c r="I310" s="112" t="s">
        <v>145</v>
      </c>
      <c r="J310" s="114" t="s">
        <v>146</v>
      </c>
      <c r="K310" s="113" t="s">
        <v>147</v>
      </c>
      <c r="L310" s="297" t="s">
        <v>148</v>
      </c>
      <c r="M310" s="299" t="s">
        <v>149</v>
      </c>
    </row>
    <row r="311" spans="1:13" x14ac:dyDescent="0.25">
      <c r="C311" s="100"/>
      <c r="D311" s="105"/>
      <c r="E311" s="296"/>
      <c r="F311" s="115" t="s">
        <v>150</v>
      </c>
      <c r="G311" s="115"/>
      <c r="H311" s="116" t="s">
        <v>150</v>
      </c>
      <c r="I311" s="115" t="s">
        <v>150</v>
      </c>
      <c r="J311" s="116"/>
      <c r="K311" s="116" t="s">
        <v>150</v>
      </c>
      <c r="L311" s="298"/>
      <c r="M311" s="300"/>
    </row>
    <row r="312" spans="1:13" x14ac:dyDescent="0.25">
      <c r="A312" s="100" t="str">
        <f>$E302</f>
        <v>UNMETERED SCATTERED LOAD SERVICE CLASSIFICATION</v>
      </c>
      <c r="C312" s="117"/>
      <c r="D312" s="118" t="s">
        <v>151</v>
      </c>
      <c r="E312" s="119"/>
      <c r="F312" s="120">
        <v>7.97</v>
      </c>
      <c r="G312" s="121">
        <v>1</v>
      </c>
      <c r="H312" s="122">
        <f>G312*F312</f>
        <v>7.97</v>
      </c>
      <c r="I312" s="123">
        <v>7.97</v>
      </c>
      <c r="J312" s="124">
        <f>G312</f>
        <v>1</v>
      </c>
      <c r="K312" s="122">
        <f>J312*I312</f>
        <v>7.97</v>
      </c>
      <c r="L312" s="125">
        <f t="shared" ref="L312:L333" si="44">K312-H312</f>
        <v>0</v>
      </c>
      <c r="M312" s="126">
        <f>IF(ISERROR(L312/H312), "", L312/H312)</f>
        <v>0</v>
      </c>
    </row>
    <row r="313" spans="1:13" x14ac:dyDescent="0.25">
      <c r="A313" s="100" t="str">
        <f>A312</f>
        <v>UNMETERED SCATTERED LOAD SERVICE CLASSIFICATION</v>
      </c>
      <c r="C313" s="117"/>
      <c r="D313" s="118" t="s">
        <v>152</v>
      </c>
      <c r="E313" s="119"/>
      <c r="F313" s="127">
        <v>5.4000000000000003E-3</v>
      </c>
      <c r="G313" s="121">
        <f>IF($E305&gt;0, $E305, $E304)</f>
        <v>150</v>
      </c>
      <c r="H313" s="122">
        <f t="shared" ref="H313:H325" si="45">G313*F313</f>
        <v>0.81</v>
      </c>
      <c r="I313" s="128">
        <v>5.4000000000000003E-3</v>
      </c>
      <c r="J313" s="124">
        <f>IF($E305&gt;0, $E305, $E304)</f>
        <v>150</v>
      </c>
      <c r="K313" s="122">
        <f>J313*I313</f>
        <v>0.81</v>
      </c>
      <c r="L313" s="125">
        <f t="shared" si="44"/>
        <v>0</v>
      </c>
      <c r="M313" s="126">
        <f t="shared" ref="M313:M323" si="46">IF(ISERROR(L313/H313), "", L313/H313)</f>
        <v>0</v>
      </c>
    </row>
    <row r="314" spans="1:13" x14ac:dyDescent="0.25">
      <c r="A314" s="100" t="str">
        <f t="shared" ref="A314:A355" si="47">A313</f>
        <v>UNMETERED SCATTERED LOAD SERVICE CLASSIFICATION</v>
      </c>
      <c r="C314" s="117"/>
      <c r="D314" s="118" t="s">
        <v>153</v>
      </c>
      <c r="E314" s="119"/>
      <c r="F314" s="127"/>
      <c r="G314" s="121"/>
      <c r="H314" s="122">
        <v>0</v>
      </c>
      <c r="I314" s="128"/>
      <c r="J314" s="124">
        <f>IF($E305&gt;0, $E305, $E304)</f>
        <v>150</v>
      </c>
      <c r="K314" s="122">
        <v>0</v>
      </c>
      <c r="L314" s="125"/>
      <c r="M314" s="126"/>
    </row>
    <row r="315" spans="1:13" x14ac:dyDescent="0.25">
      <c r="A315" s="100" t="str">
        <f t="shared" si="47"/>
        <v>UNMETERED SCATTERED LOAD SERVICE CLASSIFICATION</v>
      </c>
      <c r="C315" s="117"/>
      <c r="D315" s="118" t="s">
        <v>154</v>
      </c>
      <c r="E315" s="119"/>
      <c r="F315" s="127"/>
      <c r="G315" s="121">
        <f>IF($E305&gt;0, $E305, $E304)</f>
        <v>150</v>
      </c>
      <c r="H315" s="122">
        <v>0</v>
      </c>
      <c r="I315" s="128"/>
      <c r="J315" s="121">
        <f>IF($E305&gt;0, $E305, $E304)</f>
        <v>150</v>
      </c>
      <c r="K315" s="122">
        <v>0</v>
      </c>
      <c r="L315" s="125">
        <f>K315-H315</f>
        <v>0</v>
      </c>
      <c r="M315" s="126" t="str">
        <f>IF(ISERROR(L315/H315), "", L315/H315)</f>
        <v/>
      </c>
    </row>
    <row r="316" spans="1:13" x14ac:dyDescent="0.25">
      <c r="A316" s="100" t="str">
        <f t="shared" si="47"/>
        <v>UNMETERED SCATTERED LOAD SERVICE CLASSIFICATION</v>
      </c>
      <c r="C316" s="117"/>
      <c r="D316" s="129" t="s">
        <v>155</v>
      </c>
      <c r="E316" s="119"/>
      <c r="F316" s="120">
        <v>0</v>
      </c>
      <c r="G316" s="121">
        <v>1</v>
      </c>
      <c r="H316" s="122">
        <f t="shared" si="45"/>
        <v>0</v>
      </c>
      <c r="I316" s="226">
        <f>'Rate Riders'!O12</f>
        <v>1.4119050955980124</v>
      </c>
      <c r="J316" s="124">
        <f>G316</f>
        <v>1</v>
      </c>
      <c r="K316" s="122">
        <f t="shared" ref="K316:K323" si="48">J316*I316</f>
        <v>1.4119050955980124</v>
      </c>
      <c r="L316" s="125">
        <f t="shared" si="44"/>
        <v>1.4119050955980124</v>
      </c>
      <c r="M316" s="126" t="str">
        <f t="shared" si="46"/>
        <v/>
      </c>
    </row>
    <row r="317" spans="1:13" x14ac:dyDescent="0.25">
      <c r="A317" s="100" t="str">
        <f t="shared" si="47"/>
        <v>UNMETERED SCATTERED LOAD SERVICE CLASSIFICATION</v>
      </c>
      <c r="C317" s="117"/>
      <c r="D317" s="118" t="s">
        <v>156</v>
      </c>
      <c r="E317" s="119"/>
      <c r="F317" s="127">
        <v>0</v>
      </c>
      <c r="G317" s="121">
        <f>IF($E305&gt;0, $E305, $E304)</f>
        <v>150</v>
      </c>
      <c r="H317" s="122">
        <f t="shared" si="45"/>
        <v>0</v>
      </c>
      <c r="I317" s="227">
        <f>'Rate Riders'!P12</f>
        <v>9.5662327681672122E-4</v>
      </c>
      <c r="J317" s="124">
        <f>IF($E305&gt;0, $E305, $E304)</f>
        <v>150</v>
      </c>
      <c r="K317" s="122">
        <f t="shared" si="48"/>
        <v>0.14349349152250818</v>
      </c>
      <c r="L317" s="125">
        <f t="shared" si="44"/>
        <v>0.14349349152250818</v>
      </c>
      <c r="M317" s="126" t="str">
        <f t="shared" si="46"/>
        <v/>
      </c>
    </row>
    <row r="318" spans="1:13" x14ac:dyDescent="0.25">
      <c r="A318" s="100" t="str">
        <f t="shared" si="47"/>
        <v>UNMETERED SCATTERED LOAD SERVICE CLASSIFICATION</v>
      </c>
      <c r="B318" s="130" t="s">
        <v>157</v>
      </c>
      <c r="C318" s="117">
        <f>B34</f>
        <v>5</v>
      </c>
      <c r="D318" s="131" t="s">
        <v>158</v>
      </c>
      <c r="E318" s="132"/>
      <c r="F318" s="133"/>
      <c r="G318" s="134"/>
      <c r="H318" s="135">
        <f>SUM(H312:H317)</f>
        <v>8.7799999999999994</v>
      </c>
      <c r="I318" s="136"/>
      <c r="J318" s="137"/>
      <c r="K318" s="135">
        <f>SUM(K312:K317)</f>
        <v>10.335398587120519</v>
      </c>
      <c r="L318" s="138">
        <f t="shared" si="44"/>
        <v>1.5553985871205196</v>
      </c>
      <c r="M318" s="139">
        <f>IF((H318)=0,"",(L318/H318))</f>
        <v>0.17715245866976306</v>
      </c>
    </row>
    <row r="319" spans="1:13" x14ac:dyDescent="0.25">
      <c r="A319" s="100" t="str">
        <f t="shared" si="47"/>
        <v>UNMETERED SCATTERED LOAD SERVICE CLASSIFICATION</v>
      </c>
      <c r="C319" s="117"/>
      <c r="D319" s="140" t="s">
        <v>159</v>
      </c>
      <c r="E319" s="119"/>
      <c r="F319" s="127">
        <f>IF((E304*12&gt;=150000), 0, IF(E303="RPP",(F335*0.65+F336*0.17+F337*0.18),IF(E303="Non-RPP (Retailer)",F338,F339)))</f>
        <v>8.1990000000000007E-2</v>
      </c>
      <c r="G319" s="141">
        <f>IF(F319=0, 0, $E304*E306-E304)</f>
        <v>8.4000000000000057</v>
      </c>
      <c r="H319" s="122">
        <f>G319*F319</f>
        <v>0.68871600000000055</v>
      </c>
      <c r="I319" s="128">
        <v>8.1990000000000007E-2</v>
      </c>
      <c r="J319" s="141">
        <f>IF(I319=0, 0, E304*E307-E304)</f>
        <v>8.4000000000000057</v>
      </c>
      <c r="K319" s="122">
        <f>J319*I319</f>
        <v>0.68871600000000055</v>
      </c>
      <c r="L319" s="125">
        <f>K319-H319</f>
        <v>0</v>
      </c>
      <c r="M319" s="126">
        <f>IF(ISERROR(L319/H319), "", L319/H319)</f>
        <v>0</v>
      </c>
    </row>
    <row r="320" spans="1:13" ht="25.5" x14ac:dyDescent="0.25">
      <c r="A320" s="100" t="str">
        <f t="shared" si="47"/>
        <v>UNMETERED SCATTERED LOAD SERVICE CLASSIFICATION</v>
      </c>
      <c r="C320" s="117"/>
      <c r="D320" s="140" t="s">
        <v>160</v>
      </c>
      <c r="E320" s="119"/>
      <c r="F320" s="127">
        <v>-1.1999999999999999E-3</v>
      </c>
      <c r="G320" s="142">
        <f>IF($E305&gt;0, $E305, $E304)</f>
        <v>150</v>
      </c>
      <c r="H320" s="122">
        <f t="shared" si="45"/>
        <v>-0.18</v>
      </c>
      <c r="I320" s="128">
        <v>-1.1999999999999999E-3</v>
      </c>
      <c r="J320" s="142">
        <f>IF($E305&gt;0, $E305, $E304)</f>
        <v>150</v>
      </c>
      <c r="K320" s="122">
        <f t="shared" si="48"/>
        <v>-0.18</v>
      </c>
      <c r="L320" s="125">
        <f t="shared" si="44"/>
        <v>0</v>
      </c>
      <c r="M320" s="126">
        <f t="shared" si="46"/>
        <v>0</v>
      </c>
    </row>
    <row r="321" spans="1:13" x14ac:dyDescent="0.25">
      <c r="A321" s="100" t="str">
        <f t="shared" si="47"/>
        <v>UNMETERED SCATTERED LOAD SERVICE CLASSIFICATION</v>
      </c>
      <c r="C321" s="117"/>
      <c r="D321" s="140" t="s">
        <v>161</v>
      </c>
      <c r="E321" s="119"/>
      <c r="F321" s="127">
        <v>-1E-4</v>
      </c>
      <c r="G321" s="142">
        <f>IF($E305&gt;0, $E305, $E304)</f>
        <v>150</v>
      </c>
      <c r="H321" s="122">
        <f>G321*F321</f>
        <v>-1.5000000000000001E-2</v>
      </c>
      <c r="I321" s="128">
        <v>-1E-4</v>
      </c>
      <c r="J321" s="142">
        <f>IF($E305&gt;0, $E305, $E304)</f>
        <v>150</v>
      </c>
      <c r="K321" s="122">
        <f>J321*I321</f>
        <v>-1.5000000000000001E-2</v>
      </c>
      <c r="L321" s="125">
        <f t="shared" si="44"/>
        <v>0</v>
      </c>
      <c r="M321" s="126">
        <f t="shared" si="46"/>
        <v>0</v>
      </c>
    </row>
    <row r="322" spans="1:13" x14ac:dyDescent="0.25">
      <c r="A322" s="100" t="str">
        <f t="shared" si="47"/>
        <v>UNMETERED SCATTERED LOAD SERVICE CLASSIFICATION</v>
      </c>
      <c r="C322" s="117"/>
      <c r="D322" s="140" t="s">
        <v>162</v>
      </c>
      <c r="E322" s="119"/>
      <c r="F322" s="127">
        <v>0</v>
      </c>
      <c r="G322" s="142">
        <f>E304</f>
        <v>150</v>
      </c>
      <c r="H322" s="122">
        <f>G322*F322</f>
        <v>0</v>
      </c>
      <c r="I322" s="128">
        <v>0</v>
      </c>
      <c r="J322" s="142">
        <f>E304</f>
        <v>150</v>
      </c>
      <c r="K322" s="122">
        <f t="shared" si="48"/>
        <v>0</v>
      </c>
      <c r="L322" s="125">
        <f t="shared" si="44"/>
        <v>0</v>
      </c>
      <c r="M322" s="126" t="str">
        <f t="shared" si="46"/>
        <v/>
      </c>
    </row>
    <row r="323" spans="1:13" x14ac:dyDescent="0.25">
      <c r="A323" s="100" t="str">
        <f t="shared" si="47"/>
        <v>UNMETERED SCATTERED LOAD SERVICE CLASSIFICATION</v>
      </c>
      <c r="C323" s="117"/>
      <c r="D323" s="143" t="s">
        <v>163</v>
      </c>
      <c r="E323" s="119"/>
      <c r="F323" s="127">
        <v>2.3999999999999998E-3</v>
      </c>
      <c r="G323" s="142">
        <f>IF($E305&gt;0, $E305, $E304)</f>
        <v>150</v>
      </c>
      <c r="H323" s="122">
        <f t="shared" si="45"/>
        <v>0.36</v>
      </c>
      <c r="I323" s="128">
        <v>2.3999999999999998E-3</v>
      </c>
      <c r="J323" s="142">
        <f>IF($E305&gt;0, $E305, $E304)</f>
        <v>150</v>
      </c>
      <c r="K323" s="122">
        <f t="shared" si="48"/>
        <v>0.36</v>
      </c>
      <c r="L323" s="125">
        <f t="shared" si="44"/>
        <v>0</v>
      </c>
      <c r="M323" s="126">
        <f t="shared" si="46"/>
        <v>0</v>
      </c>
    </row>
    <row r="324" spans="1:13" ht="25.5" x14ac:dyDescent="0.25">
      <c r="A324" s="100" t="str">
        <f t="shared" si="47"/>
        <v>UNMETERED SCATTERED LOAD SERVICE CLASSIFICATION</v>
      </c>
      <c r="C324" s="117"/>
      <c r="D324" s="144" t="s">
        <v>164</v>
      </c>
      <c r="E324" s="119"/>
      <c r="F324" s="145">
        <f>IF(OR(ISNUMBER(SEARCH("RESIDENTIAL", E302))=TRUE, ISNUMBER(SEARCH("GENERAL SERVICE LESS THAN 50", E302))=TRUE), SME, 0)</f>
        <v>0</v>
      </c>
      <c r="G324" s="121">
        <v>1</v>
      </c>
      <c r="H324" s="122">
        <f>G324*F324</f>
        <v>0</v>
      </c>
      <c r="I324" s="146">
        <v>0</v>
      </c>
      <c r="J324" s="121">
        <v>1</v>
      </c>
      <c r="K324" s="122">
        <f>J324*I324</f>
        <v>0</v>
      </c>
      <c r="L324" s="125">
        <f t="shared" si="44"/>
        <v>0</v>
      </c>
      <c r="M324" s="126" t="str">
        <f>IF(ISERROR(L324/H324), "", L324/H324)</f>
        <v/>
      </c>
    </row>
    <row r="325" spans="1:13" x14ac:dyDescent="0.25">
      <c r="A325" s="100" t="str">
        <f t="shared" si="47"/>
        <v>UNMETERED SCATTERED LOAD SERVICE CLASSIFICATION</v>
      </c>
      <c r="C325" s="117"/>
      <c r="D325" s="143" t="s">
        <v>165</v>
      </c>
      <c r="E325" s="119"/>
      <c r="F325" s="120">
        <v>0</v>
      </c>
      <c r="G325" s="121">
        <v>1</v>
      </c>
      <c r="H325" s="122">
        <f t="shared" si="45"/>
        <v>0</v>
      </c>
      <c r="I325" s="123">
        <v>0</v>
      </c>
      <c r="J325" s="121">
        <v>1</v>
      </c>
      <c r="K325" s="122">
        <f>J325*I325</f>
        <v>0</v>
      </c>
      <c r="L325" s="125">
        <f>K325-H325</f>
        <v>0</v>
      </c>
      <c r="M325" s="126" t="str">
        <f>IF(ISERROR(L325/H325), "", L325/H325)</f>
        <v/>
      </c>
    </row>
    <row r="326" spans="1:13" x14ac:dyDescent="0.25">
      <c r="A326" s="100" t="str">
        <f t="shared" si="47"/>
        <v>UNMETERED SCATTERED LOAD SERVICE CLASSIFICATION</v>
      </c>
      <c r="C326" s="117"/>
      <c r="D326" s="143" t="s">
        <v>166</v>
      </c>
      <c r="E326" s="119"/>
      <c r="F326" s="127"/>
      <c r="G326" s="142">
        <f>IF($E305&gt;0, $E305, $E304)</f>
        <v>150</v>
      </c>
      <c r="H326" s="122">
        <f>G326*F326</f>
        <v>0</v>
      </c>
      <c r="I326" s="128"/>
      <c r="J326" s="142">
        <f>IF($E305&gt;0, $E305, $E304)</f>
        <v>150</v>
      </c>
      <c r="K326" s="122">
        <f>J326*I326</f>
        <v>0</v>
      </c>
      <c r="L326" s="125">
        <f t="shared" si="44"/>
        <v>0</v>
      </c>
      <c r="M326" s="126" t="str">
        <f>IF(ISERROR(L326/H326), "", L326/H326)</f>
        <v/>
      </c>
    </row>
    <row r="327" spans="1:13" ht="25.5" x14ac:dyDescent="0.25">
      <c r="A327" s="100" t="str">
        <f t="shared" si="47"/>
        <v>UNMETERED SCATTERED LOAD SERVICE CLASSIFICATION</v>
      </c>
      <c r="B327" s="105" t="s">
        <v>167</v>
      </c>
      <c r="C327" s="117">
        <f>B34</f>
        <v>5</v>
      </c>
      <c r="D327" s="147" t="s">
        <v>168</v>
      </c>
      <c r="E327" s="148"/>
      <c r="F327" s="149"/>
      <c r="G327" s="150"/>
      <c r="H327" s="151">
        <f>SUM(H318:H326)</f>
        <v>9.6337159999999997</v>
      </c>
      <c r="I327" s="152"/>
      <c r="J327" s="153"/>
      <c r="K327" s="151">
        <f>SUM(K318:K326)</f>
        <v>11.189114587120519</v>
      </c>
      <c r="L327" s="138">
        <f t="shared" si="44"/>
        <v>1.5553985871205196</v>
      </c>
      <c r="M327" s="139">
        <f>IF((H327)=0,"",(L327/H327))</f>
        <v>0.16145364749391819</v>
      </c>
    </row>
    <row r="328" spans="1:13" x14ac:dyDescent="0.25">
      <c r="A328" s="100" t="str">
        <f t="shared" si="47"/>
        <v>UNMETERED SCATTERED LOAD SERVICE CLASSIFICATION</v>
      </c>
      <c r="C328" s="117"/>
      <c r="D328" s="154" t="s">
        <v>169</v>
      </c>
      <c r="E328" s="119"/>
      <c r="F328" s="127">
        <v>6.0000000000000001E-3</v>
      </c>
      <c r="G328" s="141">
        <f>IF($E305&gt;0, $E305, $E304*$E306)</f>
        <v>158.4</v>
      </c>
      <c r="H328" s="122">
        <f>G328*F328</f>
        <v>0.95040000000000002</v>
      </c>
      <c r="I328" s="128">
        <v>6.0000000000000001E-3</v>
      </c>
      <c r="J328" s="141">
        <f>IF($E305&gt;0, $E305, $E304*$E307)</f>
        <v>158.4</v>
      </c>
      <c r="K328" s="122">
        <f>J328*I328</f>
        <v>0.95040000000000002</v>
      </c>
      <c r="L328" s="125">
        <f t="shared" si="44"/>
        <v>0</v>
      </c>
      <c r="M328" s="126">
        <f>IF(ISERROR(L328/H328), "", L328/H328)</f>
        <v>0</v>
      </c>
    </row>
    <row r="329" spans="1:13" ht="25.5" x14ac:dyDescent="0.25">
      <c r="A329" s="100" t="str">
        <f t="shared" si="47"/>
        <v>UNMETERED SCATTERED LOAD SERVICE CLASSIFICATION</v>
      </c>
      <c r="C329" s="117"/>
      <c r="D329" s="155" t="s">
        <v>170</v>
      </c>
      <c r="E329" s="119"/>
      <c r="F329" s="127">
        <v>5.3E-3</v>
      </c>
      <c r="G329" s="141">
        <f>IF($E305&gt;0, $E305, $E304*$E306)</f>
        <v>158.4</v>
      </c>
      <c r="H329" s="122">
        <f>G329*F329</f>
        <v>0.83952000000000004</v>
      </c>
      <c r="I329" s="128">
        <v>5.3E-3</v>
      </c>
      <c r="J329" s="141">
        <f>IF($E305&gt;0, $E305, $E304*$E307)</f>
        <v>158.4</v>
      </c>
      <c r="K329" s="122">
        <f>J329*I329</f>
        <v>0.83952000000000004</v>
      </c>
      <c r="L329" s="125">
        <f t="shared" si="44"/>
        <v>0</v>
      </c>
      <c r="M329" s="126">
        <f>IF(ISERROR(L329/H329), "", L329/H329)</f>
        <v>0</v>
      </c>
    </row>
    <row r="330" spans="1:13" ht="25.5" x14ac:dyDescent="0.25">
      <c r="A330" s="100" t="str">
        <f t="shared" si="47"/>
        <v>UNMETERED SCATTERED LOAD SERVICE CLASSIFICATION</v>
      </c>
      <c r="B330" s="105" t="s">
        <v>171</v>
      </c>
      <c r="C330" s="117">
        <f>B34</f>
        <v>5</v>
      </c>
      <c r="D330" s="147" t="s">
        <v>172</v>
      </c>
      <c r="E330" s="132"/>
      <c r="F330" s="149"/>
      <c r="G330" s="150"/>
      <c r="H330" s="151">
        <f>SUM(H327:H329)</f>
        <v>11.423636</v>
      </c>
      <c r="I330" s="152"/>
      <c r="J330" s="137"/>
      <c r="K330" s="151">
        <f>SUM(K327:K329)</f>
        <v>12.97903458712052</v>
      </c>
      <c r="L330" s="138">
        <f t="shared" si="44"/>
        <v>1.5553985871205196</v>
      </c>
      <c r="M330" s="139">
        <f>IF((H330)=0,"",(L330/H330))</f>
        <v>0.13615617541739947</v>
      </c>
    </row>
    <row r="331" spans="1:13" ht="25.5" x14ac:dyDescent="0.25">
      <c r="A331" s="100" t="str">
        <f t="shared" si="47"/>
        <v>UNMETERED SCATTERED LOAD SERVICE CLASSIFICATION</v>
      </c>
      <c r="C331" s="117"/>
      <c r="D331" s="156" t="s">
        <v>173</v>
      </c>
      <c r="E331" s="119"/>
      <c r="F331" s="127">
        <v>3.6000000000000003E-3</v>
      </c>
      <c r="G331" s="141">
        <f>E304*E306</f>
        <v>158.4</v>
      </c>
      <c r="H331" s="157">
        <f t="shared" ref="H331:H337" si="49">G331*F331</f>
        <v>0.57024000000000008</v>
      </c>
      <c r="I331" s="128">
        <v>3.6000000000000003E-3</v>
      </c>
      <c r="J331" s="141">
        <f>E304*E307</f>
        <v>158.4</v>
      </c>
      <c r="K331" s="157">
        <f t="shared" ref="K331:K337" si="50">J331*I331</f>
        <v>0.57024000000000008</v>
      </c>
      <c r="L331" s="125">
        <f t="shared" si="44"/>
        <v>0</v>
      </c>
      <c r="M331" s="126">
        <f t="shared" ref="M331:M339" si="51">IF(ISERROR(L331/H331), "", L331/H331)</f>
        <v>0</v>
      </c>
    </row>
    <row r="332" spans="1:13" ht="25.5" x14ac:dyDescent="0.25">
      <c r="A332" s="100" t="str">
        <f t="shared" si="47"/>
        <v>UNMETERED SCATTERED LOAD SERVICE CLASSIFICATION</v>
      </c>
      <c r="C332" s="117"/>
      <c r="D332" s="156" t="s">
        <v>174</v>
      </c>
      <c r="E332" s="119"/>
      <c r="F332" s="127">
        <f>'[1]17. Regulatory Charges'!$D$16</f>
        <v>2.9999999999999997E-4</v>
      </c>
      <c r="G332" s="141">
        <f>E304*E306</f>
        <v>158.4</v>
      </c>
      <c r="H332" s="157">
        <f t="shared" si="49"/>
        <v>4.752E-2</v>
      </c>
      <c r="I332" s="128">
        <v>2.9999999999999997E-4</v>
      </c>
      <c r="J332" s="141">
        <f>E304*E307</f>
        <v>158.4</v>
      </c>
      <c r="K332" s="157">
        <f t="shared" si="50"/>
        <v>4.752E-2</v>
      </c>
      <c r="L332" s="125">
        <f t="shared" si="44"/>
        <v>0</v>
      </c>
      <c r="M332" s="126">
        <f t="shared" si="51"/>
        <v>0</v>
      </c>
    </row>
    <row r="333" spans="1:13" x14ac:dyDescent="0.25">
      <c r="A333" s="100" t="str">
        <f t="shared" si="47"/>
        <v>UNMETERED SCATTERED LOAD SERVICE CLASSIFICATION</v>
      </c>
      <c r="C333" s="117"/>
      <c r="D333" s="158" t="s">
        <v>175</v>
      </c>
      <c r="E333" s="119"/>
      <c r="F333" s="145">
        <v>0.25</v>
      </c>
      <c r="G333" s="121">
        <v>1</v>
      </c>
      <c r="H333" s="157">
        <f t="shared" si="49"/>
        <v>0.25</v>
      </c>
      <c r="I333" s="146">
        <v>0.25</v>
      </c>
      <c r="J333" s="124">
        <v>1</v>
      </c>
      <c r="K333" s="157">
        <f t="shared" si="50"/>
        <v>0.25</v>
      </c>
      <c r="L333" s="125">
        <f t="shared" si="44"/>
        <v>0</v>
      </c>
      <c r="M333" s="126">
        <f t="shared" si="51"/>
        <v>0</v>
      </c>
    </row>
    <row r="334" spans="1:13" ht="25.5" x14ac:dyDescent="0.25">
      <c r="A334" s="100" t="str">
        <f t="shared" si="47"/>
        <v>UNMETERED SCATTERED LOAD SERVICE CLASSIFICATION</v>
      </c>
      <c r="C334" s="117"/>
      <c r="D334" s="156" t="s">
        <v>176</v>
      </c>
      <c r="E334" s="119"/>
      <c r="F334" s="127"/>
      <c r="G334" s="141"/>
      <c r="H334" s="157"/>
      <c r="I334" s="128"/>
      <c r="J334" s="141"/>
      <c r="K334" s="157"/>
      <c r="L334" s="125"/>
      <c r="M334" s="126"/>
    </row>
    <row r="335" spans="1:13" x14ac:dyDescent="0.25">
      <c r="A335" s="100" t="str">
        <f t="shared" si="47"/>
        <v>UNMETERED SCATTERED LOAD SERVICE CLASSIFICATION</v>
      </c>
      <c r="B335" s="105" t="s">
        <v>117</v>
      </c>
      <c r="C335" s="117"/>
      <c r="D335" s="159" t="s">
        <v>177</v>
      </c>
      <c r="E335" s="119"/>
      <c r="F335" s="160">
        <f>OffPeak</f>
        <v>6.5000000000000002E-2</v>
      </c>
      <c r="G335" s="161">
        <f>IF(AND(E304*12&gt;=150000),0.65*E304*E306,0.65*E304)</f>
        <v>97.5</v>
      </c>
      <c r="H335" s="157">
        <f t="shared" si="49"/>
        <v>6.3375000000000004</v>
      </c>
      <c r="I335" s="162">
        <v>6.5000000000000002E-2</v>
      </c>
      <c r="J335" s="161">
        <f>IF(AND(E304*12&gt;=150000),0.65*E304*E307,0.65*E304)</f>
        <v>97.5</v>
      </c>
      <c r="K335" s="157">
        <f t="shared" si="50"/>
        <v>6.3375000000000004</v>
      </c>
      <c r="L335" s="125">
        <f>K335-H335</f>
        <v>0</v>
      </c>
      <c r="M335" s="126">
        <f t="shared" si="51"/>
        <v>0</v>
      </c>
    </row>
    <row r="336" spans="1:13" x14ac:dyDescent="0.25">
      <c r="A336" s="100" t="str">
        <f t="shared" si="47"/>
        <v>UNMETERED SCATTERED LOAD SERVICE CLASSIFICATION</v>
      </c>
      <c r="B336" s="105" t="s">
        <v>117</v>
      </c>
      <c r="C336" s="117"/>
      <c r="D336" s="159" t="s">
        <v>178</v>
      </c>
      <c r="E336" s="119"/>
      <c r="F336" s="160">
        <f>MidPeak</f>
        <v>9.4E-2</v>
      </c>
      <c r="G336" s="161">
        <f>IF(AND(E304*12&gt;=150000),0.17*E304*E306,0.17*E304)</f>
        <v>25.500000000000004</v>
      </c>
      <c r="H336" s="157">
        <f t="shared" si="49"/>
        <v>2.3970000000000002</v>
      </c>
      <c r="I336" s="162">
        <v>9.4E-2</v>
      </c>
      <c r="J336" s="161">
        <f>IF(AND(E304*12&gt;=150000),0.17*E304*E307,0.17*E304)</f>
        <v>25.500000000000004</v>
      </c>
      <c r="K336" s="157">
        <f t="shared" si="50"/>
        <v>2.3970000000000002</v>
      </c>
      <c r="L336" s="125">
        <f>K336-H336</f>
        <v>0</v>
      </c>
      <c r="M336" s="126">
        <f t="shared" si="51"/>
        <v>0</v>
      </c>
    </row>
    <row r="337" spans="1:13" ht="15.75" thickBot="1" x14ac:dyDescent="0.3">
      <c r="A337" s="100" t="str">
        <f t="shared" si="47"/>
        <v>UNMETERED SCATTERED LOAD SERVICE CLASSIFICATION</v>
      </c>
      <c r="B337" s="105" t="s">
        <v>117</v>
      </c>
      <c r="C337" s="117"/>
      <c r="D337" s="105" t="s">
        <v>179</v>
      </c>
      <c r="E337" s="119"/>
      <c r="F337" s="160">
        <f>OnPeak</f>
        <v>0.13200000000000001</v>
      </c>
      <c r="G337" s="161">
        <f>IF(AND(E304*12&gt;=150000),0.18*E304*E306,0.18*E304)</f>
        <v>27</v>
      </c>
      <c r="H337" s="157">
        <f t="shared" si="49"/>
        <v>3.5640000000000001</v>
      </c>
      <c r="I337" s="162">
        <v>0.13200000000000001</v>
      </c>
      <c r="J337" s="161">
        <f>IF(AND(E304*12&gt;=150000),0.18*E304*E307,0.18*E304)</f>
        <v>27</v>
      </c>
      <c r="K337" s="157">
        <f t="shared" si="50"/>
        <v>3.5640000000000001</v>
      </c>
      <c r="L337" s="125">
        <f>K337-H337</f>
        <v>0</v>
      </c>
      <c r="M337" s="126">
        <f t="shared" si="51"/>
        <v>0</v>
      </c>
    </row>
    <row r="338" spans="1:13" hidden="1" x14ac:dyDescent="0.25">
      <c r="A338" s="100" t="str">
        <f t="shared" si="47"/>
        <v>UNMETERED SCATTERED LOAD SERVICE CLASSIFICATION</v>
      </c>
      <c r="B338" s="100" t="s">
        <v>180</v>
      </c>
      <c r="C338" s="117"/>
      <c r="D338" s="159" t="s">
        <v>181</v>
      </c>
      <c r="E338" s="119"/>
      <c r="F338" s="163">
        <v>0.1101</v>
      </c>
      <c r="G338" s="161">
        <f>IF(AND(E304*12&gt;=150000),E304*E306,E304)</f>
        <v>150</v>
      </c>
      <c r="H338" s="157">
        <f>G338*F338</f>
        <v>16.515000000000001</v>
      </c>
      <c r="I338" s="164">
        <v>0.1101</v>
      </c>
      <c r="J338" s="161">
        <f>IF(AND(E304*12&gt;=150000),E304*E307,E304)</f>
        <v>150</v>
      </c>
      <c r="K338" s="157">
        <f>J338*I338</f>
        <v>16.515000000000001</v>
      </c>
      <c r="L338" s="125">
        <f>K338-H338</f>
        <v>0</v>
      </c>
      <c r="M338" s="126">
        <f t="shared" si="51"/>
        <v>0</v>
      </c>
    </row>
    <row r="339" spans="1:13" ht="15.75" hidden="1" thickBot="1" x14ac:dyDescent="0.3">
      <c r="A339" s="100" t="str">
        <f t="shared" si="47"/>
        <v>UNMETERED SCATTERED LOAD SERVICE CLASSIFICATION</v>
      </c>
      <c r="B339" s="100" t="s">
        <v>121</v>
      </c>
      <c r="C339" s="117"/>
      <c r="D339" s="159" t="s">
        <v>182</v>
      </c>
      <c r="E339" s="119"/>
      <c r="F339" s="163">
        <v>0.1101</v>
      </c>
      <c r="G339" s="161">
        <f>IF(AND(E304*12&gt;=150000),E304*E306,E304)</f>
        <v>150</v>
      </c>
      <c r="H339" s="157">
        <f>G339*F339</f>
        <v>16.515000000000001</v>
      </c>
      <c r="I339" s="164">
        <v>0.1101</v>
      </c>
      <c r="J339" s="161">
        <f>IF(AND(E304*12&gt;=150000),E304*E307,E304)</f>
        <v>150</v>
      </c>
      <c r="K339" s="157">
        <f>J339*I339</f>
        <v>16.515000000000001</v>
      </c>
      <c r="L339" s="125">
        <f>K339-H339</f>
        <v>0</v>
      </c>
      <c r="M339" s="126">
        <f t="shared" si="51"/>
        <v>0</v>
      </c>
    </row>
    <row r="340" spans="1:13" ht="15.75" thickBot="1" x14ac:dyDescent="0.3">
      <c r="A340" s="100" t="str">
        <f t="shared" si="47"/>
        <v>UNMETERED SCATTERED LOAD SERVICE CLASSIFICATION</v>
      </c>
      <c r="B340" s="105"/>
      <c r="C340" s="117"/>
      <c r="D340" s="165"/>
      <c r="E340" s="166"/>
      <c r="F340" s="167"/>
      <c r="G340" s="168"/>
      <c r="H340" s="169"/>
      <c r="I340" s="167"/>
      <c r="J340" s="170"/>
      <c r="K340" s="169"/>
      <c r="L340" s="171"/>
      <c r="M340" s="172"/>
    </row>
    <row r="341" spans="1:13" x14ac:dyDescent="0.25">
      <c r="A341" s="100" t="str">
        <f t="shared" si="47"/>
        <v>UNMETERED SCATTERED LOAD SERVICE CLASSIFICATION</v>
      </c>
      <c r="B341" s="105" t="s">
        <v>117</v>
      </c>
      <c r="C341" s="117"/>
      <c r="D341" s="173" t="s">
        <v>183</v>
      </c>
      <c r="E341" s="158"/>
      <c r="F341" s="174"/>
      <c r="G341" s="175"/>
      <c r="H341" s="176">
        <f>SUM(H331:H337,H330)</f>
        <v>24.589896000000003</v>
      </c>
      <c r="I341" s="177"/>
      <c r="J341" s="177"/>
      <c r="K341" s="176">
        <f>SUM(K331:K337,K330)</f>
        <v>26.145294587120521</v>
      </c>
      <c r="L341" s="178">
        <f>K341-H341</f>
        <v>1.5553985871205178</v>
      </c>
      <c r="M341" s="179">
        <f>IF((H341)=0,"",(L341/H341))</f>
        <v>6.3253565087079577E-2</v>
      </c>
    </row>
    <row r="342" spans="1:13" x14ac:dyDescent="0.25">
      <c r="A342" s="100" t="str">
        <f t="shared" si="47"/>
        <v>UNMETERED SCATTERED LOAD SERVICE CLASSIFICATION</v>
      </c>
      <c r="B342" s="105" t="s">
        <v>117</v>
      </c>
      <c r="C342" s="117"/>
      <c r="D342" s="180" t="s">
        <v>184</v>
      </c>
      <c r="E342" s="158"/>
      <c r="F342" s="174">
        <v>0.13</v>
      </c>
      <c r="G342" s="181"/>
      <c r="H342" s="182">
        <f>H341*F342</f>
        <v>3.1966864800000003</v>
      </c>
      <c r="I342" s="183">
        <v>0.13</v>
      </c>
      <c r="J342" s="121"/>
      <c r="K342" s="182">
        <f>K341*I342</f>
        <v>3.3988882963256679</v>
      </c>
      <c r="L342" s="184">
        <f>K342-H342</f>
        <v>0.20220181632566758</v>
      </c>
      <c r="M342" s="185">
        <f>IF((H342)=0,"",(L342/H342))</f>
        <v>6.3253565087079661E-2</v>
      </c>
    </row>
    <row r="343" spans="1:13" x14ac:dyDescent="0.25">
      <c r="A343" s="100" t="str">
        <f t="shared" si="47"/>
        <v>UNMETERED SCATTERED LOAD SERVICE CLASSIFICATION</v>
      </c>
      <c r="B343" s="105" t="s">
        <v>117</v>
      </c>
      <c r="C343" s="117"/>
      <c r="D343" s="180" t="s">
        <v>185</v>
      </c>
      <c r="E343" s="158"/>
      <c r="F343" s="174">
        <v>0.08</v>
      </c>
      <c r="G343" s="181"/>
      <c r="H343" s="182">
        <v>0</v>
      </c>
      <c r="I343" s="174">
        <v>0.08</v>
      </c>
      <c r="J343" s="121"/>
      <c r="K343" s="182">
        <v>0</v>
      </c>
      <c r="L343" s="184">
        <f>K343-H343</f>
        <v>0</v>
      </c>
      <c r="M343" s="185"/>
    </row>
    <row r="344" spans="1:13" ht="15.75" thickBot="1" x14ac:dyDescent="0.3">
      <c r="A344" s="100" t="str">
        <f t="shared" si="47"/>
        <v>UNMETERED SCATTERED LOAD SERVICE CLASSIFICATION</v>
      </c>
      <c r="B344" s="105" t="s">
        <v>186</v>
      </c>
      <c r="C344" s="117">
        <f>B34</f>
        <v>5</v>
      </c>
      <c r="D344" s="301" t="s">
        <v>187</v>
      </c>
      <c r="E344" s="301"/>
      <c r="F344" s="186"/>
      <c r="G344" s="187"/>
      <c r="H344" s="188">
        <f>H341+H342+H343</f>
        <v>27.786582480000003</v>
      </c>
      <c r="I344" s="189"/>
      <c r="J344" s="189"/>
      <c r="K344" s="190">
        <f>K341+K342+K343</f>
        <v>29.54418288344619</v>
      </c>
      <c r="L344" s="191">
        <f>K344-H344</f>
        <v>1.7576004034461867</v>
      </c>
      <c r="M344" s="192">
        <f>IF((H344)=0,"",(L344/H344))</f>
        <v>6.3253565087079633E-2</v>
      </c>
    </row>
    <row r="345" spans="1:13" ht="15.75" hidden="1" thickBot="1" x14ac:dyDescent="0.3">
      <c r="A345" s="100" t="str">
        <f t="shared" si="47"/>
        <v>UNMETERED SCATTERED LOAD SERVICE CLASSIFICATION</v>
      </c>
      <c r="B345" s="100" t="s">
        <v>117</v>
      </c>
      <c r="C345" s="117"/>
      <c r="D345" s="165"/>
      <c r="E345" s="166"/>
      <c r="F345" s="167"/>
      <c r="G345" s="168"/>
      <c r="H345" s="169"/>
      <c r="I345" s="167"/>
      <c r="J345" s="170"/>
      <c r="K345" s="169"/>
      <c r="L345" s="171"/>
      <c r="M345" s="172"/>
    </row>
    <row r="346" spans="1:13" hidden="1" x14ac:dyDescent="0.25">
      <c r="A346" s="100" t="str">
        <f t="shared" si="47"/>
        <v>UNMETERED SCATTERED LOAD SERVICE CLASSIFICATION</v>
      </c>
      <c r="B346" s="100" t="s">
        <v>180</v>
      </c>
      <c r="C346" s="117"/>
      <c r="D346" s="173" t="s">
        <v>188</v>
      </c>
      <c r="E346" s="158"/>
      <c r="F346" s="174"/>
      <c r="G346" s="175"/>
      <c r="H346" s="176">
        <f>SUM(H338,H331:H334,H330)</f>
        <v>28.806395999999999</v>
      </c>
      <c r="I346" s="177"/>
      <c r="J346" s="177"/>
      <c r="K346" s="176">
        <f>SUM(K338,K331:K334,K330)</f>
        <v>30.361794587120517</v>
      </c>
      <c r="L346" s="178">
        <f>K346-H346</f>
        <v>1.5553985871205178</v>
      </c>
      <c r="M346" s="179">
        <f>IF((H346)=0,"",(L346/H346))</f>
        <v>5.3994904017861792E-2</v>
      </c>
    </row>
    <row r="347" spans="1:13" hidden="1" x14ac:dyDescent="0.25">
      <c r="A347" s="100" t="str">
        <f t="shared" si="47"/>
        <v>UNMETERED SCATTERED LOAD SERVICE CLASSIFICATION</v>
      </c>
      <c r="B347" s="100" t="s">
        <v>180</v>
      </c>
      <c r="C347" s="117"/>
      <c r="D347" s="180" t="s">
        <v>184</v>
      </c>
      <c r="E347" s="158"/>
      <c r="F347" s="174">
        <v>0.13</v>
      </c>
      <c r="G347" s="175"/>
      <c r="H347" s="182">
        <f>H346*F347</f>
        <v>3.7448314800000002</v>
      </c>
      <c r="I347" s="174">
        <v>0.13</v>
      </c>
      <c r="J347" s="183"/>
      <c r="K347" s="182">
        <f>K346*I347</f>
        <v>3.9470332963256674</v>
      </c>
      <c r="L347" s="184">
        <f>K347-H347</f>
        <v>0.20220181632566714</v>
      </c>
      <c r="M347" s="185">
        <f>IF((H347)=0,"",(L347/H347))</f>
        <v>5.3994904017861743E-2</v>
      </c>
    </row>
    <row r="348" spans="1:13" hidden="1" x14ac:dyDescent="0.25">
      <c r="A348" s="100" t="str">
        <f t="shared" si="47"/>
        <v>UNMETERED SCATTERED LOAD SERVICE CLASSIFICATION</v>
      </c>
      <c r="B348" s="100" t="s">
        <v>180</v>
      </c>
      <c r="C348" s="117"/>
      <c r="D348" s="180" t="s">
        <v>185</v>
      </c>
      <c r="E348" s="158"/>
      <c r="F348" s="174">
        <v>0.08</v>
      </c>
      <c r="G348" s="175"/>
      <c r="H348" s="182">
        <v>0</v>
      </c>
      <c r="I348" s="174">
        <v>0.08</v>
      </c>
      <c r="J348" s="183"/>
      <c r="K348" s="182">
        <v>0</v>
      </c>
      <c r="L348" s="184"/>
      <c r="M348" s="185"/>
    </row>
    <row r="349" spans="1:13" ht="15.75" hidden="1" thickBot="1" x14ac:dyDescent="0.3">
      <c r="A349" s="100" t="str">
        <f t="shared" si="47"/>
        <v>UNMETERED SCATTERED LOAD SERVICE CLASSIFICATION</v>
      </c>
      <c r="B349" s="100" t="s">
        <v>189</v>
      </c>
      <c r="C349" s="117"/>
      <c r="D349" s="301" t="s">
        <v>188</v>
      </c>
      <c r="E349" s="301"/>
      <c r="F349" s="193"/>
      <c r="G349" s="194"/>
      <c r="H349" s="188">
        <f>SUM(H346,H347)</f>
        <v>32.551227480000001</v>
      </c>
      <c r="I349" s="195"/>
      <c r="J349" s="195"/>
      <c r="K349" s="188">
        <f>SUM(K346,K347)</f>
        <v>34.308827883446185</v>
      </c>
      <c r="L349" s="196">
        <f>K349-H349</f>
        <v>1.7576004034461832</v>
      </c>
      <c r="M349" s="197">
        <f>IF((H349)=0,"",(L349/H349))</f>
        <v>5.3994904017861729E-2</v>
      </c>
    </row>
    <row r="350" spans="1:13" ht="15.75" hidden="1" thickBot="1" x14ac:dyDescent="0.3">
      <c r="A350" s="100" t="str">
        <f t="shared" si="47"/>
        <v>UNMETERED SCATTERED LOAD SERVICE CLASSIFICATION</v>
      </c>
      <c r="B350" s="100" t="s">
        <v>180</v>
      </c>
      <c r="C350" s="117"/>
      <c r="D350" s="165"/>
      <c r="E350" s="166"/>
      <c r="F350" s="198"/>
      <c r="G350" s="199"/>
      <c r="H350" s="200"/>
      <c r="I350" s="198"/>
      <c r="J350" s="168"/>
      <c r="K350" s="200"/>
      <c r="L350" s="201"/>
      <c r="M350" s="172"/>
    </row>
    <row r="351" spans="1:13" hidden="1" x14ac:dyDescent="0.25">
      <c r="A351" s="100" t="str">
        <f t="shared" si="47"/>
        <v>UNMETERED SCATTERED LOAD SERVICE CLASSIFICATION</v>
      </c>
      <c r="B351" s="100" t="s">
        <v>121</v>
      </c>
      <c r="C351" s="117"/>
      <c r="D351" s="173" t="s">
        <v>190</v>
      </c>
      <c r="E351" s="158"/>
      <c r="F351" s="174"/>
      <c r="G351" s="175"/>
      <c r="H351" s="176">
        <f>SUM(H339,H331:H334,H330)</f>
        <v>28.806395999999999</v>
      </c>
      <c r="I351" s="177"/>
      <c r="J351" s="177"/>
      <c r="K351" s="176">
        <f>SUM(K339,K331:K334,K330)</f>
        <v>30.361794587120517</v>
      </c>
      <c r="L351" s="178">
        <f>K351-H351</f>
        <v>1.5553985871205178</v>
      </c>
      <c r="M351" s="179">
        <f>IF((H351)=0,"",(L351/H351))</f>
        <v>5.3994904017861792E-2</v>
      </c>
    </row>
    <row r="352" spans="1:13" hidden="1" x14ac:dyDescent="0.25">
      <c r="A352" s="100" t="str">
        <f t="shared" si="47"/>
        <v>UNMETERED SCATTERED LOAD SERVICE CLASSIFICATION</v>
      </c>
      <c r="B352" s="100" t="s">
        <v>121</v>
      </c>
      <c r="C352" s="117"/>
      <c r="D352" s="180" t="s">
        <v>184</v>
      </c>
      <c r="E352" s="158"/>
      <c r="F352" s="174">
        <v>0.13</v>
      </c>
      <c r="G352" s="175"/>
      <c r="H352" s="182">
        <f>H351*F352</f>
        <v>3.7448314800000002</v>
      </c>
      <c r="I352" s="174">
        <v>0.13</v>
      </c>
      <c r="J352" s="183"/>
      <c r="K352" s="182">
        <f>K351*I352</f>
        <v>3.9470332963256674</v>
      </c>
      <c r="L352" s="184">
        <f>K352-H352</f>
        <v>0.20220181632566714</v>
      </c>
      <c r="M352" s="185">
        <f>IF((H352)=0,"",(L352/H352))</f>
        <v>5.3994904017861743E-2</v>
      </c>
    </row>
    <row r="353" spans="1:13" hidden="1" x14ac:dyDescent="0.25">
      <c r="A353" s="100" t="str">
        <f t="shared" si="47"/>
        <v>UNMETERED SCATTERED LOAD SERVICE CLASSIFICATION</v>
      </c>
      <c r="B353" s="100" t="s">
        <v>121</v>
      </c>
      <c r="C353" s="117"/>
      <c r="D353" s="180" t="s">
        <v>185</v>
      </c>
      <c r="E353" s="158"/>
      <c r="F353" s="174">
        <v>0.08</v>
      </c>
      <c r="G353" s="175"/>
      <c r="H353" s="182">
        <v>0</v>
      </c>
      <c r="I353" s="174">
        <v>0.08</v>
      </c>
      <c r="J353" s="183"/>
      <c r="K353" s="182">
        <v>0</v>
      </c>
      <c r="L353" s="184"/>
      <c r="M353" s="185"/>
    </row>
    <row r="354" spans="1:13" ht="15.75" hidden="1" thickBot="1" x14ac:dyDescent="0.3">
      <c r="A354" s="100" t="str">
        <f t="shared" si="47"/>
        <v>UNMETERED SCATTERED LOAD SERVICE CLASSIFICATION</v>
      </c>
      <c r="B354" s="100" t="s">
        <v>191</v>
      </c>
      <c r="C354" s="117"/>
      <c r="D354" s="301" t="s">
        <v>190</v>
      </c>
      <c r="E354" s="301"/>
      <c r="F354" s="193"/>
      <c r="G354" s="194"/>
      <c r="H354" s="188">
        <f>SUM(H351,H352)</f>
        <v>32.551227480000001</v>
      </c>
      <c r="I354" s="195"/>
      <c r="J354" s="195"/>
      <c r="K354" s="188">
        <f>SUM(K351,K352)</f>
        <v>34.308827883446185</v>
      </c>
      <c r="L354" s="196">
        <f>K354-H354</f>
        <v>1.7576004034461832</v>
      </c>
      <c r="M354" s="197">
        <f>IF((H354)=0,"",(L354/H354))</f>
        <v>5.3994904017861729E-2</v>
      </c>
    </row>
    <row r="355" spans="1:13" ht="15.75" thickBot="1" x14ac:dyDescent="0.3">
      <c r="A355" s="100" t="str">
        <f t="shared" si="47"/>
        <v>UNMETERED SCATTERED LOAD SERVICE CLASSIFICATION</v>
      </c>
      <c r="B355" s="100" t="s">
        <v>121</v>
      </c>
      <c r="C355" s="117"/>
      <c r="D355" s="165"/>
      <c r="E355" s="166"/>
      <c r="F355" s="202"/>
      <c r="G355" s="203"/>
      <c r="H355" s="204"/>
      <c r="I355" s="202"/>
      <c r="J355" s="205"/>
      <c r="K355" s="204"/>
      <c r="L355" s="206"/>
      <c r="M355" s="207"/>
    </row>
    <row r="358" spans="1:13" x14ac:dyDescent="0.25">
      <c r="C358" s="100"/>
      <c r="D358" s="101" t="s">
        <v>134</v>
      </c>
      <c r="E358" s="302" t="str">
        <f>D35</f>
        <v>SENTINEL LIGHTING SERVICE CLASSIFICATION</v>
      </c>
      <c r="F358" s="302"/>
      <c r="G358" s="302"/>
      <c r="H358" s="302"/>
      <c r="I358" s="302"/>
      <c r="J358" s="302"/>
      <c r="K358" s="100" t="str">
        <f>IF(N35="DEMAND - INTERVAL","RTSR - INTERVAL METERED","")</f>
        <v/>
      </c>
    </row>
    <row r="359" spans="1:13" x14ac:dyDescent="0.25">
      <c r="C359" s="100"/>
      <c r="D359" s="101" t="s">
        <v>135</v>
      </c>
      <c r="E359" s="303" t="str">
        <f>H35</f>
        <v>RPP</v>
      </c>
      <c r="F359" s="303"/>
      <c r="G359" s="303"/>
      <c r="H359" s="102"/>
      <c r="I359" s="102"/>
    </row>
    <row r="360" spans="1:13" ht="15.75" x14ac:dyDescent="0.25">
      <c r="C360" s="100"/>
      <c r="D360" s="101" t="s">
        <v>136</v>
      </c>
      <c r="E360" s="103">
        <f>K35</f>
        <v>650</v>
      </c>
      <c r="F360" s="104" t="s">
        <v>137</v>
      </c>
      <c r="G360" s="105"/>
      <c r="J360" s="106"/>
      <c r="K360" s="106"/>
      <c r="L360" s="106"/>
      <c r="M360" s="106"/>
    </row>
    <row r="361" spans="1:13" ht="15.75" x14ac:dyDescent="0.25">
      <c r="C361" s="100"/>
      <c r="D361" s="101" t="s">
        <v>138</v>
      </c>
      <c r="E361" s="103">
        <f>L35</f>
        <v>1</v>
      </c>
      <c r="F361" s="107" t="s">
        <v>139</v>
      </c>
      <c r="G361" s="108"/>
      <c r="H361" s="109"/>
      <c r="I361" s="109"/>
      <c r="J361" s="109"/>
    </row>
    <row r="362" spans="1:13" x14ac:dyDescent="0.25">
      <c r="C362" s="100"/>
      <c r="D362" s="101" t="s">
        <v>140</v>
      </c>
      <c r="E362" s="110">
        <f>I35</f>
        <v>1.056</v>
      </c>
    </row>
    <row r="363" spans="1:13" x14ac:dyDescent="0.25">
      <c r="C363" s="100"/>
      <c r="D363" s="101" t="s">
        <v>141</v>
      </c>
      <c r="E363" s="110">
        <f>J35</f>
        <v>1.056</v>
      </c>
    </row>
    <row r="364" spans="1:13" x14ac:dyDescent="0.25">
      <c r="C364" s="100"/>
      <c r="D364" s="105"/>
    </row>
    <row r="365" spans="1:13" x14ac:dyDescent="0.25">
      <c r="C365" s="100"/>
      <c r="D365" s="105"/>
      <c r="E365" s="111"/>
      <c r="F365" s="304" t="s">
        <v>142</v>
      </c>
      <c r="G365" s="305"/>
      <c r="H365" s="306"/>
      <c r="I365" s="304" t="s">
        <v>143</v>
      </c>
      <c r="J365" s="305"/>
      <c r="K365" s="306"/>
      <c r="L365" s="304" t="s">
        <v>144</v>
      </c>
      <c r="M365" s="306"/>
    </row>
    <row r="366" spans="1:13" x14ac:dyDescent="0.25">
      <c r="C366" s="100"/>
      <c r="D366" s="105"/>
      <c r="E366" s="295"/>
      <c r="F366" s="112" t="s">
        <v>145</v>
      </c>
      <c r="G366" s="112" t="s">
        <v>146</v>
      </c>
      <c r="H366" s="113" t="s">
        <v>147</v>
      </c>
      <c r="I366" s="112" t="s">
        <v>145</v>
      </c>
      <c r="J366" s="114" t="s">
        <v>146</v>
      </c>
      <c r="K366" s="113" t="s">
        <v>147</v>
      </c>
      <c r="L366" s="297" t="s">
        <v>148</v>
      </c>
      <c r="M366" s="299" t="s">
        <v>149</v>
      </c>
    </row>
    <row r="367" spans="1:13" x14ac:dyDescent="0.25">
      <c r="C367" s="100"/>
      <c r="D367" s="105"/>
      <c r="E367" s="296"/>
      <c r="F367" s="115" t="s">
        <v>150</v>
      </c>
      <c r="G367" s="115"/>
      <c r="H367" s="116" t="s">
        <v>150</v>
      </c>
      <c r="I367" s="115" t="s">
        <v>150</v>
      </c>
      <c r="J367" s="116"/>
      <c r="K367" s="116" t="s">
        <v>150</v>
      </c>
      <c r="L367" s="298"/>
      <c r="M367" s="300"/>
    </row>
    <row r="368" spans="1:13" x14ac:dyDescent="0.25">
      <c r="A368" s="100" t="str">
        <f>$E358</f>
        <v>SENTINEL LIGHTING SERVICE CLASSIFICATION</v>
      </c>
      <c r="C368" s="117"/>
      <c r="D368" s="118" t="s">
        <v>151</v>
      </c>
      <c r="E368" s="119"/>
      <c r="F368" s="120">
        <v>9.4700000000000006</v>
      </c>
      <c r="G368" s="121">
        <v>1</v>
      </c>
      <c r="H368" s="122">
        <f>G368*F368</f>
        <v>9.4700000000000006</v>
      </c>
      <c r="I368" s="123">
        <v>9.4700000000000006</v>
      </c>
      <c r="J368" s="124">
        <f>G368</f>
        <v>1</v>
      </c>
      <c r="K368" s="122">
        <f>J368*I368</f>
        <v>9.4700000000000006</v>
      </c>
      <c r="L368" s="125">
        <f t="shared" ref="L368:L389" si="52">K368-H368</f>
        <v>0</v>
      </c>
      <c r="M368" s="126">
        <f>IF(ISERROR(L368/H368), "", L368/H368)</f>
        <v>0</v>
      </c>
    </row>
    <row r="369" spans="1:13" x14ac:dyDescent="0.25">
      <c r="A369" s="100" t="str">
        <f>A368</f>
        <v>SENTINEL LIGHTING SERVICE CLASSIFICATION</v>
      </c>
      <c r="C369" s="117"/>
      <c r="D369" s="118" t="s">
        <v>152</v>
      </c>
      <c r="E369" s="119"/>
      <c r="F369" s="127">
        <v>35.905000000000001</v>
      </c>
      <c r="G369" s="121">
        <f>IF($E361&gt;0, $E361, $E360)</f>
        <v>1</v>
      </c>
      <c r="H369" s="122">
        <f t="shared" ref="H369:H381" si="53">G369*F369</f>
        <v>35.905000000000001</v>
      </c>
      <c r="I369" s="128">
        <v>35.905000000000001</v>
      </c>
      <c r="J369" s="124">
        <f>IF($E361&gt;0, $E361, $E360)</f>
        <v>1</v>
      </c>
      <c r="K369" s="122">
        <f>J369*I369</f>
        <v>35.905000000000001</v>
      </c>
      <c r="L369" s="125">
        <f t="shared" si="52"/>
        <v>0</v>
      </c>
      <c r="M369" s="126">
        <f t="shared" ref="M369:M379" si="54">IF(ISERROR(L369/H369), "", L369/H369)</f>
        <v>0</v>
      </c>
    </row>
    <row r="370" spans="1:13" x14ac:dyDescent="0.25">
      <c r="A370" s="100" t="str">
        <f t="shared" ref="A370:A411" si="55">A369</f>
        <v>SENTINEL LIGHTING SERVICE CLASSIFICATION</v>
      </c>
      <c r="C370" s="117"/>
      <c r="D370" s="118" t="s">
        <v>153</v>
      </c>
      <c r="E370" s="119"/>
      <c r="F370" s="127"/>
      <c r="G370" s="121"/>
      <c r="H370" s="122">
        <v>0</v>
      </c>
      <c r="I370" s="128"/>
      <c r="J370" s="124">
        <f>IF($E361&gt;0, $E361, $E360)</f>
        <v>1</v>
      </c>
      <c r="K370" s="122">
        <v>0</v>
      </c>
      <c r="L370" s="125"/>
      <c r="M370" s="126"/>
    </row>
    <row r="371" spans="1:13" x14ac:dyDescent="0.25">
      <c r="A371" s="100" t="str">
        <f t="shared" si="55"/>
        <v>SENTINEL LIGHTING SERVICE CLASSIFICATION</v>
      </c>
      <c r="C371" s="117"/>
      <c r="D371" s="118" t="s">
        <v>154</v>
      </c>
      <c r="E371" s="119"/>
      <c r="F371" s="127"/>
      <c r="G371" s="121">
        <f>IF($E361&gt;0, $E361, $E360)</f>
        <v>1</v>
      </c>
      <c r="H371" s="122">
        <v>0</v>
      </c>
      <c r="I371" s="128"/>
      <c r="J371" s="121">
        <f>IF($E361&gt;0, $E361, $E360)</f>
        <v>1</v>
      </c>
      <c r="K371" s="122">
        <v>0</v>
      </c>
      <c r="L371" s="125">
        <f>K371-H371</f>
        <v>0</v>
      </c>
      <c r="M371" s="126" t="str">
        <f>IF(ISERROR(L371/H371), "", L371/H371)</f>
        <v/>
      </c>
    </row>
    <row r="372" spans="1:13" x14ac:dyDescent="0.25">
      <c r="A372" s="100" t="str">
        <f t="shared" si="55"/>
        <v>SENTINEL LIGHTING SERVICE CLASSIFICATION</v>
      </c>
      <c r="C372" s="117"/>
      <c r="D372" s="129" t="s">
        <v>155</v>
      </c>
      <c r="E372" s="119"/>
      <c r="F372" s="120">
        <v>0</v>
      </c>
      <c r="G372" s="121">
        <v>1</v>
      </c>
      <c r="H372" s="122">
        <f t="shared" si="53"/>
        <v>0</v>
      </c>
      <c r="I372" s="226">
        <f>'Rate Riders'!O13</f>
        <v>1.6776337836026574</v>
      </c>
      <c r="J372" s="124">
        <f>G372</f>
        <v>1</v>
      </c>
      <c r="K372" s="122">
        <f t="shared" ref="K372:K379" si="56">J372*I372</f>
        <v>1.6776337836026574</v>
      </c>
      <c r="L372" s="125">
        <f t="shared" si="52"/>
        <v>1.6776337836026574</v>
      </c>
      <c r="M372" s="126" t="str">
        <f t="shared" si="54"/>
        <v/>
      </c>
    </row>
    <row r="373" spans="1:13" x14ac:dyDescent="0.25">
      <c r="A373" s="100" t="str">
        <f t="shared" si="55"/>
        <v>SENTINEL LIGHTING SERVICE CLASSIFICATION</v>
      </c>
      <c r="C373" s="117"/>
      <c r="D373" s="118" t="s">
        <v>156</v>
      </c>
      <c r="E373" s="119"/>
      <c r="F373" s="127">
        <v>0</v>
      </c>
      <c r="G373" s="121">
        <f>IF($E361&gt;0, $E361, $E360)</f>
        <v>1</v>
      </c>
      <c r="H373" s="122">
        <f t="shared" si="53"/>
        <v>0</v>
      </c>
      <c r="I373" s="227">
        <f>'Rate Riders'!Q13</f>
        <v>6.3606590285378468</v>
      </c>
      <c r="J373" s="124">
        <f>IF($E361&gt;0, $E361, $E360)</f>
        <v>1</v>
      </c>
      <c r="K373" s="122">
        <f t="shared" si="56"/>
        <v>6.3606590285378468</v>
      </c>
      <c r="L373" s="125">
        <f t="shared" si="52"/>
        <v>6.3606590285378468</v>
      </c>
      <c r="M373" s="126" t="str">
        <f t="shared" si="54"/>
        <v/>
      </c>
    </row>
    <row r="374" spans="1:13" x14ac:dyDescent="0.25">
      <c r="A374" s="100" t="str">
        <f t="shared" si="55"/>
        <v>SENTINEL LIGHTING SERVICE CLASSIFICATION</v>
      </c>
      <c r="B374" s="130" t="s">
        <v>157</v>
      </c>
      <c r="C374" s="117">
        <f>B35</f>
        <v>6</v>
      </c>
      <c r="D374" s="131" t="s">
        <v>158</v>
      </c>
      <c r="E374" s="132"/>
      <c r="F374" s="133"/>
      <c r="G374" s="134"/>
      <c r="H374" s="135">
        <f>SUM(H368:H373)</f>
        <v>45.375</v>
      </c>
      <c r="I374" s="136"/>
      <c r="J374" s="137"/>
      <c r="K374" s="135">
        <f>SUM(K368:K373)</f>
        <v>53.413292812140504</v>
      </c>
      <c r="L374" s="138">
        <f t="shared" si="52"/>
        <v>8.0382928121405044</v>
      </c>
      <c r="M374" s="139">
        <f>IF((H374)=0,"",(L374/H374))</f>
        <v>0.17715245866976317</v>
      </c>
    </row>
    <row r="375" spans="1:13" x14ac:dyDescent="0.25">
      <c r="A375" s="100" t="str">
        <f t="shared" si="55"/>
        <v>SENTINEL LIGHTING SERVICE CLASSIFICATION</v>
      </c>
      <c r="C375" s="117"/>
      <c r="D375" s="140" t="s">
        <v>159</v>
      </c>
      <c r="E375" s="119"/>
      <c r="F375" s="127">
        <f>IF((E360*12&gt;=150000), 0, IF(E359="RPP",(F391*0.65+F392*0.17+F393*0.18),IF(E359="Non-RPP (Retailer)",F394,F395)))</f>
        <v>8.1990000000000007E-2</v>
      </c>
      <c r="G375" s="141">
        <f>IF(F375=0, 0, $E360*E362-E360)</f>
        <v>36.399999999999977</v>
      </c>
      <c r="H375" s="122">
        <f>G375*F375</f>
        <v>2.9844359999999983</v>
      </c>
      <c r="I375" s="128">
        <v>8.1990000000000007E-2</v>
      </c>
      <c r="J375" s="141">
        <f>IF(I375=0, 0, E360*E363-E360)</f>
        <v>36.399999999999977</v>
      </c>
      <c r="K375" s="122">
        <f>J375*I375</f>
        <v>2.9844359999999983</v>
      </c>
      <c r="L375" s="125">
        <f>K375-H375</f>
        <v>0</v>
      </c>
      <c r="M375" s="126">
        <f>IF(ISERROR(L375/H375), "", L375/H375)</f>
        <v>0</v>
      </c>
    </row>
    <row r="376" spans="1:13" ht="25.5" x14ac:dyDescent="0.25">
      <c r="A376" s="100" t="str">
        <f t="shared" si="55"/>
        <v>SENTINEL LIGHTING SERVICE CLASSIFICATION</v>
      </c>
      <c r="C376" s="117"/>
      <c r="D376" s="140" t="s">
        <v>160</v>
      </c>
      <c r="E376" s="119"/>
      <c r="F376" s="127">
        <v>-0.47110000000000002</v>
      </c>
      <c r="G376" s="142">
        <f>IF($E361&gt;0, $E361, $E360)</f>
        <v>1</v>
      </c>
      <c r="H376" s="122">
        <f t="shared" si="53"/>
        <v>-0.47110000000000002</v>
      </c>
      <c r="I376" s="128">
        <v>-0.47110000000000002</v>
      </c>
      <c r="J376" s="142">
        <f>IF($E361&gt;0, $E361, $E360)</f>
        <v>1</v>
      </c>
      <c r="K376" s="122">
        <f t="shared" si="56"/>
        <v>-0.47110000000000002</v>
      </c>
      <c r="L376" s="125">
        <f t="shared" si="52"/>
        <v>0</v>
      </c>
      <c r="M376" s="126">
        <f t="shared" si="54"/>
        <v>0</v>
      </c>
    </row>
    <row r="377" spans="1:13" x14ac:dyDescent="0.25">
      <c r="A377" s="100" t="str">
        <f t="shared" si="55"/>
        <v>SENTINEL LIGHTING SERVICE CLASSIFICATION</v>
      </c>
      <c r="C377" s="117"/>
      <c r="D377" s="140" t="s">
        <v>161</v>
      </c>
      <c r="E377" s="119"/>
      <c r="F377" s="127">
        <v>-2.98E-2</v>
      </c>
      <c r="G377" s="142">
        <f>IF($E361&gt;0, $E361, $E360)</f>
        <v>1</v>
      </c>
      <c r="H377" s="122">
        <f>G377*F377</f>
        <v>-2.98E-2</v>
      </c>
      <c r="I377" s="128">
        <v>-2.98E-2</v>
      </c>
      <c r="J377" s="142">
        <f>IF($E361&gt;0, $E361, $E360)</f>
        <v>1</v>
      </c>
      <c r="K377" s="122">
        <f>J377*I377</f>
        <v>-2.98E-2</v>
      </c>
      <c r="L377" s="125">
        <f t="shared" si="52"/>
        <v>0</v>
      </c>
      <c r="M377" s="126">
        <f t="shared" si="54"/>
        <v>0</v>
      </c>
    </row>
    <row r="378" spans="1:13" x14ac:dyDescent="0.25">
      <c r="A378" s="100" t="str">
        <f t="shared" si="55"/>
        <v>SENTINEL LIGHTING SERVICE CLASSIFICATION</v>
      </c>
      <c r="C378" s="117"/>
      <c r="D378" s="140" t="s">
        <v>162</v>
      </c>
      <c r="E378" s="119"/>
      <c r="F378" s="127">
        <v>0</v>
      </c>
      <c r="G378" s="142">
        <f>E360</f>
        <v>650</v>
      </c>
      <c r="H378" s="122">
        <f>G378*F378</f>
        <v>0</v>
      </c>
      <c r="I378" s="128">
        <v>0</v>
      </c>
      <c r="J378" s="142">
        <f>E360</f>
        <v>650</v>
      </c>
      <c r="K378" s="122">
        <f t="shared" si="56"/>
        <v>0</v>
      </c>
      <c r="L378" s="125">
        <f t="shared" si="52"/>
        <v>0</v>
      </c>
      <c r="M378" s="126" t="str">
        <f t="shared" si="54"/>
        <v/>
      </c>
    </row>
    <row r="379" spans="1:13" x14ac:dyDescent="0.25">
      <c r="A379" s="100" t="str">
        <f t="shared" si="55"/>
        <v>SENTINEL LIGHTING SERVICE CLASSIFICATION</v>
      </c>
      <c r="C379" s="117"/>
      <c r="D379" s="143" t="s">
        <v>163</v>
      </c>
      <c r="E379" s="119"/>
      <c r="F379" s="127">
        <v>0.75470000000000004</v>
      </c>
      <c r="G379" s="142">
        <f>IF($E361&gt;0, $E361, $E360)</f>
        <v>1</v>
      </c>
      <c r="H379" s="122">
        <f t="shared" si="53"/>
        <v>0.75470000000000004</v>
      </c>
      <c r="I379" s="128">
        <v>0.75470000000000004</v>
      </c>
      <c r="J379" s="142">
        <f>IF($E361&gt;0, $E361, $E360)</f>
        <v>1</v>
      </c>
      <c r="K379" s="122">
        <f t="shared" si="56"/>
        <v>0.75470000000000004</v>
      </c>
      <c r="L379" s="125">
        <f t="shared" si="52"/>
        <v>0</v>
      </c>
      <c r="M379" s="126">
        <f t="shared" si="54"/>
        <v>0</v>
      </c>
    </row>
    <row r="380" spans="1:13" ht="25.5" x14ac:dyDescent="0.25">
      <c r="A380" s="100" t="str">
        <f t="shared" si="55"/>
        <v>SENTINEL LIGHTING SERVICE CLASSIFICATION</v>
      </c>
      <c r="C380" s="117"/>
      <c r="D380" s="144" t="s">
        <v>164</v>
      </c>
      <c r="E380" s="119"/>
      <c r="F380" s="145">
        <f>IF(OR(ISNUMBER(SEARCH("RESIDENTIAL", E358))=TRUE, ISNUMBER(SEARCH("GENERAL SERVICE LESS THAN 50", E358))=TRUE), SME, 0)</f>
        <v>0</v>
      </c>
      <c r="G380" s="121">
        <v>1</v>
      </c>
      <c r="H380" s="122">
        <f>G380*F380</f>
        <v>0</v>
      </c>
      <c r="I380" s="146">
        <v>0</v>
      </c>
      <c r="J380" s="121">
        <v>1</v>
      </c>
      <c r="K380" s="122">
        <f>J380*I380</f>
        <v>0</v>
      </c>
      <c r="L380" s="125">
        <f t="shared" si="52"/>
        <v>0</v>
      </c>
      <c r="M380" s="126" t="str">
        <f>IF(ISERROR(L380/H380), "", L380/H380)</f>
        <v/>
      </c>
    </row>
    <row r="381" spans="1:13" x14ac:dyDescent="0.25">
      <c r="A381" s="100" t="str">
        <f t="shared" si="55"/>
        <v>SENTINEL LIGHTING SERVICE CLASSIFICATION</v>
      </c>
      <c r="C381" s="117"/>
      <c r="D381" s="143" t="s">
        <v>165</v>
      </c>
      <c r="E381" s="119"/>
      <c r="F381" s="120">
        <v>0</v>
      </c>
      <c r="G381" s="121">
        <v>1</v>
      </c>
      <c r="H381" s="122">
        <f t="shared" si="53"/>
        <v>0</v>
      </c>
      <c r="I381" s="123">
        <v>0</v>
      </c>
      <c r="J381" s="121">
        <v>1</v>
      </c>
      <c r="K381" s="122">
        <f>J381*I381</f>
        <v>0</v>
      </c>
      <c r="L381" s="125">
        <f>K381-H381</f>
        <v>0</v>
      </c>
      <c r="M381" s="126" t="str">
        <f>IF(ISERROR(L381/H381), "", L381/H381)</f>
        <v/>
      </c>
    </row>
    <row r="382" spans="1:13" x14ac:dyDescent="0.25">
      <c r="A382" s="100" t="str">
        <f t="shared" si="55"/>
        <v>SENTINEL LIGHTING SERVICE CLASSIFICATION</v>
      </c>
      <c r="C382" s="117"/>
      <c r="D382" s="143" t="s">
        <v>166</v>
      </c>
      <c r="E382" s="119"/>
      <c r="F382" s="127"/>
      <c r="G382" s="142">
        <f>IF($E361&gt;0, $E361, $E360)</f>
        <v>1</v>
      </c>
      <c r="H382" s="122">
        <f>G382*F382</f>
        <v>0</v>
      </c>
      <c r="I382" s="128"/>
      <c r="J382" s="142">
        <f>IF($E361&gt;0, $E361, $E360)</f>
        <v>1</v>
      </c>
      <c r="K382" s="122">
        <f>J382*I382</f>
        <v>0</v>
      </c>
      <c r="L382" s="125">
        <f t="shared" si="52"/>
        <v>0</v>
      </c>
      <c r="M382" s="126" t="str">
        <f>IF(ISERROR(L382/H382), "", L382/H382)</f>
        <v/>
      </c>
    </row>
    <row r="383" spans="1:13" ht="25.5" x14ac:dyDescent="0.25">
      <c r="A383" s="100" t="str">
        <f t="shared" si="55"/>
        <v>SENTINEL LIGHTING SERVICE CLASSIFICATION</v>
      </c>
      <c r="B383" s="105" t="s">
        <v>167</v>
      </c>
      <c r="C383" s="117">
        <f>B35</f>
        <v>6</v>
      </c>
      <c r="D383" s="147" t="s">
        <v>168</v>
      </c>
      <c r="E383" s="148"/>
      <c r="F383" s="149"/>
      <c r="G383" s="150"/>
      <c r="H383" s="151">
        <f>SUM(H374:H382)</f>
        <v>48.613235999999993</v>
      </c>
      <c r="I383" s="152"/>
      <c r="J383" s="153"/>
      <c r="K383" s="151">
        <f>SUM(K374:K382)</f>
        <v>56.651528812140498</v>
      </c>
      <c r="L383" s="138">
        <f t="shared" si="52"/>
        <v>8.0382928121405044</v>
      </c>
      <c r="M383" s="139">
        <f>IF((H383)=0,"",(L383/H383))</f>
        <v>0.1653519385572379</v>
      </c>
    </row>
    <row r="384" spans="1:13" x14ac:dyDescent="0.25">
      <c r="A384" s="100" t="str">
        <f t="shared" si="55"/>
        <v>SENTINEL LIGHTING SERVICE CLASSIFICATION</v>
      </c>
      <c r="C384" s="117"/>
      <c r="D384" s="154" t="s">
        <v>169</v>
      </c>
      <c r="E384" s="119"/>
      <c r="F384" s="127">
        <v>1.8704000000000001</v>
      </c>
      <c r="G384" s="141">
        <f>IF($E361&gt;0, $E361, $E360*$E362)</f>
        <v>1</v>
      </c>
      <c r="H384" s="122">
        <f>G384*F384</f>
        <v>1.8704000000000001</v>
      </c>
      <c r="I384" s="128">
        <v>1.8704000000000001</v>
      </c>
      <c r="J384" s="141">
        <f>IF($E361&gt;0, $E361, $E360*$E363)</f>
        <v>1</v>
      </c>
      <c r="K384" s="122">
        <f>J384*I384</f>
        <v>1.8704000000000001</v>
      </c>
      <c r="L384" s="125">
        <f t="shared" si="52"/>
        <v>0</v>
      </c>
      <c r="M384" s="126">
        <f>IF(ISERROR(L384/H384), "", L384/H384)</f>
        <v>0</v>
      </c>
    </row>
    <row r="385" spans="1:13" ht="25.5" x14ac:dyDescent="0.25">
      <c r="A385" s="100" t="str">
        <f t="shared" si="55"/>
        <v>SENTINEL LIGHTING SERVICE CLASSIFICATION</v>
      </c>
      <c r="C385" s="117"/>
      <c r="D385" s="155" t="s">
        <v>170</v>
      </c>
      <c r="E385" s="119"/>
      <c r="F385" s="127">
        <v>1.5942000000000001</v>
      </c>
      <c r="G385" s="141">
        <f>IF($E361&gt;0, $E361, $E360*$E362)</f>
        <v>1</v>
      </c>
      <c r="H385" s="122">
        <f>G385*F385</f>
        <v>1.5942000000000001</v>
      </c>
      <c r="I385" s="128">
        <v>1.5942000000000001</v>
      </c>
      <c r="J385" s="141">
        <f>IF($E361&gt;0, $E361, $E360*$E363)</f>
        <v>1</v>
      </c>
      <c r="K385" s="122">
        <f>J385*I385</f>
        <v>1.5942000000000001</v>
      </c>
      <c r="L385" s="125">
        <f t="shared" si="52"/>
        <v>0</v>
      </c>
      <c r="M385" s="126">
        <f>IF(ISERROR(L385/H385), "", L385/H385)</f>
        <v>0</v>
      </c>
    </row>
    <row r="386" spans="1:13" ht="25.5" x14ac:dyDescent="0.25">
      <c r="A386" s="100" t="str">
        <f t="shared" si="55"/>
        <v>SENTINEL LIGHTING SERVICE CLASSIFICATION</v>
      </c>
      <c r="B386" s="105" t="s">
        <v>171</v>
      </c>
      <c r="C386" s="117">
        <f>B35</f>
        <v>6</v>
      </c>
      <c r="D386" s="147" t="s">
        <v>172</v>
      </c>
      <c r="E386" s="132"/>
      <c r="F386" s="149"/>
      <c r="G386" s="150"/>
      <c r="H386" s="151">
        <f>SUM(H383:H385)</f>
        <v>52.077835999999991</v>
      </c>
      <c r="I386" s="152"/>
      <c r="J386" s="137"/>
      <c r="K386" s="151">
        <f>SUM(K383:K385)</f>
        <v>60.116128812140502</v>
      </c>
      <c r="L386" s="138">
        <f t="shared" si="52"/>
        <v>8.0382928121405115</v>
      </c>
      <c r="M386" s="139">
        <f>IF((H386)=0,"",(L386/H386))</f>
        <v>0.15435151361013758</v>
      </c>
    </row>
    <row r="387" spans="1:13" ht="25.5" x14ac:dyDescent="0.25">
      <c r="A387" s="100" t="str">
        <f t="shared" si="55"/>
        <v>SENTINEL LIGHTING SERVICE CLASSIFICATION</v>
      </c>
      <c r="C387" s="117"/>
      <c r="D387" s="156" t="s">
        <v>173</v>
      </c>
      <c r="E387" s="119"/>
      <c r="F387" s="127">
        <v>3.6000000000000003E-3</v>
      </c>
      <c r="G387" s="141">
        <f>E360*E362</f>
        <v>686.4</v>
      </c>
      <c r="H387" s="157">
        <f t="shared" ref="H387:H393" si="57">G387*F387</f>
        <v>2.4710400000000003</v>
      </c>
      <c r="I387" s="128">
        <v>3.6000000000000003E-3</v>
      </c>
      <c r="J387" s="141">
        <f>E360*E363</f>
        <v>686.4</v>
      </c>
      <c r="K387" s="157">
        <f t="shared" ref="K387:K393" si="58">J387*I387</f>
        <v>2.4710400000000003</v>
      </c>
      <c r="L387" s="125">
        <f t="shared" si="52"/>
        <v>0</v>
      </c>
      <c r="M387" s="126">
        <f t="shared" ref="M387:M395" si="59">IF(ISERROR(L387/H387), "", L387/H387)</f>
        <v>0</v>
      </c>
    </row>
    <row r="388" spans="1:13" ht="25.5" x14ac:dyDescent="0.25">
      <c r="A388" s="100" t="str">
        <f t="shared" si="55"/>
        <v>SENTINEL LIGHTING SERVICE CLASSIFICATION</v>
      </c>
      <c r="C388" s="117"/>
      <c r="D388" s="156" t="s">
        <v>174</v>
      </c>
      <c r="E388" s="119"/>
      <c r="F388" s="127">
        <f>'[1]17. Regulatory Charges'!$D$16</f>
        <v>2.9999999999999997E-4</v>
      </c>
      <c r="G388" s="141">
        <f>E360*E362</f>
        <v>686.4</v>
      </c>
      <c r="H388" s="157">
        <f t="shared" si="57"/>
        <v>0.20591999999999996</v>
      </c>
      <c r="I388" s="128">
        <v>2.9999999999999997E-4</v>
      </c>
      <c r="J388" s="141">
        <f>E360*E363</f>
        <v>686.4</v>
      </c>
      <c r="K388" s="157">
        <f t="shared" si="58"/>
        <v>0.20591999999999996</v>
      </c>
      <c r="L388" s="125">
        <f t="shared" si="52"/>
        <v>0</v>
      </c>
      <c r="M388" s="126">
        <f t="shared" si="59"/>
        <v>0</v>
      </c>
    </row>
    <row r="389" spans="1:13" x14ac:dyDescent="0.25">
      <c r="A389" s="100" t="str">
        <f t="shared" si="55"/>
        <v>SENTINEL LIGHTING SERVICE CLASSIFICATION</v>
      </c>
      <c r="C389" s="117"/>
      <c r="D389" s="158" t="s">
        <v>175</v>
      </c>
      <c r="E389" s="119"/>
      <c r="F389" s="145">
        <v>0.25</v>
      </c>
      <c r="G389" s="121">
        <v>1</v>
      </c>
      <c r="H389" s="157">
        <f t="shared" si="57"/>
        <v>0.25</v>
      </c>
      <c r="I389" s="146">
        <v>0.25</v>
      </c>
      <c r="J389" s="124">
        <v>1</v>
      </c>
      <c r="K389" s="157">
        <f t="shared" si="58"/>
        <v>0.25</v>
      </c>
      <c r="L389" s="125">
        <f t="shared" si="52"/>
        <v>0</v>
      </c>
      <c r="M389" s="126">
        <f t="shared" si="59"/>
        <v>0</v>
      </c>
    </row>
    <row r="390" spans="1:13" ht="25.5" x14ac:dyDescent="0.25">
      <c r="A390" s="100" t="str">
        <f t="shared" si="55"/>
        <v>SENTINEL LIGHTING SERVICE CLASSIFICATION</v>
      </c>
      <c r="C390" s="117"/>
      <c r="D390" s="156" t="s">
        <v>176</v>
      </c>
      <c r="E390" s="119"/>
      <c r="F390" s="127"/>
      <c r="G390" s="141"/>
      <c r="H390" s="157"/>
      <c r="I390" s="128"/>
      <c r="J390" s="141"/>
      <c r="K390" s="157"/>
      <c r="L390" s="125"/>
      <c r="M390" s="126"/>
    </row>
    <row r="391" spans="1:13" x14ac:dyDescent="0.25">
      <c r="A391" s="100" t="str">
        <f t="shared" si="55"/>
        <v>SENTINEL LIGHTING SERVICE CLASSIFICATION</v>
      </c>
      <c r="B391" s="105" t="s">
        <v>117</v>
      </c>
      <c r="C391" s="117"/>
      <c r="D391" s="159" t="s">
        <v>177</v>
      </c>
      <c r="E391" s="119"/>
      <c r="F391" s="160">
        <f>OffPeak</f>
        <v>6.5000000000000002E-2</v>
      </c>
      <c r="G391" s="161">
        <f>IF(AND(E360*12&gt;=150000),0.65*E360*E362,0.65*E360)</f>
        <v>422.5</v>
      </c>
      <c r="H391" s="157">
        <f t="shared" si="57"/>
        <v>27.462500000000002</v>
      </c>
      <c r="I391" s="162">
        <v>6.5000000000000002E-2</v>
      </c>
      <c r="J391" s="161">
        <f>IF(AND(E360*12&gt;=150000),0.65*E360*E363,0.65*E360)</f>
        <v>422.5</v>
      </c>
      <c r="K391" s="157">
        <f t="shared" si="58"/>
        <v>27.462500000000002</v>
      </c>
      <c r="L391" s="125">
        <f>K391-H391</f>
        <v>0</v>
      </c>
      <c r="M391" s="126">
        <f t="shared" si="59"/>
        <v>0</v>
      </c>
    </row>
    <row r="392" spans="1:13" x14ac:dyDescent="0.25">
      <c r="A392" s="100" t="str">
        <f t="shared" si="55"/>
        <v>SENTINEL LIGHTING SERVICE CLASSIFICATION</v>
      </c>
      <c r="B392" s="105" t="s">
        <v>117</v>
      </c>
      <c r="C392" s="117"/>
      <c r="D392" s="159" t="s">
        <v>178</v>
      </c>
      <c r="E392" s="119"/>
      <c r="F392" s="160">
        <f>MidPeak</f>
        <v>9.4E-2</v>
      </c>
      <c r="G392" s="161">
        <f>IF(AND(E360*12&gt;=150000),0.17*E360*E362,0.17*E360)</f>
        <v>110.50000000000001</v>
      </c>
      <c r="H392" s="157">
        <f t="shared" si="57"/>
        <v>10.387000000000002</v>
      </c>
      <c r="I392" s="162">
        <v>9.4E-2</v>
      </c>
      <c r="J392" s="161">
        <f>IF(AND(E360*12&gt;=150000),0.17*E360*E363,0.17*E360)</f>
        <v>110.50000000000001</v>
      </c>
      <c r="K392" s="157">
        <f t="shared" si="58"/>
        <v>10.387000000000002</v>
      </c>
      <c r="L392" s="125">
        <f>K392-H392</f>
        <v>0</v>
      </c>
      <c r="M392" s="126">
        <f t="shared" si="59"/>
        <v>0</v>
      </c>
    </row>
    <row r="393" spans="1:13" ht="15.75" thickBot="1" x14ac:dyDescent="0.3">
      <c r="A393" s="100" t="str">
        <f t="shared" si="55"/>
        <v>SENTINEL LIGHTING SERVICE CLASSIFICATION</v>
      </c>
      <c r="B393" s="105" t="s">
        <v>117</v>
      </c>
      <c r="C393" s="117"/>
      <c r="D393" s="105" t="s">
        <v>179</v>
      </c>
      <c r="E393" s="119"/>
      <c r="F393" s="160">
        <f>OnPeak</f>
        <v>0.13200000000000001</v>
      </c>
      <c r="G393" s="161">
        <f>IF(AND(E360*12&gt;=150000),0.18*E360*E362,0.18*E360)</f>
        <v>117</v>
      </c>
      <c r="H393" s="157">
        <f t="shared" si="57"/>
        <v>15.444000000000001</v>
      </c>
      <c r="I393" s="162">
        <v>0.13200000000000001</v>
      </c>
      <c r="J393" s="161">
        <f>IF(AND(E360*12&gt;=150000),0.18*E360*E363,0.18*E360)</f>
        <v>117</v>
      </c>
      <c r="K393" s="157">
        <f t="shared" si="58"/>
        <v>15.444000000000001</v>
      </c>
      <c r="L393" s="125">
        <f>K393-H393</f>
        <v>0</v>
      </c>
      <c r="M393" s="126">
        <f t="shared" si="59"/>
        <v>0</v>
      </c>
    </row>
    <row r="394" spans="1:13" hidden="1" x14ac:dyDescent="0.25">
      <c r="A394" s="100" t="str">
        <f t="shared" si="55"/>
        <v>SENTINEL LIGHTING SERVICE CLASSIFICATION</v>
      </c>
      <c r="B394" s="100" t="s">
        <v>180</v>
      </c>
      <c r="C394" s="117"/>
      <c r="D394" s="159" t="s">
        <v>181</v>
      </c>
      <c r="E394" s="119"/>
      <c r="F394" s="163">
        <v>0.1101</v>
      </c>
      <c r="G394" s="161">
        <f>IF(AND(E360*12&gt;=150000),E360*E362,E360)</f>
        <v>650</v>
      </c>
      <c r="H394" s="157">
        <f>G394*F394</f>
        <v>71.564999999999998</v>
      </c>
      <c r="I394" s="164">
        <v>0.1101</v>
      </c>
      <c r="J394" s="161">
        <f>IF(AND(E360*12&gt;=150000),E360*E363,E360)</f>
        <v>650</v>
      </c>
      <c r="K394" s="157">
        <f>J394*I394</f>
        <v>71.564999999999998</v>
      </c>
      <c r="L394" s="125">
        <f>K394-H394</f>
        <v>0</v>
      </c>
      <c r="M394" s="126">
        <f t="shared" si="59"/>
        <v>0</v>
      </c>
    </row>
    <row r="395" spans="1:13" ht="15.75" hidden="1" thickBot="1" x14ac:dyDescent="0.3">
      <c r="A395" s="100" t="str">
        <f t="shared" si="55"/>
        <v>SENTINEL LIGHTING SERVICE CLASSIFICATION</v>
      </c>
      <c r="B395" s="100" t="s">
        <v>121</v>
      </c>
      <c r="C395" s="117"/>
      <c r="D395" s="159" t="s">
        <v>182</v>
      </c>
      <c r="E395" s="119"/>
      <c r="F395" s="163">
        <v>0.1101</v>
      </c>
      <c r="G395" s="161">
        <f>IF(AND(E360*12&gt;=150000),E360*E362,E360)</f>
        <v>650</v>
      </c>
      <c r="H395" s="157">
        <f>G395*F395</f>
        <v>71.564999999999998</v>
      </c>
      <c r="I395" s="164">
        <v>0.1101</v>
      </c>
      <c r="J395" s="161">
        <f>IF(AND(E360*12&gt;=150000),E360*E363,E360)</f>
        <v>650</v>
      </c>
      <c r="K395" s="157">
        <f>J395*I395</f>
        <v>71.564999999999998</v>
      </c>
      <c r="L395" s="125">
        <f>K395-H395</f>
        <v>0</v>
      </c>
      <c r="M395" s="126">
        <f t="shared" si="59"/>
        <v>0</v>
      </c>
    </row>
    <row r="396" spans="1:13" ht="15.75" thickBot="1" x14ac:dyDescent="0.3">
      <c r="A396" s="100" t="str">
        <f t="shared" si="55"/>
        <v>SENTINEL LIGHTING SERVICE CLASSIFICATION</v>
      </c>
      <c r="B396" s="105"/>
      <c r="C396" s="117"/>
      <c r="D396" s="165"/>
      <c r="E396" s="166"/>
      <c r="F396" s="167"/>
      <c r="G396" s="168"/>
      <c r="H396" s="169"/>
      <c r="I396" s="167"/>
      <c r="J396" s="170"/>
      <c r="K396" s="169"/>
      <c r="L396" s="171"/>
      <c r="M396" s="172"/>
    </row>
    <row r="397" spans="1:13" x14ac:dyDescent="0.25">
      <c r="A397" s="100" t="str">
        <f t="shared" si="55"/>
        <v>SENTINEL LIGHTING SERVICE CLASSIFICATION</v>
      </c>
      <c r="B397" s="105" t="s">
        <v>117</v>
      </c>
      <c r="C397" s="117"/>
      <c r="D397" s="173" t="s">
        <v>183</v>
      </c>
      <c r="E397" s="158"/>
      <c r="F397" s="174"/>
      <c r="G397" s="175"/>
      <c r="H397" s="176">
        <f>SUM(H387:H393,H386)</f>
        <v>108.29829599999999</v>
      </c>
      <c r="I397" s="177"/>
      <c r="J397" s="177"/>
      <c r="K397" s="176">
        <f>SUM(K387:K393,K386)</f>
        <v>116.33658881214052</v>
      </c>
      <c r="L397" s="178">
        <f>K397-H397</f>
        <v>8.0382928121405257</v>
      </c>
      <c r="M397" s="179">
        <f>IF((H397)=0,"",(L397/H397))</f>
        <v>7.4223631479303484E-2</v>
      </c>
    </row>
    <row r="398" spans="1:13" x14ac:dyDescent="0.25">
      <c r="A398" s="100" t="str">
        <f t="shared" si="55"/>
        <v>SENTINEL LIGHTING SERVICE CLASSIFICATION</v>
      </c>
      <c r="B398" s="105" t="s">
        <v>117</v>
      </c>
      <c r="C398" s="117"/>
      <c r="D398" s="180" t="s">
        <v>184</v>
      </c>
      <c r="E398" s="158"/>
      <c r="F398" s="174">
        <v>0.13</v>
      </c>
      <c r="G398" s="181"/>
      <c r="H398" s="182">
        <f>H397*F398</f>
        <v>14.07877848</v>
      </c>
      <c r="I398" s="183">
        <v>0.13</v>
      </c>
      <c r="J398" s="121"/>
      <c r="K398" s="182">
        <f>K397*I398</f>
        <v>15.123756545578267</v>
      </c>
      <c r="L398" s="184">
        <f>K398-H398</f>
        <v>1.0449780655782668</v>
      </c>
      <c r="M398" s="185">
        <f>IF((H398)=0,"",(L398/H398))</f>
        <v>7.4223631479303359E-2</v>
      </c>
    </row>
    <row r="399" spans="1:13" x14ac:dyDescent="0.25">
      <c r="A399" s="100" t="str">
        <f t="shared" si="55"/>
        <v>SENTINEL LIGHTING SERVICE CLASSIFICATION</v>
      </c>
      <c r="B399" s="105" t="s">
        <v>117</v>
      </c>
      <c r="C399" s="117"/>
      <c r="D399" s="180" t="s">
        <v>185</v>
      </c>
      <c r="E399" s="158"/>
      <c r="F399" s="174">
        <v>0.08</v>
      </c>
      <c r="G399" s="181"/>
      <c r="H399" s="182">
        <v>0</v>
      </c>
      <c r="I399" s="174">
        <v>0.08</v>
      </c>
      <c r="J399" s="121"/>
      <c r="K399" s="182">
        <v>0</v>
      </c>
      <c r="L399" s="184">
        <f>K399-H399</f>
        <v>0</v>
      </c>
      <c r="M399" s="185"/>
    </row>
    <row r="400" spans="1:13" ht="15.75" thickBot="1" x14ac:dyDescent="0.3">
      <c r="A400" s="100" t="str">
        <f t="shared" si="55"/>
        <v>SENTINEL LIGHTING SERVICE CLASSIFICATION</v>
      </c>
      <c r="B400" s="105" t="s">
        <v>186</v>
      </c>
      <c r="C400" s="117">
        <f>B35</f>
        <v>6</v>
      </c>
      <c r="D400" s="301" t="s">
        <v>187</v>
      </c>
      <c r="E400" s="301"/>
      <c r="F400" s="186"/>
      <c r="G400" s="187"/>
      <c r="H400" s="188">
        <f>H397+H398+H399</f>
        <v>122.37707447999999</v>
      </c>
      <c r="I400" s="189"/>
      <c r="J400" s="189"/>
      <c r="K400" s="190">
        <f>K397+K398+K399</f>
        <v>131.46034535771878</v>
      </c>
      <c r="L400" s="191">
        <f>K400-H400</f>
        <v>9.0832708777187889</v>
      </c>
      <c r="M400" s="192">
        <f>IF((H400)=0,"",(L400/H400))</f>
        <v>7.4223631479303442E-2</v>
      </c>
    </row>
    <row r="401" spans="1:13" ht="15.75" hidden="1" thickBot="1" x14ac:dyDescent="0.3">
      <c r="A401" s="100" t="str">
        <f t="shared" si="55"/>
        <v>SENTINEL LIGHTING SERVICE CLASSIFICATION</v>
      </c>
      <c r="B401" s="100" t="s">
        <v>117</v>
      </c>
      <c r="C401" s="117"/>
      <c r="D401" s="165"/>
      <c r="E401" s="166"/>
      <c r="F401" s="167"/>
      <c r="G401" s="168"/>
      <c r="H401" s="169"/>
      <c r="I401" s="167"/>
      <c r="J401" s="170"/>
      <c r="K401" s="169"/>
      <c r="L401" s="171"/>
      <c r="M401" s="172"/>
    </row>
    <row r="402" spans="1:13" hidden="1" x14ac:dyDescent="0.25">
      <c r="A402" s="100" t="str">
        <f t="shared" si="55"/>
        <v>SENTINEL LIGHTING SERVICE CLASSIFICATION</v>
      </c>
      <c r="B402" s="100" t="s">
        <v>180</v>
      </c>
      <c r="C402" s="117"/>
      <c r="D402" s="173" t="s">
        <v>188</v>
      </c>
      <c r="E402" s="158"/>
      <c r="F402" s="174"/>
      <c r="G402" s="175"/>
      <c r="H402" s="176">
        <f>SUM(H394,H387:H390,H386)</f>
        <v>126.569796</v>
      </c>
      <c r="I402" s="177"/>
      <c r="J402" s="177"/>
      <c r="K402" s="176">
        <f>SUM(K394,K387:K390,K386)</f>
        <v>134.60808881214052</v>
      </c>
      <c r="L402" s="178">
        <f>K402-H402</f>
        <v>8.0382928121405257</v>
      </c>
      <c r="M402" s="179">
        <f>IF((H402)=0,"",(L402/H402))</f>
        <v>6.3508775917917468E-2</v>
      </c>
    </row>
    <row r="403" spans="1:13" hidden="1" x14ac:dyDescent="0.25">
      <c r="A403" s="100" t="str">
        <f t="shared" si="55"/>
        <v>SENTINEL LIGHTING SERVICE CLASSIFICATION</v>
      </c>
      <c r="B403" s="100" t="s">
        <v>180</v>
      </c>
      <c r="C403" s="117"/>
      <c r="D403" s="180" t="s">
        <v>184</v>
      </c>
      <c r="E403" s="158"/>
      <c r="F403" s="174">
        <v>0.13</v>
      </c>
      <c r="G403" s="175"/>
      <c r="H403" s="182">
        <f>H402*F403</f>
        <v>16.454073480000002</v>
      </c>
      <c r="I403" s="174">
        <v>0.13</v>
      </c>
      <c r="J403" s="183"/>
      <c r="K403" s="182">
        <f>K402*I403</f>
        <v>17.499051545578268</v>
      </c>
      <c r="L403" s="184">
        <f>K403-H403</f>
        <v>1.0449780655782668</v>
      </c>
      <c r="M403" s="185">
        <f>IF((H403)=0,"",(L403/H403))</f>
        <v>6.3508775917917357E-2</v>
      </c>
    </row>
    <row r="404" spans="1:13" hidden="1" x14ac:dyDescent="0.25">
      <c r="A404" s="100" t="str">
        <f t="shared" si="55"/>
        <v>SENTINEL LIGHTING SERVICE CLASSIFICATION</v>
      </c>
      <c r="B404" s="100" t="s">
        <v>180</v>
      </c>
      <c r="C404" s="117"/>
      <c r="D404" s="180" t="s">
        <v>185</v>
      </c>
      <c r="E404" s="158"/>
      <c r="F404" s="174">
        <v>0.08</v>
      </c>
      <c r="G404" s="175"/>
      <c r="H404" s="182">
        <v>0</v>
      </c>
      <c r="I404" s="174">
        <v>0.08</v>
      </c>
      <c r="J404" s="183"/>
      <c r="K404" s="182">
        <v>0</v>
      </c>
      <c r="L404" s="184"/>
      <c r="M404" s="185"/>
    </row>
    <row r="405" spans="1:13" ht="15.75" hidden="1" thickBot="1" x14ac:dyDescent="0.3">
      <c r="A405" s="100" t="str">
        <f t="shared" si="55"/>
        <v>SENTINEL LIGHTING SERVICE CLASSIFICATION</v>
      </c>
      <c r="B405" s="100" t="s">
        <v>189</v>
      </c>
      <c r="C405" s="117"/>
      <c r="D405" s="301" t="s">
        <v>188</v>
      </c>
      <c r="E405" s="301"/>
      <c r="F405" s="193"/>
      <c r="G405" s="194"/>
      <c r="H405" s="188">
        <f>SUM(H402,H403)</f>
        <v>143.02386948</v>
      </c>
      <c r="I405" s="195"/>
      <c r="J405" s="195"/>
      <c r="K405" s="188">
        <f>SUM(K402,K403)</f>
        <v>152.10714035771878</v>
      </c>
      <c r="L405" s="196">
        <f>K405-H405</f>
        <v>9.0832708777187747</v>
      </c>
      <c r="M405" s="197">
        <f>IF((H405)=0,"",(L405/H405))</f>
        <v>6.3508775917917329E-2</v>
      </c>
    </row>
    <row r="406" spans="1:13" ht="15.75" hidden="1" thickBot="1" x14ac:dyDescent="0.3">
      <c r="A406" s="100" t="str">
        <f t="shared" si="55"/>
        <v>SENTINEL LIGHTING SERVICE CLASSIFICATION</v>
      </c>
      <c r="B406" s="100" t="s">
        <v>180</v>
      </c>
      <c r="C406" s="117"/>
      <c r="D406" s="165"/>
      <c r="E406" s="166"/>
      <c r="F406" s="198"/>
      <c r="G406" s="199"/>
      <c r="H406" s="200"/>
      <c r="I406" s="198"/>
      <c r="J406" s="168"/>
      <c r="K406" s="200"/>
      <c r="L406" s="201"/>
      <c r="M406" s="172"/>
    </row>
    <row r="407" spans="1:13" hidden="1" x14ac:dyDescent="0.25">
      <c r="A407" s="100" t="str">
        <f t="shared" si="55"/>
        <v>SENTINEL LIGHTING SERVICE CLASSIFICATION</v>
      </c>
      <c r="B407" s="100" t="s">
        <v>121</v>
      </c>
      <c r="C407" s="117"/>
      <c r="D407" s="173" t="s">
        <v>190</v>
      </c>
      <c r="E407" s="158"/>
      <c r="F407" s="174"/>
      <c r="G407" s="175"/>
      <c r="H407" s="176">
        <f>SUM(H395,H387:H390,H386)</f>
        <v>126.569796</v>
      </c>
      <c r="I407" s="177"/>
      <c r="J407" s="177"/>
      <c r="K407" s="176">
        <f>SUM(K395,K387:K390,K386)</f>
        <v>134.60808881214052</v>
      </c>
      <c r="L407" s="178">
        <f>K407-H407</f>
        <v>8.0382928121405257</v>
      </c>
      <c r="M407" s="179">
        <f>IF((H407)=0,"",(L407/H407))</f>
        <v>6.3508775917917468E-2</v>
      </c>
    </row>
    <row r="408" spans="1:13" hidden="1" x14ac:dyDescent="0.25">
      <c r="A408" s="100" t="str">
        <f t="shared" si="55"/>
        <v>SENTINEL LIGHTING SERVICE CLASSIFICATION</v>
      </c>
      <c r="B408" s="100" t="s">
        <v>121</v>
      </c>
      <c r="C408" s="117"/>
      <c r="D408" s="180" t="s">
        <v>184</v>
      </c>
      <c r="E408" s="158"/>
      <c r="F408" s="174">
        <v>0.13</v>
      </c>
      <c r="G408" s="175"/>
      <c r="H408" s="182">
        <f>H407*F408</f>
        <v>16.454073480000002</v>
      </c>
      <c r="I408" s="174">
        <v>0.13</v>
      </c>
      <c r="J408" s="183"/>
      <c r="K408" s="182">
        <f>K407*I408</f>
        <v>17.499051545578268</v>
      </c>
      <c r="L408" s="184">
        <f>K408-H408</f>
        <v>1.0449780655782668</v>
      </c>
      <c r="M408" s="185">
        <f>IF((H408)=0,"",(L408/H408))</f>
        <v>6.3508775917917357E-2</v>
      </c>
    </row>
    <row r="409" spans="1:13" hidden="1" x14ac:dyDescent="0.25">
      <c r="A409" s="100" t="str">
        <f t="shared" si="55"/>
        <v>SENTINEL LIGHTING SERVICE CLASSIFICATION</v>
      </c>
      <c r="B409" s="100" t="s">
        <v>121</v>
      </c>
      <c r="C409" s="117"/>
      <c r="D409" s="180" t="s">
        <v>185</v>
      </c>
      <c r="E409" s="158"/>
      <c r="F409" s="174">
        <v>0.08</v>
      </c>
      <c r="G409" s="175"/>
      <c r="H409" s="182">
        <v>0</v>
      </c>
      <c r="I409" s="174">
        <v>0.08</v>
      </c>
      <c r="J409" s="183"/>
      <c r="K409" s="182">
        <v>0</v>
      </c>
      <c r="L409" s="184"/>
      <c r="M409" s="185"/>
    </row>
    <row r="410" spans="1:13" ht="15.75" hidden="1" thickBot="1" x14ac:dyDescent="0.3">
      <c r="A410" s="100" t="str">
        <f t="shared" si="55"/>
        <v>SENTINEL LIGHTING SERVICE CLASSIFICATION</v>
      </c>
      <c r="B410" s="100" t="s">
        <v>191</v>
      </c>
      <c r="C410" s="117"/>
      <c r="D410" s="301" t="s">
        <v>190</v>
      </c>
      <c r="E410" s="301"/>
      <c r="F410" s="193"/>
      <c r="G410" s="194"/>
      <c r="H410" s="188">
        <f>SUM(H407,H408)</f>
        <v>143.02386948</v>
      </c>
      <c r="I410" s="195"/>
      <c r="J410" s="195"/>
      <c r="K410" s="188">
        <f>SUM(K407,K408)</f>
        <v>152.10714035771878</v>
      </c>
      <c r="L410" s="196">
        <f>K410-H410</f>
        <v>9.0832708777187747</v>
      </c>
      <c r="M410" s="197">
        <f>IF((H410)=0,"",(L410/H410))</f>
        <v>6.3508775917917329E-2</v>
      </c>
    </row>
    <row r="411" spans="1:13" ht="15.75" thickBot="1" x14ac:dyDescent="0.3">
      <c r="A411" s="100" t="str">
        <f t="shared" si="55"/>
        <v>SENTINEL LIGHTING SERVICE CLASSIFICATION</v>
      </c>
      <c r="B411" s="100" t="s">
        <v>121</v>
      </c>
      <c r="C411" s="117"/>
      <c r="D411" s="165"/>
      <c r="E411" s="166"/>
      <c r="F411" s="202"/>
      <c r="G411" s="203"/>
      <c r="H411" s="204"/>
      <c r="I411" s="202"/>
      <c r="J411" s="205"/>
      <c r="K411" s="204"/>
      <c r="L411" s="206"/>
      <c r="M411" s="207"/>
    </row>
    <row r="414" spans="1:13" x14ac:dyDescent="0.25">
      <c r="C414" s="100"/>
      <c r="D414" s="101" t="s">
        <v>134</v>
      </c>
      <c r="E414" s="302" t="str">
        <f>D36</f>
        <v>STREET LIGHTING SERVICE CLASSIFICATION</v>
      </c>
      <c r="F414" s="302"/>
      <c r="G414" s="302"/>
      <c r="H414" s="302"/>
      <c r="I414" s="302"/>
      <c r="J414" s="302"/>
      <c r="K414" s="100" t="str">
        <f>IF(N36="DEMAND - INTERVAL","RTSR - INTERVAL METERED","")</f>
        <v/>
      </c>
    </row>
    <row r="415" spans="1:13" x14ac:dyDescent="0.25">
      <c r="C415" s="100"/>
      <c r="D415" s="101" t="s">
        <v>135</v>
      </c>
      <c r="E415" s="303" t="str">
        <f>H36</f>
        <v>Non-RPP (Other)</v>
      </c>
      <c r="F415" s="303"/>
      <c r="G415" s="303"/>
      <c r="H415" s="102"/>
      <c r="I415" s="102"/>
    </row>
    <row r="416" spans="1:13" ht="15.75" x14ac:dyDescent="0.25">
      <c r="C416" s="100"/>
      <c r="D416" s="101" t="s">
        <v>136</v>
      </c>
      <c r="E416" s="103">
        <f>K36</f>
        <v>94033.37</v>
      </c>
      <c r="F416" s="104" t="s">
        <v>137</v>
      </c>
      <c r="G416" s="105"/>
      <c r="J416" s="106"/>
      <c r="K416" s="106"/>
      <c r="L416" s="106"/>
      <c r="M416" s="106"/>
    </row>
    <row r="417" spans="1:13" ht="15.75" x14ac:dyDescent="0.25">
      <c r="C417" s="100"/>
      <c r="D417" s="101" t="s">
        <v>138</v>
      </c>
      <c r="E417" s="103">
        <f>L36</f>
        <v>251</v>
      </c>
      <c r="F417" s="107" t="s">
        <v>139</v>
      </c>
      <c r="G417" s="108"/>
      <c r="H417" s="109"/>
      <c r="I417" s="109"/>
      <c r="J417" s="109"/>
    </row>
    <row r="418" spans="1:13" x14ac:dyDescent="0.25">
      <c r="C418" s="100"/>
      <c r="D418" s="101" t="s">
        <v>140</v>
      </c>
      <c r="E418" s="110">
        <f>I36</f>
        <v>1.056</v>
      </c>
    </row>
    <row r="419" spans="1:13" x14ac:dyDescent="0.25">
      <c r="C419" s="100"/>
      <c r="D419" s="101" t="s">
        <v>141</v>
      </c>
      <c r="E419" s="110">
        <f>J36</f>
        <v>1.056</v>
      </c>
    </row>
    <row r="420" spans="1:13" x14ac:dyDescent="0.25">
      <c r="C420" s="100"/>
      <c r="D420" s="105"/>
    </row>
    <row r="421" spans="1:13" x14ac:dyDescent="0.25">
      <c r="C421" s="100"/>
      <c r="D421" s="105"/>
      <c r="E421" s="111"/>
      <c r="F421" s="304" t="s">
        <v>142</v>
      </c>
      <c r="G421" s="305"/>
      <c r="H421" s="306"/>
      <c r="I421" s="304" t="s">
        <v>143</v>
      </c>
      <c r="J421" s="305"/>
      <c r="K421" s="306"/>
      <c r="L421" s="304" t="s">
        <v>144</v>
      </c>
      <c r="M421" s="306"/>
    </row>
    <row r="422" spans="1:13" x14ac:dyDescent="0.25">
      <c r="C422" s="100"/>
      <c r="D422" s="105"/>
      <c r="E422" s="295"/>
      <c r="F422" s="112" t="s">
        <v>145</v>
      </c>
      <c r="G422" s="112" t="s">
        <v>146</v>
      </c>
      <c r="H422" s="113" t="s">
        <v>147</v>
      </c>
      <c r="I422" s="112" t="s">
        <v>145</v>
      </c>
      <c r="J422" s="114" t="s">
        <v>146</v>
      </c>
      <c r="K422" s="113" t="s">
        <v>147</v>
      </c>
      <c r="L422" s="297" t="s">
        <v>148</v>
      </c>
      <c r="M422" s="299" t="s">
        <v>149</v>
      </c>
    </row>
    <row r="423" spans="1:13" x14ac:dyDescent="0.25">
      <c r="C423" s="100"/>
      <c r="D423" s="105"/>
      <c r="E423" s="296"/>
      <c r="F423" s="115" t="s">
        <v>150</v>
      </c>
      <c r="G423" s="115"/>
      <c r="H423" s="116" t="s">
        <v>150</v>
      </c>
      <c r="I423" s="115" t="s">
        <v>150</v>
      </c>
      <c r="J423" s="116"/>
      <c r="K423" s="116" t="s">
        <v>150</v>
      </c>
      <c r="L423" s="298"/>
      <c r="M423" s="300"/>
    </row>
    <row r="424" spans="1:13" x14ac:dyDescent="0.25">
      <c r="A424" s="100" t="str">
        <f>$E414</f>
        <v>STREET LIGHTING SERVICE CLASSIFICATION</v>
      </c>
      <c r="C424" s="117"/>
      <c r="D424" s="118" t="s">
        <v>151</v>
      </c>
      <c r="E424" s="119"/>
      <c r="F424" s="120">
        <v>2.2999999999999998</v>
      </c>
      <c r="G424" s="121">
        <v>1</v>
      </c>
      <c r="H424" s="122">
        <f>G424*F424</f>
        <v>2.2999999999999998</v>
      </c>
      <c r="I424" s="123">
        <v>2.2999999999999998</v>
      </c>
      <c r="J424" s="124">
        <f>G424</f>
        <v>1</v>
      </c>
      <c r="K424" s="122">
        <f>J424*I424</f>
        <v>2.2999999999999998</v>
      </c>
      <c r="L424" s="125">
        <f t="shared" ref="L424:L445" si="60">K424-H424</f>
        <v>0</v>
      </c>
      <c r="M424" s="126">
        <f>IF(ISERROR(L424/H424), "", L424/H424)</f>
        <v>0</v>
      </c>
    </row>
    <row r="425" spans="1:13" x14ac:dyDescent="0.25">
      <c r="A425" s="100" t="str">
        <f>A424</f>
        <v>STREET LIGHTING SERVICE CLASSIFICATION</v>
      </c>
      <c r="C425" s="117"/>
      <c r="D425" s="118" t="s">
        <v>152</v>
      </c>
      <c r="E425" s="119"/>
      <c r="F425" s="127">
        <v>1.5523</v>
      </c>
      <c r="G425" s="121">
        <f>IF($E417&gt;0, $E417, $E416)</f>
        <v>251</v>
      </c>
      <c r="H425" s="122">
        <f t="shared" ref="H425:H437" si="61">G425*F425</f>
        <v>389.62729999999999</v>
      </c>
      <c r="I425" s="128">
        <v>1.5523</v>
      </c>
      <c r="J425" s="124">
        <f>IF($E417&gt;0, $E417, $E416)</f>
        <v>251</v>
      </c>
      <c r="K425" s="122">
        <f>J425*I425</f>
        <v>389.62729999999999</v>
      </c>
      <c r="L425" s="125">
        <f t="shared" si="60"/>
        <v>0</v>
      </c>
      <c r="M425" s="126">
        <f t="shared" ref="M425:M435" si="62">IF(ISERROR(L425/H425), "", L425/H425)</f>
        <v>0</v>
      </c>
    </row>
    <row r="426" spans="1:13" x14ac:dyDescent="0.25">
      <c r="A426" s="100" t="str">
        <f t="shared" ref="A426:A467" si="63">A425</f>
        <v>STREET LIGHTING SERVICE CLASSIFICATION</v>
      </c>
      <c r="C426" s="117"/>
      <c r="D426" s="118" t="s">
        <v>153</v>
      </c>
      <c r="E426" s="119"/>
      <c r="F426" s="127"/>
      <c r="G426" s="121"/>
      <c r="H426" s="122">
        <v>0</v>
      </c>
      <c r="I426" s="128"/>
      <c r="J426" s="124">
        <f>IF($E417&gt;0, $E417, $E416)</f>
        <v>251</v>
      </c>
      <c r="K426" s="122">
        <v>0</v>
      </c>
      <c r="L426" s="125"/>
      <c r="M426" s="126"/>
    </row>
    <row r="427" spans="1:13" x14ac:dyDescent="0.25">
      <c r="A427" s="100" t="str">
        <f t="shared" si="63"/>
        <v>STREET LIGHTING SERVICE CLASSIFICATION</v>
      </c>
      <c r="C427" s="117"/>
      <c r="D427" s="118" t="s">
        <v>154</v>
      </c>
      <c r="E427" s="119"/>
      <c r="F427" s="127"/>
      <c r="G427" s="121">
        <f>IF($E417&gt;0, $E417, $E416)</f>
        <v>251</v>
      </c>
      <c r="H427" s="122">
        <v>0</v>
      </c>
      <c r="I427" s="128"/>
      <c r="J427" s="121">
        <f>IF($E417&gt;0, $E417, $E416)</f>
        <v>251</v>
      </c>
      <c r="K427" s="122">
        <v>0</v>
      </c>
      <c r="L427" s="125">
        <f>K427-H427</f>
        <v>0</v>
      </c>
      <c r="M427" s="126" t="str">
        <f>IF(ISERROR(L427/H427), "", L427/H427)</f>
        <v/>
      </c>
    </row>
    <row r="428" spans="1:13" x14ac:dyDescent="0.25">
      <c r="A428" s="100" t="str">
        <f t="shared" si="63"/>
        <v>STREET LIGHTING SERVICE CLASSIFICATION</v>
      </c>
      <c r="C428" s="117"/>
      <c r="D428" s="129" t="s">
        <v>155</v>
      </c>
      <c r="E428" s="119"/>
      <c r="F428" s="120">
        <v>0</v>
      </c>
      <c r="G428" s="121">
        <v>1</v>
      </c>
      <c r="H428" s="122">
        <f t="shared" si="61"/>
        <v>0</v>
      </c>
      <c r="I428" s="226">
        <f>'Rate Riders'!O14</f>
        <v>0.40745065494045524</v>
      </c>
      <c r="J428" s="124">
        <f>G428</f>
        <v>1</v>
      </c>
      <c r="K428" s="122">
        <f t="shared" ref="K428:K435" si="64">J428*I428</f>
        <v>0.40745065494045524</v>
      </c>
      <c r="L428" s="125">
        <f t="shared" si="60"/>
        <v>0.40745065494045524</v>
      </c>
      <c r="M428" s="126" t="str">
        <f t="shared" si="62"/>
        <v/>
      </c>
    </row>
    <row r="429" spans="1:13" x14ac:dyDescent="0.25">
      <c r="A429" s="100" t="str">
        <f t="shared" si="63"/>
        <v>STREET LIGHTING SERVICE CLASSIFICATION</v>
      </c>
      <c r="C429" s="117"/>
      <c r="D429" s="118" t="s">
        <v>156</v>
      </c>
      <c r="E429" s="119"/>
      <c r="F429" s="127">
        <v>0</v>
      </c>
      <c r="G429" s="121">
        <f>IF($E417&gt;0, $E417, $E416)</f>
        <v>251</v>
      </c>
      <c r="H429" s="122">
        <f t="shared" si="61"/>
        <v>0</v>
      </c>
      <c r="I429" s="227">
        <f>'Rate Riders'!Q14</f>
        <v>0.27499376159307343</v>
      </c>
      <c r="J429" s="124">
        <f>IF($E417&gt;0, $E417, $E416)</f>
        <v>251</v>
      </c>
      <c r="K429" s="122">
        <f t="shared" si="64"/>
        <v>69.023434159861424</v>
      </c>
      <c r="L429" s="125">
        <f t="shared" si="60"/>
        <v>69.023434159861424</v>
      </c>
      <c r="M429" s="126" t="str">
        <f t="shared" si="62"/>
        <v/>
      </c>
    </row>
    <row r="430" spans="1:13" x14ac:dyDescent="0.25">
      <c r="A430" s="100" t="str">
        <f t="shared" si="63"/>
        <v>STREET LIGHTING SERVICE CLASSIFICATION</v>
      </c>
      <c r="B430" s="130" t="s">
        <v>157</v>
      </c>
      <c r="C430" s="117">
        <f>B36</f>
        <v>7</v>
      </c>
      <c r="D430" s="131" t="s">
        <v>158</v>
      </c>
      <c r="E430" s="132"/>
      <c r="F430" s="133"/>
      <c r="G430" s="134"/>
      <c r="H430" s="135">
        <f>SUM(H424:H429)</f>
        <v>391.9273</v>
      </c>
      <c r="I430" s="136"/>
      <c r="J430" s="137"/>
      <c r="K430" s="135">
        <f>SUM(K424:K429)</f>
        <v>461.35818481480192</v>
      </c>
      <c r="L430" s="138">
        <f t="shared" si="60"/>
        <v>69.430884814801914</v>
      </c>
      <c r="M430" s="139">
        <f>IF((H430)=0,"",(L430/H430))</f>
        <v>0.17715245866976329</v>
      </c>
    </row>
    <row r="431" spans="1:13" x14ac:dyDescent="0.25">
      <c r="A431" s="100" t="str">
        <f t="shared" si="63"/>
        <v>STREET LIGHTING SERVICE CLASSIFICATION</v>
      </c>
      <c r="C431" s="117"/>
      <c r="D431" s="140" t="s">
        <v>159</v>
      </c>
      <c r="E431" s="119"/>
      <c r="F431" s="127">
        <f>IF((E416*12&gt;=150000), 0, IF(E415="RPP",(F447*0.65+F448*0.17+F449*0.18),IF(E415="Non-RPP (Retailer)",F450,F451)))</f>
        <v>0</v>
      </c>
      <c r="G431" s="141">
        <f>IF(F431=0, 0, $E416*E418-E416)</f>
        <v>0</v>
      </c>
      <c r="H431" s="122">
        <f>G431*F431</f>
        <v>0</v>
      </c>
      <c r="I431" s="128">
        <v>0</v>
      </c>
      <c r="J431" s="141">
        <f>IF(I431=0, 0, E416*E419-E416)</f>
        <v>0</v>
      </c>
      <c r="K431" s="122">
        <f>J431*I431</f>
        <v>0</v>
      </c>
      <c r="L431" s="125">
        <f>K431-H431</f>
        <v>0</v>
      </c>
      <c r="M431" s="126" t="str">
        <f>IF(ISERROR(L431/H431), "", L431/H431)</f>
        <v/>
      </c>
    </row>
    <row r="432" spans="1:13" ht="25.5" x14ac:dyDescent="0.25">
      <c r="A432" s="100" t="str">
        <f t="shared" si="63"/>
        <v>STREET LIGHTING SERVICE CLASSIFICATION</v>
      </c>
      <c r="C432" s="117"/>
      <c r="D432" s="140" t="s">
        <v>160</v>
      </c>
      <c r="E432" s="119"/>
      <c r="F432" s="127">
        <v>-0.97850000000000004</v>
      </c>
      <c r="G432" s="142">
        <f>IF($E417&gt;0, $E417, $E416)</f>
        <v>251</v>
      </c>
      <c r="H432" s="122">
        <f t="shared" si="61"/>
        <v>-245.6035</v>
      </c>
      <c r="I432" s="128">
        <v>-0.97850000000000004</v>
      </c>
      <c r="J432" s="142">
        <f>IF($E417&gt;0, $E417, $E416)</f>
        <v>251</v>
      </c>
      <c r="K432" s="122">
        <f t="shared" si="64"/>
        <v>-245.6035</v>
      </c>
      <c r="L432" s="125">
        <f t="shared" si="60"/>
        <v>0</v>
      </c>
      <c r="M432" s="126">
        <f t="shared" si="62"/>
        <v>0</v>
      </c>
    </row>
    <row r="433" spans="1:13" x14ac:dyDescent="0.25">
      <c r="A433" s="100" t="str">
        <f t="shared" si="63"/>
        <v>STREET LIGHTING SERVICE CLASSIFICATION</v>
      </c>
      <c r="C433" s="117"/>
      <c r="D433" s="140" t="s">
        <v>161</v>
      </c>
      <c r="E433" s="119"/>
      <c r="F433" s="127">
        <v>-2.8500000000000001E-2</v>
      </c>
      <c r="G433" s="142">
        <f>IF($E417&gt;0, $E417, $E416)</f>
        <v>251</v>
      </c>
      <c r="H433" s="122">
        <f>G433*F433</f>
        <v>-7.1535000000000002</v>
      </c>
      <c r="I433" s="128">
        <v>-2.8500000000000001E-2</v>
      </c>
      <c r="J433" s="142">
        <f>IF($E417&gt;0, $E417, $E416)</f>
        <v>251</v>
      </c>
      <c r="K433" s="122">
        <f>J433*I433</f>
        <v>-7.1535000000000002</v>
      </c>
      <c r="L433" s="125">
        <f t="shared" si="60"/>
        <v>0</v>
      </c>
      <c r="M433" s="126">
        <f t="shared" si="62"/>
        <v>0</v>
      </c>
    </row>
    <row r="434" spans="1:13" x14ac:dyDescent="0.25">
      <c r="A434" s="100" t="str">
        <f t="shared" si="63"/>
        <v>STREET LIGHTING SERVICE CLASSIFICATION</v>
      </c>
      <c r="C434" s="117"/>
      <c r="D434" s="140" t="s">
        <v>162</v>
      </c>
      <c r="E434" s="119"/>
      <c r="F434" s="127">
        <v>-1E-3</v>
      </c>
      <c r="G434" s="142">
        <f>E416</f>
        <v>94033.37</v>
      </c>
      <c r="H434" s="122">
        <f>G434*F434</f>
        <v>-94.033369999999991</v>
      </c>
      <c r="I434" s="128">
        <v>-1E-3</v>
      </c>
      <c r="J434" s="142">
        <f>E416</f>
        <v>94033.37</v>
      </c>
      <c r="K434" s="122">
        <f t="shared" si="64"/>
        <v>-94.033369999999991</v>
      </c>
      <c r="L434" s="125">
        <f t="shared" si="60"/>
        <v>0</v>
      </c>
      <c r="M434" s="126">
        <f t="shared" si="62"/>
        <v>0</v>
      </c>
    </row>
    <row r="435" spans="1:13" x14ac:dyDescent="0.25">
      <c r="A435" s="100" t="str">
        <f t="shared" si="63"/>
        <v>STREET LIGHTING SERVICE CLASSIFICATION</v>
      </c>
      <c r="C435" s="117"/>
      <c r="D435" s="143" t="s">
        <v>163</v>
      </c>
      <c r="E435" s="119"/>
      <c r="F435" s="127">
        <v>0.73929999999999996</v>
      </c>
      <c r="G435" s="142">
        <f>IF($E417&gt;0, $E417, $E416)</f>
        <v>251</v>
      </c>
      <c r="H435" s="122">
        <f t="shared" si="61"/>
        <v>185.5643</v>
      </c>
      <c r="I435" s="128">
        <v>0.73929999999999996</v>
      </c>
      <c r="J435" s="142">
        <f>IF($E417&gt;0, $E417, $E416)</f>
        <v>251</v>
      </c>
      <c r="K435" s="122">
        <f t="shared" si="64"/>
        <v>185.5643</v>
      </c>
      <c r="L435" s="125">
        <f t="shared" si="60"/>
        <v>0</v>
      </c>
      <c r="M435" s="126">
        <f t="shared" si="62"/>
        <v>0</v>
      </c>
    </row>
    <row r="436" spans="1:13" ht="25.5" x14ac:dyDescent="0.25">
      <c r="A436" s="100" t="str">
        <f t="shared" si="63"/>
        <v>STREET LIGHTING SERVICE CLASSIFICATION</v>
      </c>
      <c r="C436" s="117"/>
      <c r="D436" s="144" t="s">
        <v>164</v>
      </c>
      <c r="E436" s="119"/>
      <c r="F436" s="145">
        <f>IF(OR(ISNUMBER(SEARCH("RESIDENTIAL", E414))=TRUE, ISNUMBER(SEARCH("GENERAL SERVICE LESS THAN 50", E414))=TRUE), SME, 0)</f>
        <v>0</v>
      </c>
      <c r="G436" s="121">
        <v>1</v>
      </c>
      <c r="H436" s="122">
        <f>G436*F436</f>
        <v>0</v>
      </c>
      <c r="I436" s="146">
        <v>0</v>
      </c>
      <c r="J436" s="121">
        <v>1</v>
      </c>
      <c r="K436" s="122">
        <f>J436*I436</f>
        <v>0</v>
      </c>
      <c r="L436" s="125">
        <f t="shared" si="60"/>
        <v>0</v>
      </c>
      <c r="M436" s="126" t="str">
        <f>IF(ISERROR(L436/H436), "", L436/H436)</f>
        <v/>
      </c>
    </row>
    <row r="437" spans="1:13" x14ac:dyDescent="0.25">
      <c r="A437" s="100" t="str">
        <f t="shared" si="63"/>
        <v>STREET LIGHTING SERVICE CLASSIFICATION</v>
      </c>
      <c r="C437" s="117"/>
      <c r="D437" s="143" t="s">
        <v>165</v>
      </c>
      <c r="E437" s="119"/>
      <c r="F437" s="120">
        <v>0</v>
      </c>
      <c r="G437" s="121">
        <v>1</v>
      </c>
      <c r="H437" s="122">
        <f t="shared" si="61"/>
        <v>0</v>
      </c>
      <c r="I437" s="123">
        <v>0</v>
      </c>
      <c r="J437" s="121">
        <v>1</v>
      </c>
      <c r="K437" s="122">
        <f>J437*I437</f>
        <v>0</v>
      </c>
      <c r="L437" s="125">
        <f>K437-H437</f>
        <v>0</v>
      </c>
      <c r="M437" s="126" t="str">
        <f>IF(ISERROR(L437/H437), "", L437/H437)</f>
        <v/>
      </c>
    </row>
    <row r="438" spans="1:13" x14ac:dyDescent="0.25">
      <c r="A438" s="100" t="str">
        <f t="shared" si="63"/>
        <v>STREET LIGHTING SERVICE CLASSIFICATION</v>
      </c>
      <c r="C438" s="117"/>
      <c r="D438" s="143" t="s">
        <v>166</v>
      </c>
      <c r="E438" s="119"/>
      <c r="F438" s="127"/>
      <c r="G438" s="142">
        <f>IF($E417&gt;0, $E417, $E416)</f>
        <v>251</v>
      </c>
      <c r="H438" s="122">
        <f>G438*F438</f>
        <v>0</v>
      </c>
      <c r="I438" s="128"/>
      <c r="J438" s="142">
        <f>IF($E417&gt;0, $E417, $E416)</f>
        <v>251</v>
      </c>
      <c r="K438" s="122">
        <f>J438*I438</f>
        <v>0</v>
      </c>
      <c r="L438" s="125">
        <f t="shared" si="60"/>
        <v>0</v>
      </c>
      <c r="M438" s="126" t="str">
        <f>IF(ISERROR(L438/H438), "", L438/H438)</f>
        <v/>
      </c>
    </row>
    <row r="439" spans="1:13" ht="25.5" x14ac:dyDescent="0.25">
      <c r="A439" s="100" t="str">
        <f t="shared" si="63"/>
        <v>STREET LIGHTING SERVICE CLASSIFICATION</v>
      </c>
      <c r="B439" s="105" t="s">
        <v>167</v>
      </c>
      <c r="C439" s="117">
        <f>B36</f>
        <v>7</v>
      </c>
      <c r="D439" s="147" t="s">
        <v>168</v>
      </c>
      <c r="E439" s="148"/>
      <c r="F439" s="149"/>
      <c r="G439" s="150"/>
      <c r="H439" s="151">
        <f>SUM(H430:H438)</f>
        <v>230.70123000000001</v>
      </c>
      <c r="I439" s="152"/>
      <c r="J439" s="153"/>
      <c r="K439" s="151">
        <f>SUM(K430:K438)</f>
        <v>300.13211481480192</v>
      </c>
      <c r="L439" s="138">
        <f t="shared" si="60"/>
        <v>69.430884814801914</v>
      </c>
      <c r="M439" s="139">
        <f>IF((H439)=0,"",(L439/H439))</f>
        <v>0.30095585019118409</v>
      </c>
    </row>
    <row r="440" spans="1:13" x14ac:dyDescent="0.25">
      <c r="A440" s="100" t="str">
        <f t="shared" si="63"/>
        <v>STREET LIGHTING SERVICE CLASSIFICATION</v>
      </c>
      <c r="C440" s="117"/>
      <c r="D440" s="154" t="s">
        <v>169</v>
      </c>
      <c r="E440" s="119"/>
      <c r="F440" s="127">
        <v>1.8616999999999999</v>
      </c>
      <c r="G440" s="141">
        <f>IF($E417&gt;0, $E417, $E416*$E418)</f>
        <v>251</v>
      </c>
      <c r="H440" s="122">
        <f>G440*F440</f>
        <v>467.2867</v>
      </c>
      <c r="I440" s="128">
        <v>1.8616999999999999</v>
      </c>
      <c r="J440" s="141">
        <f>IF($E417&gt;0, $E417, $E416*$E419)</f>
        <v>251</v>
      </c>
      <c r="K440" s="122">
        <f>J440*I440</f>
        <v>467.2867</v>
      </c>
      <c r="L440" s="125">
        <f t="shared" si="60"/>
        <v>0</v>
      </c>
      <c r="M440" s="126">
        <f>IF(ISERROR(L440/H440), "", L440/H440)</f>
        <v>0</v>
      </c>
    </row>
    <row r="441" spans="1:13" ht="25.5" x14ac:dyDescent="0.25">
      <c r="A441" s="100" t="str">
        <f t="shared" si="63"/>
        <v>STREET LIGHTING SERVICE CLASSIFICATION</v>
      </c>
      <c r="C441" s="117"/>
      <c r="D441" s="155" t="s">
        <v>170</v>
      </c>
      <c r="E441" s="119"/>
      <c r="F441" s="127">
        <v>1.5617000000000001</v>
      </c>
      <c r="G441" s="141">
        <f>IF($E417&gt;0, $E417, $E416*$E418)</f>
        <v>251</v>
      </c>
      <c r="H441" s="122">
        <f>G441*F441</f>
        <v>391.98670000000004</v>
      </c>
      <c r="I441" s="128">
        <v>1.5617000000000001</v>
      </c>
      <c r="J441" s="141">
        <f>IF($E417&gt;0, $E417, $E416*$E419)</f>
        <v>251</v>
      </c>
      <c r="K441" s="122">
        <f>J441*I441</f>
        <v>391.98670000000004</v>
      </c>
      <c r="L441" s="125">
        <f t="shared" si="60"/>
        <v>0</v>
      </c>
      <c r="M441" s="126">
        <f>IF(ISERROR(L441/H441), "", L441/H441)</f>
        <v>0</v>
      </c>
    </row>
    <row r="442" spans="1:13" ht="25.5" x14ac:dyDescent="0.25">
      <c r="A442" s="100" t="str">
        <f t="shared" si="63"/>
        <v>STREET LIGHTING SERVICE CLASSIFICATION</v>
      </c>
      <c r="B442" s="105" t="s">
        <v>171</v>
      </c>
      <c r="C442" s="117">
        <f>B36</f>
        <v>7</v>
      </c>
      <c r="D442" s="147" t="s">
        <v>172</v>
      </c>
      <c r="E442" s="132"/>
      <c r="F442" s="149"/>
      <c r="G442" s="150"/>
      <c r="H442" s="151">
        <f>SUM(H439:H441)</f>
        <v>1089.9746300000002</v>
      </c>
      <c r="I442" s="152"/>
      <c r="J442" s="137"/>
      <c r="K442" s="151">
        <f>SUM(K439:K441)</f>
        <v>1159.4055148148018</v>
      </c>
      <c r="L442" s="138">
        <f t="shared" si="60"/>
        <v>69.43088481480163</v>
      </c>
      <c r="M442" s="139">
        <f>IF((H442)=0,"",(L442/H442))</f>
        <v>6.3699542084572763E-2</v>
      </c>
    </row>
    <row r="443" spans="1:13" ht="25.5" x14ac:dyDescent="0.25">
      <c r="A443" s="100" t="str">
        <f t="shared" si="63"/>
        <v>STREET LIGHTING SERVICE CLASSIFICATION</v>
      </c>
      <c r="C443" s="117"/>
      <c r="D443" s="156" t="s">
        <v>173</v>
      </c>
      <c r="E443" s="119"/>
      <c r="F443" s="127">
        <v>3.6000000000000003E-3</v>
      </c>
      <c r="G443" s="141">
        <f>E416*E418</f>
        <v>99299.238719999994</v>
      </c>
      <c r="H443" s="157">
        <f t="shared" ref="H443:H449" si="65">G443*F443</f>
        <v>357.47725939200001</v>
      </c>
      <c r="I443" s="128">
        <v>3.6000000000000003E-3</v>
      </c>
      <c r="J443" s="141">
        <f>E416*E419</f>
        <v>99299.238719999994</v>
      </c>
      <c r="K443" s="157">
        <f t="shared" ref="K443:K449" si="66">J443*I443</f>
        <v>357.47725939200001</v>
      </c>
      <c r="L443" s="125">
        <f t="shared" si="60"/>
        <v>0</v>
      </c>
      <c r="M443" s="126">
        <f t="shared" ref="M443:M451" si="67">IF(ISERROR(L443/H443), "", L443/H443)</f>
        <v>0</v>
      </c>
    </row>
    <row r="444" spans="1:13" ht="25.5" x14ac:dyDescent="0.25">
      <c r="A444" s="100" t="str">
        <f t="shared" si="63"/>
        <v>STREET LIGHTING SERVICE CLASSIFICATION</v>
      </c>
      <c r="C444" s="117"/>
      <c r="D444" s="156" t="s">
        <v>174</v>
      </c>
      <c r="E444" s="119"/>
      <c r="F444" s="127">
        <f>'[1]17. Regulatory Charges'!$D$16</f>
        <v>2.9999999999999997E-4</v>
      </c>
      <c r="G444" s="141">
        <f>E416*E418</f>
        <v>99299.238719999994</v>
      </c>
      <c r="H444" s="157">
        <f t="shared" si="65"/>
        <v>29.789771615999996</v>
      </c>
      <c r="I444" s="128">
        <v>2.9999999999999997E-4</v>
      </c>
      <c r="J444" s="141">
        <f>E416*E419</f>
        <v>99299.238719999994</v>
      </c>
      <c r="K444" s="157">
        <f t="shared" si="66"/>
        <v>29.789771615999996</v>
      </c>
      <c r="L444" s="125">
        <f t="shared" si="60"/>
        <v>0</v>
      </c>
      <c r="M444" s="126">
        <f t="shared" si="67"/>
        <v>0</v>
      </c>
    </row>
    <row r="445" spans="1:13" x14ac:dyDescent="0.25">
      <c r="A445" s="100" t="str">
        <f t="shared" si="63"/>
        <v>STREET LIGHTING SERVICE CLASSIFICATION</v>
      </c>
      <c r="C445" s="117"/>
      <c r="D445" s="158" t="s">
        <v>175</v>
      </c>
      <c r="E445" s="119"/>
      <c r="F445" s="145">
        <v>0.25</v>
      </c>
      <c r="G445" s="121">
        <v>1</v>
      </c>
      <c r="H445" s="157">
        <f t="shared" si="65"/>
        <v>0.25</v>
      </c>
      <c r="I445" s="146">
        <v>0.25</v>
      </c>
      <c r="J445" s="124">
        <v>1</v>
      </c>
      <c r="K445" s="157">
        <f t="shared" si="66"/>
        <v>0.25</v>
      </c>
      <c r="L445" s="125">
        <f t="shared" si="60"/>
        <v>0</v>
      </c>
      <c r="M445" s="126">
        <f t="shared" si="67"/>
        <v>0</v>
      </c>
    </row>
    <row r="446" spans="1:13" ht="25.5" x14ac:dyDescent="0.25">
      <c r="A446" s="100" t="str">
        <f t="shared" si="63"/>
        <v>STREET LIGHTING SERVICE CLASSIFICATION</v>
      </c>
      <c r="C446" s="117"/>
      <c r="D446" s="156" t="s">
        <v>176</v>
      </c>
      <c r="E446" s="119"/>
      <c r="F446" s="127"/>
      <c r="G446" s="141"/>
      <c r="H446" s="157"/>
      <c r="I446" s="128"/>
      <c r="J446" s="141"/>
      <c r="K446" s="157"/>
      <c r="L446" s="125"/>
      <c r="M446" s="126"/>
    </row>
    <row r="447" spans="1:13" hidden="1" x14ac:dyDescent="0.25">
      <c r="A447" s="100" t="str">
        <f t="shared" si="63"/>
        <v>STREET LIGHTING SERVICE CLASSIFICATION</v>
      </c>
      <c r="B447" s="105" t="s">
        <v>117</v>
      </c>
      <c r="C447" s="117"/>
      <c r="D447" s="159" t="s">
        <v>177</v>
      </c>
      <c r="E447" s="119"/>
      <c r="F447" s="160">
        <f>OffPeak</f>
        <v>6.5000000000000002E-2</v>
      </c>
      <c r="G447" s="161">
        <f>IF(AND(E416*12&gt;=150000),0.65*E416*E418,0.65*E416)</f>
        <v>64544.505168000003</v>
      </c>
      <c r="H447" s="157">
        <f t="shared" si="65"/>
        <v>4195.3928359199999</v>
      </c>
      <c r="I447" s="162">
        <v>6.5000000000000002E-2</v>
      </c>
      <c r="J447" s="161">
        <f>IF(AND(E416*12&gt;=150000),0.65*E416*E419,0.65*E416)</f>
        <v>64544.505168000003</v>
      </c>
      <c r="K447" s="157">
        <f t="shared" si="66"/>
        <v>4195.3928359199999</v>
      </c>
      <c r="L447" s="125">
        <f>K447-H447</f>
        <v>0</v>
      </c>
      <c r="M447" s="126">
        <f t="shared" si="67"/>
        <v>0</v>
      </c>
    </row>
    <row r="448" spans="1:13" hidden="1" x14ac:dyDescent="0.25">
      <c r="A448" s="100" t="str">
        <f t="shared" si="63"/>
        <v>STREET LIGHTING SERVICE CLASSIFICATION</v>
      </c>
      <c r="B448" s="105" t="s">
        <v>117</v>
      </c>
      <c r="C448" s="117"/>
      <c r="D448" s="159" t="s">
        <v>178</v>
      </c>
      <c r="E448" s="119"/>
      <c r="F448" s="160">
        <f>MidPeak</f>
        <v>9.4E-2</v>
      </c>
      <c r="G448" s="161">
        <f>IF(AND(E416*12&gt;=150000),0.17*E416*E418,0.17*E416)</f>
        <v>16880.870582399999</v>
      </c>
      <c r="H448" s="157">
        <f t="shared" si="65"/>
        <v>1586.8018347456</v>
      </c>
      <c r="I448" s="162">
        <v>9.4E-2</v>
      </c>
      <c r="J448" s="161">
        <f>IF(AND(E416*12&gt;=150000),0.17*E416*E419,0.17*E416)</f>
        <v>16880.870582399999</v>
      </c>
      <c r="K448" s="157">
        <f t="shared" si="66"/>
        <v>1586.8018347456</v>
      </c>
      <c r="L448" s="125">
        <f>K448-H448</f>
        <v>0</v>
      </c>
      <c r="M448" s="126">
        <f t="shared" si="67"/>
        <v>0</v>
      </c>
    </row>
    <row r="449" spans="1:13" hidden="1" x14ac:dyDescent="0.25">
      <c r="A449" s="100" t="str">
        <f t="shared" si="63"/>
        <v>STREET LIGHTING SERVICE CLASSIFICATION</v>
      </c>
      <c r="B449" s="105" t="s">
        <v>117</v>
      </c>
      <c r="C449" s="117"/>
      <c r="D449" s="105" t="s">
        <v>179</v>
      </c>
      <c r="E449" s="119"/>
      <c r="F449" s="160">
        <f>OnPeak</f>
        <v>0.13200000000000001</v>
      </c>
      <c r="G449" s="161">
        <f>IF(AND(E416*12&gt;=150000),0.18*E416*E418,0.18*E416)</f>
        <v>17873.862969599999</v>
      </c>
      <c r="H449" s="157">
        <f t="shared" si="65"/>
        <v>2359.3499119871999</v>
      </c>
      <c r="I449" s="162">
        <v>0.13200000000000001</v>
      </c>
      <c r="J449" s="161">
        <f>IF(AND(E416*12&gt;=150000),0.18*E416*E419,0.18*E416)</f>
        <v>17873.862969599999</v>
      </c>
      <c r="K449" s="157">
        <f t="shared" si="66"/>
        <v>2359.3499119871999</v>
      </c>
      <c r="L449" s="125">
        <f>K449-H449</f>
        <v>0</v>
      </c>
      <c r="M449" s="126">
        <f t="shared" si="67"/>
        <v>0</v>
      </c>
    </row>
    <row r="450" spans="1:13" hidden="1" x14ac:dyDescent="0.25">
      <c r="A450" s="100" t="str">
        <f t="shared" si="63"/>
        <v>STREET LIGHTING SERVICE CLASSIFICATION</v>
      </c>
      <c r="B450" s="100" t="s">
        <v>180</v>
      </c>
      <c r="C450" s="117"/>
      <c r="D450" s="159" t="s">
        <v>181</v>
      </c>
      <c r="E450" s="119"/>
      <c r="F450" s="163">
        <v>0.1101</v>
      </c>
      <c r="G450" s="161">
        <f>IF(AND(E416*12&gt;=150000),E416*E418,E416)</f>
        <v>99299.238719999994</v>
      </c>
      <c r="H450" s="157">
        <f>G450*F450</f>
        <v>10932.846183071999</v>
      </c>
      <c r="I450" s="164">
        <v>0.1101</v>
      </c>
      <c r="J450" s="161">
        <f>IF(AND(E416*12&gt;=150000),E416*E419,E416)</f>
        <v>99299.238719999994</v>
      </c>
      <c r="K450" s="157">
        <f>J450*I450</f>
        <v>10932.846183071999</v>
      </c>
      <c r="L450" s="125">
        <f>K450-H450</f>
        <v>0</v>
      </c>
      <c r="M450" s="126">
        <f t="shared" si="67"/>
        <v>0</v>
      </c>
    </row>
    <row r="451" spans="1:13" ht="15.75" thickBot="1" x14ac:dyDescent="0.3">
      <c r="A451" s="100" t="str">
        <f t="shared" si="63"/>
        <v>STREET LIGHTING SERVICE CLASSIFICATION</v>
      </c>
      <c r="B451" s="100" t="s">
        <v>121</v>
      </c>
      <c r="C451" s="117"/>
      <c r="D451" s="159" t="s">
        <v>182</v>
      </c>
      <c r="E451" s="119"/>
      <c r="F451" s="163">
        <v>0.1101</v>
      </c>
      <c r="G451" s="161">
        <f>IF(AND(E416*12&gt;=150000),E416*E418,E416)</f>
        <v>99299.238719999994</v>
      </c>
      <c r="H451" s="157">
        <f>G451*F451</f>
        <v>10932.846183071999</v>
      </c>
      <c r="I451" s="164">
        <v>0.1101</v>
      </c>
      <c r="J451" s="161">
        <f>IF(AND(E416*12&gt;=150000),E416*E419,E416)</f>
        <v>99299.238719999994</v>
      </c>
      <c r="K451" s="157">
        <f>J451*I451</f>
        <v>10932.846183071999</v>
      </c>
      <c r="L451" s="125">
        <f>K451-H451</f>
        <v>0</v>
      </c>
      <c r="M451" s="126">
        <f t="shared" si="67"/>
        <v>0</v>
      </c>
    </row>
    <row r="452" spans="1:13" ht="15.75" thickBot="1" x14ac:dyDescent="0.3">
      <c r="A452" s="100" t="str">
        <f t="shared" si="63"/>
        <v>STREET LIGHTING SERVICE CLASSIFICATION</v>
      </c>
      <c r="B452" s="105"/>
      <c r="C452" s="117"/>
      <c r="D452" s="165"/>
      <c r="E452" s="166"/>
      <c r="F452" s="167"/>
      <c r="G452" s="168"/>
      <c r="H452" s="169"/>
      <c r="I452" s="167"/>
      <c r="J452" s="170"/>
      <c r="K452" s="169"/>
      <c r="L452" s="171"/>
      <c r="M452" s="172"/>
    </row>
    <row r="453" spans="1:13" hidden="1" x14ac:dyDescent="0.25">
      <c r="A453" s="100" t="str">
        <f t="shared" si="63"/>
        <v>STREET LIGHTING SERVICE CLASSIFICATION</v>
      </c>
      <c r="B453" s="105" t="s">
        <v>117</v>
      </c>
      <c r="C453" s="117"/>
      <c r="D453" s="173" t="s">
        <v>183</v>
      </c>
      <c r="E453" s="158"/>
      <c r="F453" s="174"/>
      <c r="G453" s="175"/>
      <c r="H453" s="176">
        <f>SUM(H443:H449,H442)</f>
        <v>9619.0362436608011</v>
      </c>
      <c r="I453" s="177"/>
      <c r="J453" s="177"/>
      <c r="K453" s="176">
        <f>SUM(K443:K449,K442)</f>
        <v>9688.4671284756023</v>
      </c>
      <c r="L453" s="178">
        <f>K453-H453</f>
        <v>69.430884814801175</v>
      </c>
      <c r="M453" s="179">
        <f>IF((H453)=0,"",(L453/H453))</f>
        <v>7.2180708187431939E-3</v>
      </c>
    </row>
    <row r="454" spans="1:13" hidden="1" x14ac:dyDescent="0.25">
      <c r="A454" s="100" t="str">
        <f t="shared" si="63"/>
        <v>STREET LIGHTING SERVICE CLASSIFICATION</v>
      </c>
      <c r="B454" s="105" t="s">
        <v>117</v>
      </c>
      <c r="C454" s="117"/>
      <c r="D454" s="180" t="s">
        <v>184</v>
      </c>
      <c r="E454" s="158"/>
      <c r="F454" s="174">
        <v>0.13</v>
      </c>
      <c r="G454" s="181"/>
      <c r="H454" s="182">
        <f>H453*F454</f>
        <v>1250.4747116759042</v>
      </c>
      <c r="I454" s="183">
        <v>0.13</v>
      </c>
      <c r="J454" s="121"/>
      <c r="K454" s="182">
        <f>K453*I454</f>
        <v>1259.5007267018284</v>
      </c>
      <c r="L454" s="184">
        <f>K454-H454</f>
        <v>9.0260150259241527</v>
      </c>
      <c r="M454" s="185">
        <f>IF((H454)=0,"",(L454/H454))</f>
        <v>7.2180708187431931E-3</v>
      </c>
    </row>
    <row r="455" spans="1:13" hidden="1" x14ac:dyDescent="0.25">
      <c r="A455" s="100" t="str">
        <f t="shared" si="63"/>
        <v>STREET LIGHTING SERVICE CLASSIFICATION</v>
      </c>
      <c r="B455" s="105" t="s">
        <v>117</v>
      </c>
      <c r="C455" s="117"/>
      <c r="D455" s="180" t="s">
        <v>185</v>
      </c>
      <c r="E455" s="158"/>
      <c r="F455" s="174">
        <v>0.08</v>
      </c>
      <c r="G455" s="181"/>
      <c r="H455" s="182">
        <v>0</v>
      </c>
      <c r="I455" s="174">
        <v>0.08</v>
      </c>
      <c r="J455" s="121"/>
      <c r="K455" s="182">
        <v>0</v>
      </c>
      <c r="L455" s="184">
        <f>K455-H455</f>
        <v>0</v>
      </c>
      <c r="M455" s="185"/>
    </row>
    <row r="456" spans="1:13" ht="15.75" hidden="1" thickBot="1" x14ac:dyDescent="0.3">
      <c r="A456" s="100" t="str">
        <f t="shared" si="63"/>
        <v>STREET LIGHTING SERVICE CLASSIFICATION</v>
      </c>
      <c r="B456" s="105" t="s">
        <v>186</v>
      </c>
      <c r="C456" s="117"/>
      <c r="D456" s="301" t="s">
        <v>187</v>
      </c>
      <c r="E456" s="301"/>
      <c r="F456" s="186"/>
      <c r="G456" s="187"/>
      <c r="H456" s="188">
        <f>H453+H454+H455</f>
        <v>10869.510955336706</v>
      </c>
      <c r="I456" s="189"/>
      <c r="J456" s="189"/>
      <c r="K456" s="190">
        <f>K453+K454+K455</f>
        <v>10947.96785517743</v>
      </c>
      <c r="L456" s="191">
        <f>K456-H456</f>
        <v>78.456899840724873</v>
      </c>
      <c r="M456" s="192">
        <f>IF((H456)=0,"",(L456/H456))</f>
        <v>7.2180708187431514E-3</v>
      </c>
    </row>
    <row r="457" spans="1:13" ht="15.75" hidden="1" thickBot="1" x14ac:dyDescent="0.3">
      <c r="A457" s="100" t="str">
        <f t="shared" si="63"/>
        <v>STREET LIGHTING SERVICE CLASSIFICATION</v>
      </c>
      <c r="B457" s="100" t="s">
        <v>117</v>
      </c>
      <c r="C457" s="117"/>
      <c r="D457" s="165"/>
      <c r="E457" s="166"/>
      <c r="F457" s="167"/>
      <c r="G457" s="168"/>
      <c r="H457" s="169"/>
      <c r="I457" s="167"/>
      <c r="J457" s="170"/>
      <c r="K457" s="169"/>
      <c r="L457" s="171"/>
      <c r="M457" s="172"/>
    </row>
    <row r="458" spans="1:13" hidden="1" x14ac:dyDescent="0.25">
      <c r="A458" s="100" t="str">
        <f t="shared" si="63"/>
        <v>STREET LIGHTING SERVICE CLASSIFICATION</v>
      </c>
      <c r="B458" s="100" t="s">
        <v>180</v>
      </c>
      <c r="C458" s="117"/>
      <c r="D458" s="173" t="s">
        <v>188</v>
      </c>
      <c r="E458" s="158"/>
      <c r="F458" s="174"/>
      <c r="G458" s="175"/>
      <c r="H458" s="176">
        <f>SUM(H450,H443:H446,H442)</f>
        <v>12410.337844080001</v>
      </c>
      <c r="I458" s="177"/>
      <c r="J458" s="177"/>
      <c r="K458" s="176">
        <f>SUM(K450,K443:K446,K442)</f>
        <v>12479.768728894802</v>
      </c>
      <c r="L458" s="178">
        <f>K458-H458</f>
        <v>69.430884814801175</v>
      </c>
      <c r="M458" s="179">
        <f>IF((H458)=0,"",(L458/H458))</f>
        <v>5.5946007020204695E-3</v>
      </c>
    </row>
    <row r="459" spans="1:13" hidden="1" x14ac:dyDescent="0.25">
      <c r="A459" s="100" t="str">
        <f t="shared" si="63"/>
        <v>STREET LIGHTING SERVICE CLASSIFICATION</v>
      </c>
      <c r="B459" s="100" t="s">
        <v>180</v>
      </c>
      <c r="C459" s="117"/>
      <c r="D459" s="180" t="s">
        <v>184</v>
      </c>
      <c r="E459" s="158"/>
      <c r="F459" s="174">
        <v>0.13</v>
      </c>
      <c r="G459" s="175"/>
      <c r="H459" s="182">
        <f>H458*F459</f>
        <v>1613.3439197304001</v>
      </c>
      <c r="I459" s="174">
        <v>0.13</v>
      </c>
      <c r="J459" s="183"/>
      <c r="K459" s="182">
        <f>K458*I459</f>
        <v>1622.3699347563243</v>
      </c>
      <c r="L459" s="184">
        <f>K459-H459</f>
        <v>9.0260150259241527</v>
      </c>
      <c r="M459" s="185">
        <f>IF((H459)=0,"",(L459/H459))</f>
        <v>5.5946007020204695E-3</v>
      </c>
    </row>
    <row r="460" spans="1:13" hidden="1" x14ac:dyDescent="0.25">
      <c r="A460" s="100" t="str">
        <f t="shared" si="63"/>
        <v>STREET LIGHTING SERVICE CLASSIFICATION</v>
      </c>
      <c r="B460" s="100" t="s">
        <v>180</v>
      </c>
      <c r="C460" s="117"/>
      <c r="D460" s="180" t="s">
        <v>185</v>
      </c>
      <c r="E460" s="158"/>
      <c r="F460" s="174">
        <v>0.08</v>
      </c>
      <c r="G460" s="175"/>
      <c r="H460" s="182">
        <v>0</v>
      </c>
      <c r="I460" s="174">
        <v>0.08</v>
      </c>
      <c r="J460" s="183"/>
      <c r="K460" s="182">
        <v>0</v>
      </c>
      <c r="L460" s="184"/>
      <c r="M460" s="185"/>
    </row>
    <row r="461" spans="1:13" ht="15.75" hidden="1" thickBot="1" x14ac:dyDescent="0.3">
      <c r="A461" s="100" t="str">
        <f t="shared" si="63"/>
        <v>STREET LIGHTING SERVICE CLASSIFICATION</v>
      </c>
      <c r="B461" s="100" t="s">
        <v>189</v>
      </c>
      <c r="C461" s="117"/>
      <c r="D461" s="301" t="s">
        <v>188</v>
      </c>
      <c r="E461" s="301"/>
      <c r="F461" s="193"/>
      <c r="G461" s="194"/>
      <c r="H461" s="188">
        <f>SUM(H458,H459)</f>
        <v>14023.6817638104</v>
      </c>
      <c r="I461" s="195"/>
      <c r="J461" s="195"/>
      <c r="K461" s="188">
        <f>SUM(K458,K459)</f>
        <v>14102.138663651127</v>
      </c>
      <c r="L461" s="196">
        <f>K461-H461</f>
        <v>78.456899840726692</v>
      </c>
      <c r="M461" s="197">
        <f>IF((H461)=0,"",(L461/H461))</f>
        <v>5.5946007020205675E-3</v>
      </c>
    </row>
    <row r="462" spans="1:13" ht="15.75" hidden="1" thickBot="1" x14ac:dyDescent="0.3">
      <c r="A462" s="100" t="str">
        <f t="shared" si="63"/>
        <v>STREET LIGHTING SERVICE CLASSIFICATION</v>
      </c>
      <c r="B462" s="100" t="s">
        <v>180</v>
      </c>
      <c r="C462" s="117"/>
      <c r="D462" s="165"/>
      <c r="E462" s="166"/>
      <c r="F462" s="198"/>
      <c r="G462" s="199"/>
      <c r="H462" s="200"/>
      <c r="I462" s="198"/>
      <c r="J462" s="168"/>
      <c r="K462" s="200"/>
      <c r="L462" s="201"/>
      <c r="M462" s="172"/>
    </row>
    <row r="463" spans="1:13" x14ac:dyDescent="0.25">
      <c r="A463" s="100" t="str">
        <f t="shared" si="63"/>
        <v>STREET LIGHTING SERVICE CLASSIFICATION</v>
      </c>
      <c r="B463" s="100" t="s">
        <v>121</v>
      </c>
      <c r="C463" s="117"/>
      <c r="D463" s="173" t="s">
        <v>190</v>
      </c>
      <c r="E463" s="158"/>
      <c r="F463" s="174"/>
      <c r="G463" s="175"/>
      <c r="H463" s="176">
        <f>SUM(H451,H443:H446,H442)</f>
        <v>12410.337844080001</v>
      </c>
      <c r="I463" s="177"/>
      <c r="J463" s="177"/>
      <c r="K463" s="176">
        <f>SUM(K451,K443:K446,K442)</f>
        <v>12479.768728894802</v>
      </c>
      <c r="L463" s="178">
        <f>K463-H463</f>
        <v>69.430884814801175</v>
      </c>
      <c r="M463" s="179">
        <f>IF((H463)=0,"",(L463/H463))</f>
        <v>5.5946007020204695E-3</v>
      </c>
    </row>
    <row r="464" spans="1:13" x14ac:dyDescent="0.25">
      <c r="A464" s="100" t="str">
        <f t="shared" si="63"/>
        <v>STREET LIGHTING SERVICE CLASSIFICATION</v>
      </c>
      <c r="B464" s="100" t="s">
        <v>121</v>
      </c>
      <c r="C464" s="117"/>
      <c r="D464" s="180" t="s">
        <v>184</v>
      </c>
      <c r="E464" s="158"/>
      <c r="F464" s="174">
        <v>0.13</v>
      </c>
      <c r="G464" s="175"/>
      <c r="H464" s="182">
        <f>H463*F464</f>
        <v>1613.3439197304001</v>
      </c>
      <c r="I464" s="174">
        <v>0.13</v>
      </c>
      <c r="J464" s="183"/>
      <c r="K464" s="182">
        <f>K463*I464</f>
        <v>1622.3699347563243</v>
      </c>
      <c r="L464" s="184">
        <f>K464-H464</f>
        <v>9.0260150259241527</v>
      </c>
      <c r="M464" s="185">
        <f>IF((H464)=0,"",(L464/H464))</f>
        <v>5.5946007020204695E-3</v>
      </c>
    </row>
    <row r="465" spans="1:13" x14ac:dyDescent="0.25">
      <c r="A465" s="100" t="str">
        <f t="shared" si="63"/>
        <v>STREET LIGHTING SERVICE CLASSIFICATION</v>
      </c>
      <c r="B465" s="100" t="s">
        <v>121</v>
      </c>
      <c r="C465" s="117"/>
      <c r="D465" s="180" t="s">
        <v>185</v>
      </c>
      <c r="E465" s="158"/>
      <c r="F465" s="174">
        <v>0.08</v>
      </c>
      <c r="G465" s="175"/>
      <c r="H465" s="182">
        <v>0</v>
      </c>
      <c r="I465" s="174">
        <v>0.08</v>
      </c>
      <c r="J465" s="183"/>
      <c r="K465" s="182">
        <v>0</v>
      </c>
      <c r="L465" s="184"/>
      <c r="M465" s="185"/>
    </row>
    <row r="466" spans="1:13" ht="15.75" thickBot="1" x14ac:dyDescent="0.3">
      <c r="A466" s="100" t="str">
        <f t="shared" si="63"/>
        <v>STREET LIGHTING SERVICE CLASSIFICATION</v>
      </c>
      <c r="B466" s="100" t="s">
        <v>191</v>
      </c>
      <c r="C466" s="117">
        <f>B36</f>
        <v>7</v>
      </c>
      <c r="D466" s="301" t="s">
        <v>190</v>
      </c>
      <c r="E466" s="301"/>
      <c r="F466" s="193"/>
      <c r="G466" s="194"/>
      <c r="H466" s="188">
        <f>SUM(H463,H464)</f>
        <v>14023.6817638104</v>
      </c>
      <c r="I466" s="195"/>
      <c r="J466" s="195"/>
      <c r="K466" s="188">
        <f>SUM(K463,K464)</f>
        <v>14102.138663651127</v>
      </c>
      <c r="L466" s="196">
        <f>K466-H466</f>
        <v>78.456899840726692</v>
      </c>
      <c r="M466" s="197">
        <f>IF((H466)=0,"",(L466/H466))</f>
        <v>5.5946007020205675E-3</v>
      </c>
    </row>
    <row r="467" spans="1:13" ht="15.75" thickBot="1" x14ac:dyDescent="0.3">
      <c r="A467" s="100" t="str">
        <f t="shared" si="63"/>
        <v>STREET LIGHTING SERVICE CLASSIFICATION</v>
      </c>
      <c r="B467" s="100" t="s">
        <v>121</v>
      </c>
      <c r="C467" s="117"/>
      <c r="D467" s="165"/>
      <c r="E467" s="166"/>
      <c r="F467" s="202"/>
      <c r="G467" s="203"/>
      <c r="H467" s="204"/>
      <c r="I467" s="202"/>
      <c r="J467" s="205"/>
      <c r="K467" s="204"/>
      <c r="L467" s="206"/>
      <c r="M467" s="207"/>
    </row>
    <row r="470" spans="1:13" x14ac:dyDescent="0.25">
      <c r="C470" s="100"/>
      <c r="D470" s="101" t="s">
        <v>134</v>
      </c>
      <c r="E470" s="302" t="str">
        <f>D37</f>
        <v>RESIDENTIAL SERVICE CLASSIFICATION</v>
      </c>
      <c r="F470" s="302"/>
      <c r="G470" s="302"/>
      <c r="H470" s="302"/>
      <c r="I470" s="302"/>
      <c r="J470" s="302"/>
      <c r="K470" s="100" t="str">
        <f>IF(N37="DEMAND - INTERVAL","RTSR - INTERVAL METERED","")</f>
        <v/>
      </c>
    </row>
    <row r="471" spans="1:13" x14ac:dyDescent="0.25">
      <c r="C471" s="100"/>
      <c r="D471" s="101" t="s">
        <v>135</v>
      </c>
      <c r="E471" s="303" t="str">
        <f>H37</f>
        <v>RPP</v>
      </c>
      <c r="F471" s="303"/>
      <c r="G471" s="303"/>
      <c r="H471" s="102"/>
      <c r="I471" s="102"/>
    </row>
    <row r="472" spans="1:13" ht="15.75" x14ac:dyDescent="0.25">
      <c r="C472" s="100"/>
      <c r="D472" s="101" t="s">
        <v>136</v>
      </c>
      <c r="E472" s="103">
        <f>K37</f>
        <v>342</v>
      </c>
      <c r="F472" s="104" t="s">
        <v>137</v>
      </c>
      <c r="G472" s="105"/>
      <c r="J472" s="106"/>
      <c r="K472" s="106"/>
      <c r="L472" s="106"/>
      <c r="M472" s="106"/>
    </row>
    <row r="473" spans="1:13" ht="15.75" x14ac:dyDescent="0.25">
      <c r="C473" s="100"/>
      <c r="D473" s="101" t="s">
        <v>138</v>
      </c>
      <c r="E473" s="103">
        <f>L37</f>
        <v>0</v>
      </c>
      <c r="F473" s="107" t="s">
        <v>139</v>
      </c>
      <c r="G473" s="108"/>
      <c r="H473" s="109"/>
      <c r="I473" s="109"/>
      <c r="J473" s="109"/>
    </row>
    <row r="474" spans="1:13" x14ac:dyDescent="0.25">
      <c r="C474" s="100"/>
      <c r="D474" s="101" t="s">
        <v>140</v>
      </c>
      <c r="E474" s="110">
        <f>I37</f>
        <v>1.056</v>
      </c>
    </row>
    <row r="475" spans="1:13" x14ac:dyDescent="0.25">
      <c r="C475" s="100"/>
      <c r="D475" s="101" t="s">
        <v>141</v>
      </c>
      <c r="E475" s="110">
        <f>J37</f>
        <v>1.056</v>
      </c>
    </row>
    <row r="476" spans="1:13" x14ac:dyDescent="0.25">
      <c r="C476" s="100"/>
      <c r="D476" s="105"/>
    </row>
    <row r="477" spans="1:13" x14ac:dyDescent="0.25">
      <c r="C477" s="100"/>
      <c r="D477" s="105"/>
      <c r="E477" s="111"/>
      <c r="F477" s="304" t="s">
        <v>142</v>
      </c>
      <c r="G477" s="305"/>
      <c r="H477" s="306"/>
      <c r="I477" s="304" t="s">
        <v>143</v>
      </c>
      <c r="J477" s="305"/>
      <c r="K477" s="306"/>
      <c r="L477" s="304" t="s">
        <v>144</v>
      </c>
      <c r="M477" s="306"/>
    </row>
    <row r="478" spans="1:13" x14ac:dyDescent="0.25">
      <c r="C478" s="100"/>
      <c r="D478" s="105"/>
      <c r="E478" s="295"/>
      <c r="F478" s="112" t="s">
        <v>145</v>
      </c>
      <c r="G478" s="112" t="s">
        <v>146</v>
      </c>
      <c r="H478" s="113" t="s">
        <v>147</v>
      </c>
      <c r="I478" s="112" t="s">
        <v>145</v>
      </c>
      <c r="J478" s="114" t="s">
        <v>146</v>
      </c>
      <c r="K478" s="113" t="s">
        <v>147</v>
      </c>
      <c r="L478" s="297" t="s">
        <v>148</v>
      </c>
      <c r="M478" s="299" t="s">
        <v>149</v>
      </c>
    </row>
    <row r="479" spans="1:13" x14ac:dyDescent="0.25">
      <c r="C479" s="100"/>
      <c r="D479" s="105"/>
      <c r="E479" s="296"/>
      <c r="F479" s="115" t="s">
        <v>150</v>
      </c>
      <c r="G479" s="115"/>
      <c r="H479" s="116" t="s">
        <v>150</v>
      </c>
      <c r="I479" s="115" t="s">
        <v>150</v>
      </c>
      <c r="J479" s="116"/>
      <c r="K479" s="116" t="s">
        <v>150</v>
      </c>
      <c r="L479" s="298"/>
      <c r="M479" s="300"/>
    </row>
    <row r="480" spans="1:13" x14ac:dyDescent="0.25">
      <c r="A480" s="100" t="str">
        <f>$E470</f>
        <v>RESIDENTIAL SERVICE CLASSIFICATION</v>
      </c>
      <c r="C480" s="117"/>
      <c r="D480" s="118" t="s">
        <v>151</v>
      </c>
      <c r="E480" s="119"/>
      <c r="F480" s="120">
        <v>23.48</v>
      </c>
      <c r="G480" s="121">
        <v>1</v>
      </c>
      <c r="H480" s="122">
        <f>G480*F480</f>
        <v>23.48</v>
      </c>
      <c r="I480" s="123">
        <v>23.48</v>
      </c>
      <c r="J480" s="124">
        <f>G480</f>
        <v>1</v>
      </c>
      <c r="K480" s="122">
        <f>J480*I480</f>
        <v>23.48</v>
      </c>
      <c r="L480" s="125">
        <f t="shared" ref="L480:L501" si="68">K480-H480</f>
        <v>0</v>
      </c>
      <c r="M480" s="126">
        <f>IF(ISERROR(L480/H480), "", L480/H480)</f>
        <v>0</v>
      </c>
    </row>
    <row r="481" spans="1:13" x14ac:dyDescent="0.25">
      <c r="A481" s="100" t="str">
        <f>A480</f>
        <v>RESIDENTIAL SERVICE CLASSIFICATION</v>
      </c>
      <c r="C481" s="117"/>
      <c r="D481" s="118" t="s">
        <v>152</v>
      </c>
      <c r="E481" s="119"/>
      <c r="F481" s="127">
        <v>3.3999999999999998E-3</v>
      </c>
      <c r="G481" s="121">
        <f>IF($E473&gt;0, $E473, $E472)</f>
        <v>342</v>
      </c>
      <c r="H481" s="122">
        <f t="shared" ref="H481:H493" si="69">G481*F481</f>
        <v>1.1627999999999998</v>
      </c>
      <c r="I481" s="128">
        <v>3.3999999999999998E-3</v>
      </c>
      <c r="J481" s="124">
        <f>IF($E473&gt;0, $E473, $E472)</f>
        <v>342</v>
      </c>
      <c r="K481" s="122">
        <f>J481*I481</f>
        <v>1.1627999999999998</v>
      </c>
      <c r="L481" s="125">
        <f t="shared" si="68"/>
        <v>0</v>
      </c>
      <c r="M481" s="126">
        <f t="shared" ref="M481:M491" si="70">IF(ISERROR(L481/H481), "", L481/H481)</f>
        <v>0</v>
      </c>
    </row>
    <row r="482" spans="1:13" x14ac:dyDescent="0.25">
      <c r="A482" s="100" t="str">
        <f t="shared" ref="A482:A523" si="71">A481</f>
        <v>RESIDENTIAL SERVICE CLASSIFICATION</v>
      </c>
      <c r="C482" s="117"/>
      <c r="D482" s="118" t="s">
        <v>153</v>
      </c>
      <c r="E482" s="119"/>
      <c r="F482" s="127"/>
      <c r="G482" s="121">
        <f>IF($E473&gt;0, $E473, $E472)</f>
        <v>342</v>
      </c>
      <c r="H482" s="122">
        <v>0</v>
      </c>
      <c r="I482" s="128"/>
      <c r="J482" s="124">
        <f>IF($E473&gt;0, $E473, $E472)</f>
        <v>342</v>
      </c>
      <c r="K482" s="122">
        <v>0</v>
      </c>
      <c r="L482" s="125"/>
      <c r="M482" s="126"/>
    </row>
    <row r="483" spans="1:13" x14ac:dyDescent="0.25">
      <c r="A483" s="100" t="str">
        <f t="shared" si="71"/>
        <v>RESIDENTIAL SERVICE CLASSIFICATION</v>
      </c>
      <c r="C483" s="117"/>
      <c r="D483" s="118" t="s">
        <v>154</v>
      </c>
      <c r="E483" s="119"/>
      <c r="F483" s="127"/>
      <c r="G483" s="121">
        <f>IF($E473&gt;0, $E473, $E472)</f>
        <v>342</v>
      </c>
      <c r="H483" s="122">
        <v>0</v>
      </c>
      <c r="I483" s="128"/>
      <c r="J483" s="121">
        <f>IF($E473&gt;0, $E473, $E472)</f>
        <v>342</v>
      </c>
      <c r="K483" s="122">
        <v>0</v>
      </c>
      <c r="L483" s="125">
        <f>K483-H483</f>
        <v>0</v>
      </c>
      <c r="M483" s="126" t="str">
        <f>IF(ISERROR(L483/H483), "", L483/H483)</f>
        <v/>
      </c>
    </row>
    <row r="484" spans="1:13" x14ac:dyDescent="0.25">
      <c r="A484" s="100" t="str">
        <f t="shared" si="71"/>
        <v>RESIDENTIAL SERVICE CLASSIFICATION</v>
      </c>
      <c r="C484" s="117"/>
      <c r="D484" s="129" t="s">
        <v>155</v>
      </c>
      <c r="E484" s="119"/>
      <c r="F484" s="120">
        <v>0</v>
      </c>
      <c r="G484" s="121">
        <v>1</v>
      </c>
      <c r="H484" s="122">
        <f t="shared" si="69"/>
        <v>0</v>
      </c>
      <c r="I484" s="226">
        <f>'Rate Riders'!O8</f>
        <v>4.6409135104517185</v>
      </c>
      <c r="J484" s="124">
        <f>G484</f>
        <v>1</v>
      </c>
      <c r="K484" s="122">
        <f t="shared" ref="K484:K491" si="72">J484*I484</f>
        <v>4.6409135104517185</v>
      </c>
      <c r="L484" s="125">
        <f t="shared" si="68"/>
        <v>4.6409135104517185</v>
      </c>
      <c r="M484" s="126" t="str">
        <f t="shared" si="70"/>
        <v/>
      </c>
    </row>
    <row r="485" spans="1:13" x14ac:dyDescent="0.25">
      <c r="A485" s="100" t="str">
        <f t="shared" si="71"/>
        <v>RESIDENTIAL SERVICE CLASSIFICATION</v>
      </c>
      <c r="C485" s="117"/>
      <c r="D485" s="118" t="s">
        <v>156</v>
      </c>
      <c r="E485" s="119"/>
      <c r="F485" s="127">
        <v>0</v>
      </c>
      <c r="G485" s="121">
        <f>IF($E473&gt;0, $E473, $E472)</f>
        <v>342</v>
      </c>
      <c r="H485" s="122">
        <f t="shared" si="69"/>
        <v>0</v>
      </c>
      <c r="I485" s="227">
        <v>0</v>
      </c>
      <c r="J485" s="124">
        <f>IF($E473&gt;0, $E473, $E472)</f>
        <v>342</v>
      </c>
      <c r="K485" s="122">
        <f t="shared" si="72"/>
        <v>0</v>
      </c>
      <c r="L485" s="125">
        <f t="shared" si="68"/>
        <v>0</v>
      </c>
      <c r="M485" s="126" t="str">
        <f t="shared" si="70"/>
        <v/>
      </c>
    </row>
    <row r="486" spans="1:13" x14ac:dyDescent="0.25">
      <c r="A486" s="100" t="str">
        <f t="shared" si="71"/>
        <v>RESIDENTIAL SERVICE CLASSIFICATION</v>
      </c>
      <c r="B486" s="130" t="s">
        <v>157</v>
      </c>
      <c r="C486" s="117">
        <f>B37</f>
        <v>8</v>
      </c>
      <c r="D486" s="131" t="s">
        <v>158</v>
      </c>
      <c r="E486" s="132"/>
      <c r="F486" s="133"/>
      <c r="G486" s="134"/>
      <c r="H486" s="135">
        <f>SUM(H480:H485)</f>
        <v>24.642800000000001</v>
      </c>
      <c r="I486" s="136"/>
      <c r="J486" s="137"/>
      <c r="K486" s="135">
        <f>SUM(K480:K485)</f>
        <v>29.283713510451719</v>
      </c>
      <c r="L486" s="138">
        <f t="shared" si="68"/>
        <v>4.6409135104517176</v>
      </c>
      <c r="M486" s="139">
        <f>IF((H486)=0,"",(L486/H486))</f>
        <v>0.18832736176293755</v>
      </c>
    </row>
    <row r="487" spans="1:13" x14ac:dyDescent="0.25">
      <c r="A487" s="100" t="str">
        <f t="shared" si="71"/>
        <v>RESIDENTIAL SERVICE CLASSIFICATION</v>
      </c>
      <c r="C487" s="117"/>
      <c r="D487" s="140" t="s">
        <v>159</v>
      </c>
      <c r="E487" s="119"/>
      <c r="F487" s="127">
        <f>IF((E472*12&gt;=150000), 0, IF(E471="RPP",(F503*0.65+F504*0.17+F505*0.18),IF(E471="Non-RPP (Retailer)",F506,F507)))</f>
        <v>8.1990000000000007E-2</v>
      </c>
      <c r="G487" s="141">
        <f>IF(F487=0, 0, $E472*E474-E472)</f>
        <v>19.152000000000044</v>
      </c>
      <c r="H487" s="122">
        <f>G487*F487</f>
        <v>1.5702724800000036</v>
      </c>
      <c r="I487" s="128">
        <v>8.1990000000000007E-2</v>
      </c>
      <c r="J487" s="141">
        <f>IF(I487=0, 0, E472*E475-E472)</f>
        <v>19.152000000000044</v>
      </c>
      <c r="K487" s="122">
        <f>J487*I487</f>
        <v>1.5702724800000036</v>
      </c>
      <c r="L487" s="125">
        <f>K487-H487</f>
        <v>0</v>
      </c>
      <c r="M487" s="126">
        <f>IF(ISERROR(L487/H487), "", L487/H487)</f>
        <v>0</v>
      </c>
    </row>
    <row r="488" spans="1:13" ht="25.5" x14ac:dyDescent="0.25">
      <c r="A488" s="100" t="str">
        <f t="shared" si="71"/>
        <v>RESIDENTIAL SERVICE CLASSIFICATION</v>
      </c>
      <c r="C488" s="117"/>
      <c r="D488" s="140" t="s">
        <v>160</v>
      </c>
      <c r="E488" s="119"/>
      <c r="F488" s="127">
        <v>-1.4E-3</v>
      </c>
      <c r="G488" s="142">
        <f>IF($E473&gt;0, $E473, $E472)</f>
        <v>342</v>
      </c>
      <c r="H488" s="122">
        <f t="shared" si="69"/>
        <v>-0.4788</v>
      </c>
      <c r="I488" s="128">
        <v>-1.4E-3</v>
      </c>
      <c r="J488" s="142">
        <f>IF($E473&gt;0, $E473, $E472)</f>
        <v>342</v>
      </c>
      <c r="K488" s="122">
        <f t="shared" si="72"/>
        <v>-0.4788</v>
      </c>
      <c r="L488" s="125">
        <f t="shared" si="68"/>
        <v>0</v>
      </c>
      <c r="M488" s="126">
        <f t="shared" si="70"/>
        <v>0</v>
      </c>
    </row>
    <row r="489" spans="1:13" x14ac:dyDescent="0.25">
      <c r="A489" s="100" t="str">
        <f t="shared" si="71"/>
        <v>RESIDENTIAL SERVICE CLASSIFICATION</v>
      </c>
      <c r="C489" s="117"/>
      <c r="D489" s="140" t="s">
        <v>161</v>
      </c>
      <c r="E489" s="119"/>
      <c r="F489" s="127">
        <v>-1E-4</v>
      </c>
      <c r="G489" s="142">
        <f>IF($E473&gt;0, $E473, $E472)</f>
        <v>342</v>
      </c>
      <c r="H489" s="122">
        <f>G489*F489</f>
        <v>-3.4200000000000001E-2</v>
      </c>
      <c r="I489" s="128">
        <v>-1E-4</v>
      </c>
      <c r="J489" s="142">
        <f>IF($E473&gt;0, $E473, $E472)</f>
        <v>342</v>
      </c>
      <c r="K489" s="122">
        <f>J489*I489</f>
        <v>-3.4200000000000001E-2</v>
      </c>
      <c r="L489" s="125">
        <f t="shared" si="68"/>
        <v>0</v>
      </c>
      <c r="M489" s="126">
        <f t="shared" si="70"/>
        <v>0</v>
      </c>
    </row>
    <row r="490" spans="1:13" x14ac:dyDescent="0.25">
      <c r="A490" s="100" t="str">
        <f t="shared" si="71"/>
        <v>RESIDENTIAL SERVICE CLASSIFICATION</v>
      </c>
      <c r="C490" s="117"/>
      <c r="D490" s="140" t="s">
        <v>162</v>
      </c>
      <c r="E490" s="119"/>
      <c r="F490" s="127">
        <v>0</v>
      </c>
      <c r="G490" s="142">
        <f>E472</f>
        <v>342</v>
      </c>
      <c r="H490" s="122">
        <f>G490*F490</f>
        <v>0</v>
      </c>
      <c r="I490" s="128">
        <v>0</v>
      </c>
      <c r="J490" s="142">
        <f>E472</f>
        <v>342</v>
      </c>
      <c r="K490" s="122">
        <f t="shared" si="72"/>
        <v>0</v>
      </c>
      <c r="L490" s="125">
        <f t="shared" si="68"/>
        <v>0</v>
      </c>
      <c r="M490" s="126" t="str">
        <f t="shared" si="70"/>
        <v/>
      </c>
    </row>
    <row r="491" spans="1:13" x14ac:dyDescent="0.25">
      <c r="A491" s="100" t="str">
        <f t="shared" si="71"/>
        <v>RESIDENTIAL SERVICE CLASSIFICATION</v>
      </c>
      <c r="C491" s="117"/>
      <c r="D491" s="143" t="s">
        <v>163</v>
      </c>
      <c r="E491" s="119"/>
      <c r="F491" s="127">
        <v>2.5999999999999999E-3</v>
      </c>
      <c r="G491" s="142">
        <f>IF($E473&gt;0, $E473, $E472)</f>
        <v>342</v>
      </c>
      <c r="H491" s="122">
        <f t="shared" si="69"/>
        <v>0.88919999999999999</v>
      </c>
      <c r="I491" s="128">
        <v>2.5999999999999999E-3</v>
      </c>
      <c r="J491" s="142">
        <f>IF($E473&gt;0, $E473, $E472)</f>
        <v>342</v>
      </c>
      <c r="K491" s="122">
        <f t="shared" si="72"/>
        <v>0.88919999999999999</v>
      </c>
      <c r="L491" s="125">
        <f t="shared" si="68"/>
        <v>0</v>
      </c>
      <c r="M491" s="126">
        <f t="shared" si="70"/>
        <v>0</v>
      </c>
    </row>
    <row r="492" spans="1:13" ht="25.5" x14ac:dyDescent="0.25">
      <c r="A492" s="100" t="str">
        <f t="shared" si="71"/>
        <v>RESIDENTIAL SERVICE CLASSIFICATION</v>
      </c>
      <c r="C492" s="117"/>
      <c r="D492" s="144" t="s">
        <v>164</v>
      </c>
      <c r="E492" s="119"/>
      <c r="F492" s="145">
        <f>IF(OR(ISNUMBER(SEARCH("RESIDENTIAL", E470))=TRUE, ISNUMBER(SEARCH("GENERAL SERVICE LESS THAN 50", E470))=TRUE), SME, 0)</f>
        <v>0.56999999999999995</v>
      </c>
      <c r="G492" s="121">
        <v>1</v>
      </c>
      <c r="H492" s="122">
        <f>G492*F492</f>
        <v>0.56999999999999995</v>
      </c>
      <c r="I492" s="146">
        <v>0.56999999999999995</v>
      </c>
      <c r="J492" s="121">
        <v>1</v>
      </c>
      <c r="K492" s="122">
        <f>J492*I492</f>
        <v>0.56999999999999995</v>
      </c>
      <c r="L492" s="125">
        <f t="shared" si="68"/>
        <v>0</v>
      </c>
      <c r="M492" s="126">
        <f>IF(ISERROR(L492/H492), "", L492/H492)</f>
        <v>0</v>
      </c>
    </row>
    <row r="493" spans="1:13" x14ac:dyDescent="0.25">
      <c r="A493" s="100" t="str">
        <f t="shared" si="71"/>
        <v>RESIDENTIAL SERVICE CLASSIFICATION</v>
      </c>
      <c r="C493" s="117"/>
      <c r="D493" s="143" t="s">
        <v>165</v>
      </c>
      <c r="E493" s="119"/>
      <c r="F493" s="120">
        <v>0</v>
      </c>
      <c r="G493" s="121">
        <v>1</v>
      </c>
      <c r="H493" s="122">
        <f t="shared" si="69"/>
        <v>0</v>
      </c>
      <c r="I493" s="123">
        <v>0</v>
      </c>
      <c r="J493" s="121">
        <v>1</v>
      </c>
      <c r="K493" s="122">
        <f>J493*I493</f>
        <v>0</v>
      </c>
      <c r="L493" s="125">
        <f>K493-H493</f>
        <v>0</v>
      </c>
      <c r="M493" s="126" t="str">
        <f>IF(ISERROR(L493/H493), "", L493/H493)</f>
        <v/>
      </c>
    </row>
    <row r="494" spans="1:13" x14ac:dyDescent="0.25">
      <c r="A494" s="100" t="str">
        <f t="shared" si="71"/>
        <v>RESIDENTIAL SERVICE CLASSIFICATION</v>
      </c>
      <c r="C494" s="117"/>
      <c r="D494" s="143" t="s">
        <v>166</v>
      </c>
      <c r="E494" s="119"/>
      <c r="F494" s="127"/>
      <c r="G494" s="142">
        <f>IF($E473&gt;0, $E473, $E472)</f>
        <v>342</v>
      </c>
      <c r="H494" s="122">
        <f>G494*F494</f>
        <v>0</v>
      </c>
      <c r="I494" s="128"/>
      <c r="J494" s="142">
        <f>IF($E473&gt;0, $E473, $E472)</f>
        <v>342</v>
      </c>
      <c r="K494" s="122">
        <f>J494*I494</f>
        <v>0</v>
      </c>
      <c r="L494" s="125">
        <f t="shared" si="68"/>
        <v>0</v>
      </c>
      <c r="M494" s="126" t="str">
        <f>IF(ISERROR(L494/H494), "", L494/H494)</f>
        <v/>
      </c>
    </row>
    <row r="495" spans="1:13" ht="25.5" x14ac:dyDescent="0.25">
      <c r="A495" s="100" t="str">
        <f t="shared" si="71"/>
        <v>RESIDENTIAL SERVICE CLASSIFICATION</v>
      </c>
      <c r="B495" s="105" t="s">
        <v>167</v>
      </c>
      <c r="C495" s="117">
        <f>B37</f>
        <v>8</v>
      </c>
      <c r="D495" s="147" t="s">
        <v>168</v>
      </c>
      <c r="E495" s="148"/>
      <c r="F495" s="149"/>
      <c r="G495" s="150"/>
      <c r="H495" s="151">
        <f>SUM(H486:H494)</f>
        <v>27.159272480000006</v>
      </c>
      <c r="I495" s="152"/>
      <c r="J495" s="153"/>
      <c r="K495" s="151">
        <f>SUM(K486:K494)</f>
        <v>31.800185990451723</v>
      </c>
      <c r="L495" s="138">
        <f t="shared" si="68"/>
        <v>4.6409135104517176</v>
      </c>
      <c r="M495" s="139">
        <f>IF((H495)=0,"",(L495/H495))</f>
        <v>0.17087768142056348</v>
      </c>
    </row>
    <row r="496" spans="1:13" x14ac:dyDescent="0.25">
      <c r="A496" s="100" t="str">
        <f t="shared" si="71"/>
        <v>RESIDENTIAL SERVICE CLASSIFICATION</v>
      </c>
      <c r="C496" s="117"/>
      <c r="D496" s="154" t="s">
        <v>169</v>
      </c>
      <c r="E496" s="119"/>
      <c r="F496" s="127">
        <v>6.7999999999999996E-3</v>
      </c>
      <c r="G496" s="141">
        <f>IF($E473&gt;0, $E473, $E472*$E474)</f>
        <v>361.15200000000004</v>
      </c>
      <c r="H496" s="122">
        <f>G496*F496</f>
        <v>2.4558336000000001</v>
      </c>
      <c r="I496" s="128">
        <v>6.7999999999999996E-3</v>
      </c>
      <c r="J496" s="141">
        <f>IF($E473&gt;0, $E473, $E472*$E475)</f>
        <v>361.15200000000004</v>
      </c>
      <c r="K496" s="122">
        <f>J496*I496</f>
        <v>2.4558336000000001</v>
      </c>
      <c r="L496" s="125">
        <f t="shared" si="68"/>
        <v>0</v>
      </c>
      <c r="M496" s="126">
        <f>IF(ISERROR(L496/H496), "", L496/H496)</f>
        <v>0</v>
      </c>
    </row>
    <row r="497" spans="1:13" ht="25.5" x14ac:dyDescent="0.25">
      <c r="A497" s="100" t="str">
        <f t="shared" si="71"/>
        <v>RESIDENTIAL SERVICE CLASSIFICATION</v>
      </c>
      <c r="C497" s="117"/>
      <c r="D497" s="155" t="s">
        <v>170</v>
      </c>
      <c r="E497" s="119"/>
      <c r="F497" s="127">
        <v>5.5999999999999999E-3</v>
      </c>
      <c r="G497" s="141">
        <f>IF($E473&gt;0, $E473, $E472*$E474)</f>
        <v>361.15200000000004</v>
      </c>
      <c r="H497" s="122">
        <f>G497*F497</f>
        <v>2.0224512000000003</v>
      </c>
      <c r="I497" s="128">
        <v>5.5999999999999999E-3</v>
      </c>
      <c r="J497" s="141">
        <f>IF($E473&gt;0, $E473, $E472*$E475)</f>
        <v>361.15200000000004</v>
      </c>
      <c r="K497" s="122">
        <f>J497*I497</f>
        <v>2.0224512000000003</v>
      </c>
      <c r="L497" s="125">
        <f t="shared" si="68"/>
        <v>0</v>
      </c>
      <c r="M497" s="126">
        <f>IF(ISERROR(L497/H497), "", L497/H497)</f>
        <v>0</v>
      </c>
    </row>
    <row r="498" spans="1:13" ht="25.5" x14ac:dyDescent="0.25">
      <c r="A498" s="100" t="str">
        <f t="shared" si="71"/>
        <v>RESIDENTIAL SERVICE CLASSIFICATION</v>
      </c>
      <c r="B498" s="105" t="s">
        <v>171</v>
      </c>
      <c r="C498" s="117">
        <f>B37</f>
        <v>8</v>
      </c>
      <c r="D498" s="147" t="s">
        <v>172</v>
      </c>
      <c r="E498" s="132"/>
      <c r="F498" s="149"/>
      <c r="G498" s="150"/>
      <c r="H498" s="151">
        <f>SUM(H495:H497)</f>
        <v>31.637557280000003</v>
      </c>
      <c r="I498" s="152"/>
      <c r="J498" s="137"/>
      <c r="K498" s="151">
        <f>SUM(K495:K497)</f>
        <v>36.278470790451721</v>
      </c>
      <c r="L498" s="138">
        <f t="shared" si="68"/>
        <v>4.6409135104517176</v>
      </c>
      <c r="M498" s="139">
        <f>IF((H498)=0,"",(L498/H498))</f>
        <v>0.14669000736619819</v>
      </c>
    </row>
    <row r="499" spans="1:13" ht="25.5" x14ac:dyDescent="0.25">
      <c r="A499" s="100" t="str">
        <f t="shared" si="71"/>
        <v>RESIDENTIAL SERVICE CLASSIFICATION</v>
      </c>
      <c r="C499" s="117"/>
      <c r="D499" s="156" t="s">
        <v>173</v>
      </c>
      <c r="E499" s="119"/>
      <c r="F499" s="127">
        <v>3.6000000000000003E-3</v>
      </c>
      <c r="G499" s="141">
        <f>E472*E474</f>
        <v>361.15200000000004</v>
      </c>
      <c r="H499" s="157">
        <f t="shared" ref="H499:H505" si="73">G499*F499</f>
        <v>1.3001472000000003</v>
      </c>
      <c r="I499" s="128">
        <v>3.6000000000000003E-3</v>
      </c>
      <c r="J499" s="141">
        <f>E472*E475</f>
        <v>361.15200000000004</v>
      </c>
      <c r="K499" s="157">
        <f t="shared" ref="K499:K505" si="74">J499*I499</f>
        <v>1.3001472000000003</v>
      </c>
      <c r="L499" s="125">
        <f t="shared" si="68"/>
        <v>0</v>
      </c>
      <c r="M499" s="126">
        <f t="shared" ref="M499:M507" si="75">IF(ISERROR(L499/H499), "", L499/H499)</f>
        <v>0</v>
      </c>
    </row>
    <row r="500" spans="1:13" ht="25.5" x14ac:dyDescent="0.25">
      <c r="A500" s="100" t="str">
        <f t="shared" si="71"/>
        <v>RESIDENTIAL SERVICE CLASSIFICATION</v>
      </c>
      <c r="C500" s="117"/>
      <c r="D500" s="156" t="s">
        <v>174</v>
      </c>
      <c r="E500" s="119"/>
      <c r="F500" s="127">
        <f>'[1]17. Regulatory Charges'!$D$16</f>
        <v>2.9999999999999997E-4</v>
      </c>
      <c r="G500" s="141">
        <f>E472*E474</f>
        <v>361.15200000000004</v>
      </c>
      <c r="H500" s="157">
        <f t="shared" si="73"/>
        <v>0.1083456</v>
      </c>
      <c r="I500" s="128">
        <v>2.9999999999999997E-4</v>
      </c>
      <c r="J500" s="141">
        <f>E472*E475</f>
        <v>361.15200000000004</v>
      </c>
      <c r="K500" s="157">
        <f t="shared" si="74"/>
        <v>0.1083456</v>
      </c>
      <c r="L500" s="125">
        <f t="shared" si="68"/>
        <v>0</v>
      </c>
      <c r="M500" s="126">
        <f t="shared" si="75"/>
        <v>0</v>
      </c>
    </row>
    <row r="501" spans="1:13" x14ac:dyDescent="0.25">
      <c r="A501" s="100" t="str">
        <f t="shared" si="71"/>
        <v>RESIDENTIAL SERVICE CLASSIFICATION</v>
      </c>
      <c r="C501" s="117"/>
      <c r="D501" s="158" t="s">
        <v>175</v>
      </c>
      <c r="E501" s="119"/>
      <c r="F501" s="145">
        <v>0.25</v>
      </c>
      <c r="G501" s="121">
        <v>1</v>
      </c>
      <c r="H501" s="157">
        <f t="shared" si="73"/>
        <v>0.25</v>
      </c>
      <c r="I501" s="146">
        <v>0.25</v>
      </c>
      <c r="J501" s="124">
        <v>1</v>
      </c>
      <c r="K501" s="157">
        <f t="shared" si="74"/>
        <v>0.25</v>
      </c>
      <c r="L501" s="125">
        <f t="shared" si="68"/>
        <v>0</v>
      </c>
      <c r="M501" s="126">
        <f t="shared" si="75"/>
        <v>0</v>
      </c>
    </row>
    <row r="502" spans="1:13" ht="25.5" x14ac:dyDescent="0.25">
      <c r="A502" s="100" t="str">
        <f t="shared" si="71"/>
        <v>RESIDENTIAL SERVICE CLASSIFICATION</v>
      </c>
      <c r="C502" s="117"/>
      <c r="D502" s="156" t="s">
        <v>176</v>
      </c>
      <c r="E502" s="119"/>
      <c r="F502" s="127"/>
      <c r="G502" s="141"/>
      <c r="H502" s="157"/>
      <c r="I502" s="128"/>
      <c r="J502" s="141"/>
      <c r="K502" s="157"/>
      <c r="L502" s="125"/>
      <c r="M502" s="126"/>
    </row>
    <row r="503" spans="1:13" x14ac:dyDescent="0.25">
      <c r="A503" s="100" t="str">
        <f t="shared" si="71"/>
        <v>RESIDENTIAL SERVICE CLASSIFICATION</v>
      </c>
      <c r="B503" s="105" t="s">
        <v>117</v>
      </c>
      <c r="C503" s="117"/>
      <c r="D503" s="159" t="s">
        <v>177</v>
      </c>
      <c r="E503" s="119"/>
      <c r="F503" s="160">
        <f>OffPeak</f>
        <v>6.5000000000000002E-2</v>
      </c>
      <c r="G503" s="161">
        <f>IF(AND(E472*12&gt;=150000),0.65*E472*E474,0.65*E472)</f>
        <v>222.3</v>
      </c>
      <c r="H503" s="157">
        <f t="shared" si="73"/>
        <v>14.4495</v>
      </c>
      <c r="I503" s="162">
        <v>6.5000000000000002E-2</v>
      </c>
      <c r="J503" s="161">
        <f>IF(AND(E472*12&gt;=150000),0.65*E472*E475,0.65*E472)</f>
        <v>222.3</v>
      </c>
      <c r="K503" s="157">
        <f t="shared" si="74"/>
        <v>14.4495</v>
      </c>
      <c r="L503" s="125">
        <f>K503-H503</f>
        <v>0</v>
      </c>
      <c r="M503" s="126">
        <f t="shared" si="75"/>
        <v>0</v>
      </c>
    </row>
    <row r="504" spans="1:13" x14ac:dyDescent="0.25">
      <c r="A504" s="100" t="str">
        <f t="shared" si="71"/>
        <v>RESIDENTIAL SERVICE CLASSIFICATION</v>
      </c>
      <c r="B504" s="105" t="s">
        <v>117</v>
      </c>
      <c r="C504" s="117"/>
      <c r="D504" s="159" t="s">
        <v>178</v>
      </c>
      <c r="E504" s="119"/>
      <c r="F504" s="160">
        <f>MidPeak</f>
        <v>9.4E-2</v>
      </c>
      <c r="G504" s="161">
        <f>IF(AND(E472*12&gt;=150000),0.17*E472*E474,0.17*E472)</f>
        <v>58.140000000000008</v>
      </c>
      <c r="H504" s="157">
        <f t="shared" si="73"/>
        <v>5.4651600000000009</v>
      </c>
      <c r="I504" s="162">
        <v>9.4E-2</v>
      </c>
      <c r="J504" s="161">
        <f>IF(AND(E472*12&gt;=150000),0.17*E472*E475,0.17*E472)</f>
        <v>58.140000000000008</v>
      </c>
      <c r="K504" s="157">
        <f t="shared" si="74"/>
        <v>5.4651600000000009</v>
      </c>
      <c r="L504" s="125">
        <f>K504-H504</f>
        <v>0</v>
      </c>
      <c r="M504" s="126">
        <f t="shared" si="75"/>
        <v>0</v>
      </c>
    </row>
    <row r="505" spans="1:13" ht="15.75" thickBot="1" x14ac:dyDescent="0.3">
      <c r="A505" s="100" t="str">
        <f t="shared" si="71"/>
        <v>RESIDENTIAL SERVICE CLASSIFICATION</v>
      </c>
      <c r="B505" s="105" t="s">
        <v>117</v>
      </c>
      <c r="C505" s="117"/>
      <c r="D505" s="105" t="s">
        <v>179</v>
      </c>
      <c r="E505" s="119"/>
      <c r="F505" s="160">
        <f>OnPeak</f>
        <v>0.13200000000000001</v>
      </c>
      <c r="G505" s="161">
        <f>IF(AND(E472*12&gt;=150000),0.18*E472*E474,0.18*E472)</f>
        <v>61.559999999999995</v>
      </c>
      <c r="H505" s="157">
        <f t="shared" si="73"/>
        <v>8.1259199999999989</v>
      </c>
      <c r="I505" s="162">
        <v>0.13200000000000001</v>
      </c>
      <c r="J505" s="161">
        <f>IF(AND(E472*12&gt;=150000),0.18*E472*E475,0.18*E472)</f>
        <v>61.559999999999995</v>
      </c>
      <c r="K505" s="157">
        <f t="shared" si="74"/>
        <v>8.1259199999999989</v>
      </c>
      <c r="L505" s="125">
        <f>K505-H505</f>
        <v>0</v>
      </c>
      <c r="M505" s="126">
        <f t="shared" si="75"/>
        <v>0</v>
      </c>
    </row>
    <row r="506" spans="1:13" hidden="1" x14ac:dyDescent="0.25">
      <c r="A506" s="100" t="str">
        <f t="shared" si="71"/>
        <v>RESIDENTIAL SERVICE CLASSIFICATION</v>
      </c>
      <c r="B506" s="100" t="s">
        <v>180</v>
      </c>
      <c r="C506" s="117"/>
      <c r="D506" s="159" t="s">
        <v>181</v>
      </c>
      <c r="E506" s="119"/>
      <c r="F506" s="163">
        <v>0.1101</v>
      </c>
      <c r="G506" s="161">
        <f>IF(AND(E472*12&gt;=150000),E472*E474,E472)</f>
        <v>342</v>
      </c>
      <c r="H506" s="157">
        <f>G506*F506</f>
        <v>37.654200000000003</v>
      </c>
      <c r="I506" s="164">
        <v>0.1101</v>
      </c>
      <c r="J506" s="161">
        <f>IF(AND(E472*12&gt;=150000),E472*E475,E472)</f>
        <v>342</v>
      </c>
      <c r="K506" s="157">
        <f>J506*I506</f>
        <v>37.654200000000003</v>
      </c>
      <c r="L506" s="125">
        <f>K506-H506</f>
        <v>0</v>
      </c>
      <c r="M506" s="126">
        <f t="shared" si="75"/>
        <v>0</v>
      </c>
    </row>
    <row r="507" spans="1:13" ht="15.75" hidden="1" thickBot="1" x14ac:dyDescent="0.3">
      <c r="A507" s="100" t="str">
        <f t="shared" si="71"/>
        <v>RESIDENTIAL SERVICE CLASSIFICATION</v>
      </c>
      <c r="B507" s="100" t="s">
        <v>121</v>
      </c>
      <c r="C507" s="117"/>
      <c r="D507" s="159" t="s">
        <v>182</v>
      </c>
      <c r="E507" s="119"/>
      <c r="F507" s="163">
        <v>0.1101</v>
      </c>
      <c r="G507" s="161">
        <f>IF(AND(E472*12&gt;=150000),E472*E474,E472)</f>
        <v>342</v>
      </c>
      <c r="H507" s="157">
        <f>G507*F507</f>
        <v>37.654200000000003</v>
      </c>
      <c r="I507" s="164">
        <v>0.1101</v>
      </c>
      <c r="J507" s="161">
        <f>IF(AND(E472*12&gt;=150000),E472*E475,E472)</f>
        <v>342</v>
      </c>
      <c r="K507" s="157">
        <f>J507*I507</f>
        <v>37.654200000000003</v>
      </c>
      <c r="L507" s="125">
        <f>K507-H507</f>
        <v>0</v>
      </c>
      <c r="M507" s="126">
        <f t="shared" si="75"/>
        <v>0</v>
      </c>
    </row>
    <row r="508" spans="1:13" ht="15.75" thickBot="1" x14ac:dyDescent="0.3">
      <c r="A508" s="100" t="str">
        <f t="shared" si="71"/>
        <v>RESIDENTIAL SERVICE CLASSIFICATION</v>
      </c>
      <c r="B508" s="105"/>
      <c r="C508" s="117"/>
      <c r="D508" s="165"/>
      <c r="E508" s="166"/>
      <c r="F508" s="167"/>
      <c r="G508" s="168"/>
      <c r="H508" s="169"/>
      <c r="I508" s="167"/>
      <c r="J508" s="170"/>
      <c r="K508" s="169"/>
      <c r="L508" s="171"/>
      <c r="M508" s="172"/>
    </row>
    <row r="509" spans="1:13" x14ac:dyDescent="0.25">
      <c r="A509" s="100" t="str">
        <f t="shared" si="71"/>
        <v>RESIDENTIAL SERVICE CLASSIFICATION</v>
      </c>
      <c r="B509" s="105" t="s">
        <v>117</v>
      </c>
      <c r="C509" s="117"/>
      <c r="D509" s="173" t="s">
        <v>183</v>
      </c>
      <c r="E509" s="158"/>
      <c r="F509" s="174"/>
      <c r="G509" s="175"/>
      <c r="H509" s="176">
        <f>SUM(H499:H505,H498)</f>
        <v>61.336630080000006</v>
      </c>
      <c r="I509" s="177"/>
      <c r="J509" s="177"/>
      <c r="K509" s="176">
        <f>SUM(K499:K505,K498)</f>
        <v>65.977543590451717</v>
      </c>
      <c r="L509" s="178">
        <f>K509-H509</f>
        <v>4.6409135104517105</v>
      </c>
      <c r="M509" s="179">
        <f>IF((H509)=0,"",(L509/H509))</f>
        <v>7.5663001120189838E-2</v>
      </c>
    </row>
    <row r="510" spans="1:13" x14ac:dyDescent="0.25">
      <c r="A510" s="100" t="str">
        <f t="shared" si="71"/>
        <v>RESIDENTIAL SERVICE CLASSIFICATION</v>
      </c>
      <c r="B510" s="105" t="s">
        <v>117</v>
      </c>
      <c r="C510" s="117"/>
      <c r="D510" s="180" t="s">
        <v>184</v>
      </c>
      <c r="E510" s="158"/>
      <c r="F510" s="174">
        <v>0.13</v>
      </c>
      <c r="G510" s="181"/>
      <c r="H510" s="182">
        <f>H509*F510</f>
        <v>7.9737619104000013</v>
      </c>
      <c r="I510" s="183">
        <v>0.13</v>
      </c>
      <c r="J510" s="121"/>
      <c r="K510" s="182">
        <f>K509*I510</f>
        <v>8.5770806667587234</v>
      </c>
      <c r="L510" s="184">
        <f>K510-H510</f>
        <v>0.60331875635872212</v>
      </c>
      <c r="M510" s="185">
        <f>IF((H510)=0,"",(L510/H510))</f>
        <v>7.566300112018981E-2</v>
      </c>
    </row>
    <row r="511" spans="1:13" x14ac:dyDescent="0.25">
      <c r="A511" s="100" t="str">
        <f t="shared" si="71"/>
        <v>RESIDENTIAL SERVICE CLASSIFICATION</v>
      </c>
      <c r="B511" s="105" t="s">
        <v>117</v>
      </c>
      <c r="C511" s="117"/>
      <c r="D511" s="180" t="s">
        <v>185</v>
      </c>
      <c r="E511" s="158"/>
      <c r="F511" s="174">
        <v>0.08</v>
      </c>
      <c r="G511" s="181"/>
      <c r="H511" s="182">
        <f>H509*-F511</f>
        <v>-4.9069304064000008</v>
      </c>
      <c r="I511" s="174">
        <v>0.08</v>
      </c>
      <c r="J511" s="121"/>
      <c r="K511" s="182">
        <f>K509*-I511</f>
        <v>-5.2782034872361372</v>
      </c>
      <c r="L511" s="184">
        <f>K511-H511</f>
        <v>-0.37127308083613642</v>
      </c>
      <c r="M511" s="185"/>
    </row>
    <row r="512" spans="1:13" ht="15.75" thickBot="1" x14ac:dyDescent="0.3">
      <c r="A512" s="100" t="str">
        <f t="shared" si="71"/>
        <v>RESIDENTIAL SERVICE CLASSIFICATION</v>
      </c>
      <c r="B512" s="105" t="s">
        <v>186</v>
      </c>
      <c r="C512" s="117">
        <f>B37</f>
        <v>8</v>
      </c>
      <c r="D512" s="301" t="s">
        <v>187</v>
      </c>
      <c r="E512" s="301"/>
      <c r="F512" s="186"/>
      <c r="G512" s="187"/>
      <c r="H512" s="188">
        <f>H509+H510+H511</f>
        <v>64.403461584000013</v>
      </c>
      <c r="I512" s="189"/>
      <c r="J512" s="189"/>
      <c r="K512" s="190">
        <f>K509+K510+K511</f>
        <v>69.276420769974294</v>
      </c>
      <c r="L512" s="191">
        <f>K512-H512</f>
        <v>4.8729591859742811</v>
      </c>
      <c r="M512" s="192">
        <f>IF((H512)=0,"",(L512/H512))</f>
        <v>7.5663001120189602E-2</v>
      </c>
    </row>
    <row r="513" spans="1:13" ht="15.75" hidden="1" thickBot="1" x14ac:dyDescent="0.3">
      <c r="A513" s="100" t="str">
        <f t="shared" si="71"/>
        <v>RESIDENTIAL SERVICE CLASSIFICATION</v>
      </c>
      <c r="B513" s="100" t="s">
        <v>117</v>
      </c>
      <c r="C513" s="117"/>
      <c r="D513" s="165"/>
      <c r="E513" s="166"/>
      <c r="F513" s="167"/>
      <c r="G513" s="168"/>
      <c r="H513" s="169"/>
      <c r="I513" s="167"/>
      <c r="J513" s="170"/>
      <c r="K513" s="169"/>
      <c r="L513" s="171"/>
      <c r="M513" s="172"/>
    </row>
    <row r="514" spans="1:13" hidden="1" x14ac:dyDescent="0.25">
      <c r="A514" s="100" t="str">
        <f t="shared" si="71"/>
        <v>RESIDENTIAL SERVICE CLASSIFICATION</v>
      </c>
      <c r="B514" s="100" t="s">
        <v>180</v>
      </c>
      <c r="C514" s="117"/>
      <c r="D514" s="173" t="s">
        <v>188</v>
      </c>
      <c r="E514" s="158"/>
      <c r="F514" s="174"/>
      <c r="G514" s="175"/>
      <c r="H514" s="176">
        <f>SUM(H506,H499:H502,H498)</f>
        <v>70.950250080000004</v>
      </c>
      <c r="I514" s="177"/>
      <c r="J514" s="177"/>
      <c r="K514" s="176">
        <f>SUM(K506,K499:K502,K498)</f>
        <v>75.591163590451714</v>
      </c>
      <c r="L514" s="178">
        <f>K514-H514</f>
        <v>4.6409135104517105</v>
      </c>
      <c r="M514" s="179">
        <f>IF((H514)=0,"",(L514/H514))</f>
        <v>6.5410812579502473E-2</v>
      </c>
    </row>
    <row r="515" spans="1:13" hidden="1" x14ac:dyDescent="0.25">
      <c r="A515" s="100" t="str">
        <f t="shared" si="71"/>
        <v>RESIDENTIAL SERVICE CLASSIFICATION</v>
      </c>
      <c r="B515" s="100" t="s">
        <v>180</v>
      </c>
      <c r="C515" s="117"/>
      <c r="D515" s="180" t="s">
        <v>184</v>
      </c>
      <c r="E515" s="158"/>
      <c r="F515" s="174">
        <v>0.13</v>
      </c>
      <c r="G515" s="175"/>
      <c r="H515" s="182">
        <f>H514*F515</f>
        <v>9.2235325104000001</v>
      </c>
      <c r="I515" s="174">
        <v>0.13</v>
      </c>
      <c r="J515" s="183"/>
      <c r="K515" s="182">
        <f>K514*I515</f>
        <v>9.8268512667587231</v>
      </c>
      <c r="L515" s="184">
        <f>K515-H515</f>
        <v>0.60331875635872301</v>
      </c>
      <c r="M515" s="185">
        <f>IF((H515)=0,"",(L515/H515))</f>
        <v>6.5410812579502542E-2</v>
      </c>
    </row>
    <row r="516" spans="1:13" hidden="1" x14ac:dyDescent="0.25">
      <c r="A516" s="100" t="str">
        <f t="shared" si="71"/>
        <v>RESIDENTIAL SERVICE CLASSIFICATION</v>
      </c>
      <c r="B516" s="100" t="s">
        <v>180</v>
      </c>
      <c r="C516" s="117"/>
      <c r="D516" s="180" t="s">
        <v>185</v>
      </c>
      <c r="E516" s="158"/>
      <c r="F516" s="174">
        <v>0.08</v>
      </c>
      <c r="G516" s="175"/>
      <c r="H516" s="182"/>
      <c r="I516" s="174">
        <v>0.08</v>
      </c>
      <c r="J516" s="183"/>
      <c r="K516" s="182"/>
      <c r="L516" s="184"/>
      <c r="M516" s="185"/>
    </row>
    <row r="517" spans="1:13" ht="15.75" hidden="1" thickBot="1" x14ac:dyDescent="0.3">
      <c r="A517" s="100" t="str">
        <f t="shared" si="71"/>
        <v>RESIDENTIAL SERVICE CLASSIFICATION</v>
      </c>
      <c r="B517" s="100" t="s">
        <v>189</v>
      </c>
      <c r="C517" s="117"/>
      <c r="D517" s="301" t="s">
        <v>188</v>
      </c>
      <c r="E517" s="301"/>
      <c r="F517" s="193"/>
      <c r="G517" s="194"/>
      <c r="H517" s="188">
        <f>SUM(H514,H515)</f>
        <v>80.173782590400009</v>
      </c>
      <c r="I517" s="195"/>
      <c r="J517" s="195"/>
      <c r="K517" s="188">
        <f>SUM(K514,K515)</f>
        <v>85.418014857210437</v>
      </c>
      <c r="L517" s="196">
        <f>K517-H517</f>
        <v>5.2442322668104282</v>
      </c>
      <c r="M517" s="197">
        <f>IF((H517)=0,"",(L517/H517))</f>
        <v>6.5410812579502403E-2</v>
      </c>
    </row>
    <row r="518" spans="1:13" ht="15.75" hidden="1" thickBot="1" x14ac:dyDescent="0.3">
      <c r="A518" s="100" t="str">
        <f t="shared" si="71"/>
        <v>RESIDENTIAL SERVICE CLASSIFICATION</v>
      </c>
      <c r="B518" s="100" t="s">
        <v>180</v>
      </c>
      <c r="C518" s="117"/>
      <c r="D518" s="165"/>
      <c r="E518" s="166"/>
      <c r="F518" s="198"/>
      <c r="G518" s="199"/>
      <c r="H518" s="200"/>
      <c r="I518" s="198"/>
      <c r="J518" s="168"/>
      <c r="K518" s="200"/>
      <c r="L518" s="201"/>
      <c r="M518" s="172"/>
    </row>
    <row r="519" spans="1:13" hidden="1" x14ac:dyDescent="0.25">
      <c r="A519" s="100" t="str">
        <f t="shared" si="71"/>
        <v>RESIDENTIAL SERVICE CLASSIFICATION</v>
      </c>
      <c r="B519" s="100" t="s">
        <v>121</v>
      </c>
      <c r="C519" s="117"/>
      <c r="D519" s="173" t="s">
        <v>190</v>
      </c>
      <c r="E519" s="158"/>
      <c r="F519" s="174"/>
      <c r="G519" s="175"/>
      <c r="H519" s="176">
        <f>SUM(H507,H499:H502,H498)</f>
        <v>70.950250080000004</v>
      </c>
      <c r="I519" s="177"/>
      <c r="J519" s="177"/>
      <c r="K519" s="176">
        <f>SUM(K507,K499:K502,K498)</f>
        <v>75.591163590451714</v>
      </c>
      <c r="L519" s="178">
        <f>K519-H519</f>
        <v>4.6409135104517105</v>
      </c>
      <c r="M519" s="179">
        <f>IF((H519)=0,"",(L519/H519))</f>
        <v>6.5410812579502473E-2</v>
      </c>
    </row>
    <row r="520" spans="1:13" hidden="1" x14ac:dyDescent="0.25">
      <c r="A520" s="100" t="str">
        <f t="shared" si="71"/>
        <v>RESIDENTIAL SERVICE CLASSIFICATION</v>
      </c>
      <c r="B520" s="100" t="s">
        <v>121</v>
      </c>
      <c r="C520" s="117"/>
      <c r="D520" s="180" t="s">
        <v>184</v>
      </c>
      <c r="E520" s="158"/>
      <c r="F520" s="174">
        <v>0.13</v>
      </c>
      <c r="G520" s="175"/>
      <c r="H520" s="182">
        <f>H519*F520</f>
        <v>9.2235325104000001</v>
      </c>
      <c r="I520" s="174">
        <v>0.13</v>
      </c>
      <c r="J520" s="183"/>
      <c r="K520" s="182">
        <f>K519*I520</f>
        <v>9.8268512667587231</v>
      </c>
      <c r="L520" s="184">
        <f>K520-H520</f>
        <v>0.60331875635872301</v>
      </c>
      <c r="M520" s="185">
        <f>IF((H520)=0,"",(L520/H520))</f>
        <v>6.5410812579502542E-2</v>
      </c>
    </row>
    <row r="521" spans="1:13" hidden="1" x14ac:dyDescent="0.25">
      <c r="A521" s="100" t="str">
        <f t="shared" si="71"/>
        <v>RESIDENTIAL SERVICE CLASSIFICATION</v>
      </c>
      <c r="B521" s="100" t="s">
        <v>121</v>
      </c>
      <c r="C521" s="117"/>
      <c r="D521" s="180" t="s">
        <v>185</v>
      </c>
      <c r="E521" s="158"/>
      <c r="F521" s="174">
        <v>0.08</v>
      </c>
      <c r="G521" s="175"/>
      <c r="H521" s="182"/>
      <c r="I521" s="174">
        <v>0.08</v>
      </c>
      <c r="J521" s="183"/>
      <c r="K521" s="182"/>
      <c r="L521" s="184"/>
      <c r="M521" s="185"/>
    </row>
    <row r="522" spans="1:13" ht="15.75" hidden="1" thickBot="1" x14ac:dyDescent="0.3">
      <c r="A522" s="100" t="str">
        <f t="shared" si="71"/>
        <v>RESIDENTIAL SERVICE CLASSIFICATION</v>
      </c>
      <c r="B522" s="100" t="s">
        <v>191</v>
      </c>
      <c r="C522" s="117"/>
      <c r="D522" s="301" t="s">
        <v>190</v>
      </c>
      <c r="E522" s="301"/>
      <c r="F522" s="193"/>
      <c r="G522" s="194"/>
      <c r="H522" s="188">
        <f>SUM(H519,H520)</f>
        <v>80.173782590400009</v>
      </c>
      <c r="I522" s="195"/>
      <c r="J522" s="195"/>
      <c r="K522" s="188">
        <f>SUM(K519,K520)</f>
        <v>85.418014857210437</v>
      </c>
      <c r="L522" s="196">
        <f>K522-H522</f>
        <v>5.2442322668104282</v>
      </c>
      <c r="M522" s="197">
        <f>IF((H522)=0,"",(L522/H522))</f>
        <v>6.5410812579502403E-2</v>
      </c>
    </row>
    <row r="523" spans="1:13" ht="15.75" thickBot="1" x14ac:dyDescent="0.3">
      <c r="A523" s="100" t="str">
        <f t="shared" si="71"/>
        <v>RESIDENTIAL SERVICE CLASSIFICATION</v>
      </c>
      <c r="B523" s="100" t="s">
        <v>121</v>
      </c>
      <c r="C523" s="117"/>
      <c r="D523" s="165"/>
      <c r="E523" s="166"/>
      <c r="F523" s="202"/>
      <c r="G523" s="203"/>
      <c r="H523" s="204"/>
      <c r="I523" s="202"/>
      <c r="J523" s="205"/>
      <c r="K523" s="204"/>
      <c r="L523" s="206"/>
      <c r="M523" s="207"/>
    </row>
    <row r="526" spans="1:13" x14ac:dyDescent="0.25">
      <c r="C526" s="100"/>
      <c r="D526" s="101" t="s">
        <v>134</v>
      </c>
      <c r="E526" s="302" t="str">
        <f>D38</f>
        <v>RESIDENTIAL SERVICE CLASSIFICATION</v>
      </c>
      <c r="F526" s="302"/>
      <c r="G526" s="302"/>
      <c r="H526" s="302"/>
      <c r="I526" s="302"/>
      <c r="J526" s="302"/>
      <c r="K526" s="100" t="str">
        <f>IF(N38="DEMAND - INTERVAL","RTSR - INTERVAL METERED","")</f>
        <v/>
      </c>
    </row>
    <row r="527" spans="1:13" x14ac:dyDescent="0.25">
      <c r="C527" s="100"/>
      <c r="D527" s="101" t="s">
        <v>135</v>
      </c>
      <c r="E527" s="303" t="str">
        <f>H38</f>
        <v>RPP</v>
      </c>
      <c r="F527" s="303"/>
      <c r="G527" s="303"/>
      <c r="H527" s="102"/>
      <c r="I527" s="102"/>
    </row>
    <row r="528" spans="1:13" ht="15.75" x14ac:dyDescent="0.25">
      <c r="C528" s="100"/>
      <c r="D528" s="101" t="s">
        <v>136</v>
      </c>
      <c r="E528" s="103">
        <f>K38</f>
        <v>1000</v>
      </c>
      <c r="F528" s="104" t="s">
        <v>137</v>
      </c>
      <c r="G528" s="105"/>
      <c r="J528" s="106"/>
      <c r="K528" s="106"/>
      <c r="L528" s="106"/>
      <c r="M528" s="106"/>
    </row>
    <row r="529" spans="1:13" ht="15.75" x14ac:dyDescent="0.25">
      <c r="C529" s="100"/>
      <c r="D529" s="101" t="s">
        <v>138</v>
      </c>
      <c r="E529" s="103">
        <f>L38</f>
        <v>0</v>
      </c>
      <c r="F529" s="107" t="s">
        <v>139</v>
      </c>
      <c r="G529" s="108"/>
      <c r="H529" s="109"/>
      <c r="I529" s="109"/>
      <c r="J529" s="109"/>
    </row>
    <row r="530" spans="1:13" x14ac:dyDescent="0.25">
      <c r="C530" s="100"/>
      <c r="D530" s="101" t="s">
        <v>140</v>
      </c>
      <c r="E530" s="110">
        <f>I38</f>
        <v>1.056</v>
      </c>
    </row>
    <row r="531" spans="1:13" x14ac:dyDescent="0.25">
      <c r="C531" s="100"/>
      <c r="D531" s="101" t="s">
        <v>141</v>
      </c>
      <c r="E531" s="110">
        <f>J38</f>
        <v>1.056</v>
      </c>
    </row>
    <row r="532" spans="1:13" x14ac:dyDescent="0.25">
      <c r="C532" s="100"/>
      <c r="D532" s="105"/>
    </row>
    <row r="533" spans="1:13" x14ac:dyDescent="0.25">
      <c r="C533" s="100"/>
      <c r="D533" s="105"/>
      <c r="E533" s="111"/>
      <c r="F533" s="304" t="s">
        <v>142</v>
      </c>
      <c r="G533" s="305"/>
      <c r="H533" s="306"/>
      <c r="I533" s="304" t="s">
        <v>143</v>
      </c>
      <c r="J533" s="305"/>
      <c r="K533" s="306"/>
      <c r="L533" s="304" t="s">
        <v>144</v>
      </c>
      <c r="M533" s="306"/>
    </row>
    <row r="534" spans="1:13" x14ac:dyDescent="0.25">
      <c r="C534" s="100"/>
      <c r="D534" s="105"/>
      <c r="E534" s="295"/>
      <c r="F534" s="112" t="s">
        <v>145</v>
      </c>
      <c r="G534" s="112" t="s">
        <v>146</v>
      </c>
      <c r="H534" s="113" t="s">
        <v>147</v>
      </c>
      <c r="I534" s="112" t="s">
        <v>145</v>
      </c>
      <c r="J534" s="114" t="s">
        <v>146</v>
      </c>
      <c r="K534" s="113" t="s">
        <v>147</v>
      </c>
      <c r="L534" s="297" t="s">
        <v>148</v>
      </c>
      <c r="M534" s="299" t="s">
        <v>149</v>
      </c>
    </row>
    <row r="535" spans="1:13" x14ac:dyDescent="0.25">
      <c r="C535" s="100"/>
      <c r="D535" s="105"/>
      <c r="E535" s="296"/>
      <c r="F535" s="115" t="s">
        <v>150</v>
      </c>
      <c r="G535" s="115"/>
      <c r="H535" s="116" t="s">
        <v>150</v>
      </c>
      <c r="I535" s="115" t="s">
        <v>150</v>
      </c>
      <c r="J535" s="116"/>
      <c r="K535" s="116" t="s">
        <v>150</v>
      </c>
      <c r="L535" s="298"/>
      <c r="M535" s="300"/>
    </row>
    <row r="536" spans="1:13" x14ac:dyDescent="0.25">
      <c r="A536" s="100" t="str">
        <f>$E526</f>
        <v>RESIDENTIAL SERVICE CLASSIFICATION</v>
      </c>
      <c r="C536" s="117"/>
      <c r="D536" s="118" t="s">
        <v>151</v>
      </c>
      <c r="E536" s="119"/>
      <c r="F536" s="120">
        <v>23.48</v>
      </c>
      <c r="G536" s="121">
        <v>1</v>
      </c>
      <c r="H536" s="122">
        <f>G536*F536</f>
        <v>23.48</v>
      </c>
      <c r="I536" s="123">
        <v>23.48</v>
      </c>
      <c r="J536" s="124">
        <f>G536</f>
        <v>1</v>
      </c>
      <c r="K536" s="122">
        <f>J536*I536</f>
        <v>23.48</v>
      </c>
      <c r="L536" s="125">
        <f t="shared" ref="L536:L557" si="76">K536-H536</f>
        <v>0</v>
      </c>
      <c r="M536" s="126">
        <f>IF(ISERROR(L536/H536), "", L536/H536)</f>
        <v>0</v>
      </c>
    </row>
    <row r="537" spans="1:13" x14ac:dyDescent="0.25">
      <c r="A537" s="100" t="str">
        <f>A536</f>
        <v>RESIDENTIAL SERVICE CLASSIFICATION</v>
      </c>
      <c r="C537" s="117"/>
      <c r="D537" s="118" t="s">
        <v>152</v>
      </c>
      <c r="E537" s="119"/>
      <c r="F537" s="127">
        <v>3.3999999999999998E-3</v>
      </c>
      <c r="G537" s="121">
        <f>IF($E529&gt;0, $E529, $E528)</f>
        <v>1000</v>
      </c>
      <c r="H537" s="122">
        <f t="shared" ref="H537:H549" si="77">G537*F537</f>
        <v>3.4</v>
      </c>
      <c r="I537" s="128">
        <v>3.3999999999999998E-3</v>
      </c>
      <c r="J537" s="124">
        <f>IF($E529&gt;0, $E529, $E528)</f>
        <v>1000</v>
      </c>
      <c r="K537" s="122">
        <f>J537*I537</f>
        <v>3.4</v>
      </c>
      <c r="L537" s="125">
        <f t="shared" si="76"/>
        <v>0</v>
      </c>
      <c r="M537" s="126">
        <f t="shared" ref="M537:M547" si="78">IF(ISERROR(L537/H537), "", L537/H537)</f>
        <v>0</v>
      </c>
    </row>
    <row r="538" spans="1:13" x14ac:dyDescent="0.25">
      <c r="A538" s="100" t="str">
        <f t="shared" ref="A538:A579" si="79">A537</f>
        <v>RESIDENTIAL SERVICE CLASSIFICATION</v>
      </c>
      <c r="C538" s="117"/>
      <c r="D538" s="118" t="s">
        <v>153</v>
      </c>
      <c r="E538" s="119"/>
      <c r="F538" s="127"/>
      <c r="G538" s="121">
        <f>IF($E529&gt;0, $E529, $E528)</f>
        <v>1000</v>
      </c>
      <c r="H538" s="122">
        <v>0</v>
      </c>
      <c r="I538" s="128"/>
      <c r="J538" s="124">
        <f>IF($E529&gt;0, $E529, $E528)</f>
        <v>1000</v>
      </c>
      <c r="K538" s="122">
        <v>0</v>
      </c>
      <c r="L538" s="125"/>
      <c r="M538" s="126"/>
    </row>
    <row r="539" spans="1:13" x14ac:dyDescent="0.25">
      <c r="A539" s="100" t="str">
        <f t="shared" si="79"/>
        <v>RESIDENTIAL SERVICE CLASSIFICATION</v>
      </c>
      <c r="C539" s="117"/>
      <c r="D539" s="118" t="s">
        <v>154</v>
      </c>
      <c r="E539" s="119"/>
      <c r="F539" s="127"/>
      <c r="G539" s="121">
        <f>IF($E529&gt;0, $E529, $E528)</f>
        <v>1000</v>
      </c>
      <c r="H539" s="122">
        <v>0</v>
      </c>
      <c r="I539" s="128"/>
      <c r="J539" s="121">
        <f>IF($E529&gt;0, $E529, $E528)</f>
        <v>1000</v>
      </c>
      <c r="K539" s="122">
        <v>0</v>
      </c>
      <c r="L539" s="125">
        <f>K539-H539</f>
        <v>0</v>
      </c>
      <c r="M539" s="126" t="str">
        <f>IF(ISERROR(L539/H539), "", L539/H539)</f>
        <v/>
      </c>
    </row>
    <row r="540" spans="1:13" x14ac:dyDescent="0.25">
      <c r="A540" s="100" t="str">
        <f t="shared" si="79"/>
        <v>RESIDENTIAL SERVICE CLASSIFICATION</v>
      </c>
      <c r="C540" s="117"/>
      <c r="D540" s="129" t="s">
        <v>155</v>
      </c>
      <c r="E540" s="119"/>
      <c r="F540" s="120">
        <v>0</v>
      </c>
      <c r="G540" s="121">
        <v>1</v>
      </c>
      <c r="H540" s="122">
        <f t="shared" si="77"/>
        <v>0</v>
      </c>
      <c r="I540" s="226">
        <f>'Rate Riders'!O8</f>
        <v>4.6409135104517185</v>
      </c>
      <c r="J540" s="124">
        <f>G540</f>
        <v>1</v>
      </c>
      <c r="K540" s="122">
        <f t="shared" ref="K540:K547" si="80">J540*I540</f>
        <v>4.6409135104517185</v>
      </c>
      <c r="L540" s="125">
        <f t="shared" si="76"/>
        <v>4.6409135104517185</v>
      </c>
      <c r="M540" s="126" t="str">
        <f t="shared" si="78"/>
        <v/>
      </c>
    </row>
    <row r="541" spans="1:13" x14ac:dyDescent="0.25">
      <c r="A541" s="100" t="str">
        <f t="shared" si="79"/>
        <v>RESIDENTIAL SERVICE CLASSIFICATION</v>
      </c>
      <c r="C541" s="117"/>
      <c r="D541" s="118" t="s">
        <v>156</v>
      </c>
      <c r="E541" s="119"/>
      <c r="F541" s="127">
        <v>0</v>
      </c>
      <c r="G541" s="121">
        <f>IF($E529&gt;0, $E529, $E528)</f>
        <v>1000</v>
      </c>
      <c r="H541" s="122">
        <f t="shared" si="77"/>
        <v>0</v>
      </c>
      <c r="I541" s="227">
        <v>0</v>
      </c>
      <c r="J541" s="124">
        <f>IF($E529&gt;0, $E529, $E528)</f>
        <v>1000</v>
      </c>
      <c r="K541" s="122">
        <f t="shared" si="80"/>
        <v>0</v>
      </c>
      <c r="L541" s="125">
        <f t="shared" si="76"/>
        <v>0</v>
      </c>
      <c r="M541" s="126" t="str">
        <f t="shared" si="78"/>
        <v/>
      </c>
    </row>
    <row r="542" spans="1:13" x14ac:dyDescent="0.25">
      <c r="A542" s="100" t="str">
        <f t="shared" si="79"/>
        <v>RESIDENTIAL SERVICE CLASSIFICATION</v>
      </c>
      <c r="B542" s="130" t="s">
        <v>157</v>
      </c>
      <c r="C542" s="117">
        <f>B38</f>
        <v>9</v>
      </c>
      <c r="D542" s="131" t="s">
        <v>158</v>
      </c>
      <c r="E542" s="132"/>
      <c r="F542" s="133"/>
      <c r="G542" s="134"/>
      <c r="H542" s="135">
        <f>SUM(H536:H541)</f>
        <v>26.88</v>
      </c>
      <c r="I542" s="136"/>
      <c r="J542" s="137"/>
      <c r="K542" s="135">
        <f>SUM(K536:K541)</f>
        <v>31.520913510451717</v>
      </c>
      <c r="L542" s="138">
        <f t="shared" si="76"/>
        <v>4.6409135104517176</v>
      </c>
      <c r="M542" s="139">
        <f>IF((H542)=0,"",(L542/H542))</f>
        <v>0.17265303238287641</v>
      </c>
    </row>
    <row r="543" spans="1:13" x14ac:dyDescent="0.25">
      <c r="A543" s="100" t="str">
        <f t="shared" si="79"/>
        <v>RESIDENTIAL SERVICE CLASSIFICATION</v>
      </c>
      <c r="C543" s="117"/>
      <c r="D543" s="140" t="s">
        <v>159</v>
      </c>
      <c r="E543" s="119"/>
      <c r="F543" s="127">
        <f>IF((E528*12&gt;=150000), 0, IF(E527="RPP",(F559*0.65+F560*0.17+F561*0.18),IF(E527="Non-RPP (Retailer)",F562,F563)))</f>
        <v>8.1990000000000007E-2</v>
      </c>
      <c r="G543" s="141">
        <f>IF(F543=0, 0, $E528*E530-E528)</f>
        <v>56</v>
      </c>
      <c r="H543" s="122">
        <f>G543*F543</f>
        <v>4.5914400000000004</v>
      </c>
      <c r="I543" s="128">
        <v>8.1990000000000007E-2</v>
      </c>
      <c r="J543" s="141">
        <f>IF(I543=0, 0, E528*E531-E528)</f>
        <v>56</v>
      </c>
      <c r="K543" s="122">
        <f>J543*I543</f>
        <v>4.5914400000000004</v>
      </c>
      <c r="L543" s="125">
        <f>K543-H543</f>
        <v>0</v>
      </c>
      <c r="M543" s="126">
        <f>IF(ISERROR(L543/H543), "", L543/H543)</f>
        <v>0</v>
      </c>
    </row>
    <row r="544" spans="1:13" ht="25.5" x14ac:dyDescent="0.25">
      <c r="A544" s="100" t="str">
        <f t="shared" si="79"/>
        <v>RESIDENTIAL SERVICE CLASSIFICATION</v>
      </c>
      <c r="C544" s="117"/>
      <c r="D544" s="140" t="s">
        <v>160</v>
      </c>
      <c r="E544" s="119"/>
      <c r="F544" s="127">
        <v>-1.4E-3</v>
      </c>
      <c r="G544" s="142">
        <f>IF($E529&gt;0, $E529, $E528)</f>
        <v>1000</v>
      </c>
      <c r="H544" s="122">
        <f t="shared" si="77"/>
        <v>-1.4</v>
      </c>
      <c r="I544" s="128">
        <v>-1.4E-3</v>
      </c>
      <c r="J544" s="142">
        <f>IF($E529&gt;0, $E529, $E528)</f>
        <v>1000</v>
      </c>
      <c r="K544" s="122">
        <f t="shared" si="80"/>
        <v>-1.4</v>
      </c>
      <c r="L544" s="125">
        <f t="shared" si="76"/>
        <v>0</v>
      </c>
      <c r="M544" s="126">
        <f t="shared" si="78"/>
        <v>0</v>
      </c>
    </row>
    <row r="545" spans="1:13" x14ac:dyDescent="0.25">
      <c r="A545" s="100" t="str">
        <f t="shared" si="79"/>
        <v>RESIDENTIAL SERVICE CLASSIFICATION</v>
      </c>
      <c r="C545" s="117"/>
      <c r="D545" s="140" t="s">
        <v>161</v>
      </c>
      <c r="E545" s="119"/>
      <c r="F545" s="127">
        <v>-1E-4</v>
      </c>
      <c r="G545" s="142">
        <f>IF($E529&gt;0, $E529, $E528)</f>
        <v>1000</v>
      </c>
      <c r="H545" s="122">
        <f>G545*F545</f>
        <v>-0.1</v>
      </c>
      <c r="I545" s="128">
        <v>-1E-4</v>
      </c>
      <c r="J545" s="142">
        <f>IF($E529&gt;0, $E529, $E528)</f>
        <v>1000</v>
      </c>
      <c r="K545" s="122">
        <f>J545*I545</f>
        <v>-0.1</v>
      </c>
      <c r="L545" s="125">
        <f t="shared" si="76"/>
        <v>0</v>
      </c>
      <c r="M545" s="126">
        <f t="shared" si="78"/>
        <v>0</v>
      </c>
    </row>
    <row r="546" spans="1:13" x14ac:dyDescent="0.25">
      <c r="A546" s="100" t="str">
        <f t="shared" si="79"/>
        <v>RESIDENTIAL SERVICE CLASSIFICATION</v>
      </c>
      <c r="C546" s="117"/>
      <c r="D546" s="140" t="s">
        <v>162</v>
      </c>
      <c r="E546" s="119"/>
      <c r="F546" s="127">
        <v>0</v>
      </c>
      <c r="G546" s="142">
        <f>E528</f>
        <v>1000</v>
      </c>
      <c r="H546" s="122">
        <f>G546*F546</f>
        <v>0</v>
      </c>
      <c r="I546" s="128">
        <v>0</v>
      </c>
      <c r="J546" s="142">
        <f>E528</f>
        <v>1000</v>
      </c>
      <c r="K546" s="122">
        <f t="shared" si="80"/>
        <v>0</v>
      </c>
      <c r="L546" s="125">
        <f t="shared" si="76"/>
        <v>0</v>
      </c>
      <c r="M546" s="126" t="str">
        <f t="shared" si="78"/>
        <v/>
      </c>
    </row>
    <row r="547" spans="1:13" x14ac:dyDescent="0.25">
      <c r="A547" s="100" t="str">
        <f t="shared" si="79"/>
        <v>RESIDENTIAL SERVICE CLASSIFICATION</v>
      </c>
      <c r="C547" s="117"/>
      <c r="D547" s="143" t="s">
        <v>163</v>
      </c>
      <c r="E547" s="119"/>
      <c r="F547" s="127">
        <v>2.5999999999999999E-3</v>
      </c>
      <c r="G547" s="142">
        <f>IF($E529&gt;0, $E529, $E528)</f>
        <v>1000</v>
      </c>
      <c r="H547" s="122">
        <f t="shared" si="77"/>
        <v>2.6</v>
      </c>
      <c r="I547" s="128">
        <v>2.5999999999999999E-3</v>
      </c>
      <c r="J547" s="142">
        <f>IF($E529&gt;0, $E529, $E528)</f>
        <v>1000</v>
      </c>
      <c r="K547" s="122">
        <f t="shared" si="80"/>
        <v>2.6</v>
      </c>
      <c r="L547" s="125">
        <f t="shared" si="76"/>
        <v>0</v>
      </c>
      <c r="M547" s="126">
        <f t="shared" si="78"/>
        <v>0</v>
      </c>
    </row>
    <row r="548" spans="1:13" ht="25.5" x14ac:dyDescent="0.25">
      <c r="A548" s="100" t="str">
        <f t="shared" si="79"/>
        <v>RESIDENTIAL SERVICE CLASSIFICATION</v>
      </c>
      <c r="C548" s="117"/>
      <c r="D548" s="144" t="s">
        <v>164</v>
      </c>
      <c r="E548" s="119"/>
      <c r="F548" s="145">
        <f>IF(OR(ISNUMBER(SEARCH("RESIDENTIAL", E526))=TRUE, ISNUMBER(SEARCH("GENERAL SERVICE LESS THAN 50", E526))=TRUE), SME, 0)</f>
        <v>0.56999999999999995</v>
      </c>
      <c r="G548" s="121">
        <v>1</v>
      </c>
      <c r="H548" s="122">
        <f>G548*F548</f>
        <v>0.56999999999999995</v>
      </c>
      <c r="I548" s="146">
        <v>0.56999999999999995</v>
      </c>
      <c r="J548" s="121">
        <v>1</v>
      </c>
      <c r="K548" s="122">
        <f>J548*I548</f>
        <v>0.56999999999999995</v>
      </c>
      <c r="L548" s="125">
        <f t="shared" si="76"/>
        <v>0</v>
      </c>
      <c r="M548" s="126">
        <f>IF(ISERROR(L548/H548), "", L548/H548)</f>
        <v>0</v>
      </c>
    </row>
    <row r="549" spans="1:13" x14ac:dyDescent="0.25">
      <c r="A549" s="100" t="str">
        <f t="shared" si="79"/>
        <v>RESIDENTIAL SERVICE CLASSIFICATION</v>
      </c>
      <c r="C549" s="117"/>
      <c r="D549" s="143" t="s">
        <v>165</v>
      </c>
      <c r="E549" s="119"/>
      <c r="F549" s="120">
        <v>0</v>
      </c>
      <c r="G549" s="121">
        <v>1</v>
      </c>
      <c r="H549" s="122">
        <f t="shared" si="77"/>
        <v>0</v>
      </c>
      <c r="I549" s="123">
        <v>0</v>
      </c>
      <c r="J549" s="121">
        <v>1</v>
      </c>
      <c r="K549" s="122">
        <f>J549*I549</f>
        <v>0</v>
      </c>
      <c r="L549" s="125">
        <f>K549-H549</f>
        <v>0</v>
      </c>
      <c r="M549" s="126" t="str">
        <f>IF(ISERROR(L549/H549), "", L549/H549)</f>
        <v/>
      </c>
    </row>
    <row r="550" spans="1:13" x14ac:dyDescent="0.25">
      <c r="A550" s="100" t="str">
        <f t="shared" si="79"/>
        <v>RESIDENTIAL SERVICE CLASSIFICATION</v>
      </c>
      <c r="C550" s="117"/>
      <c r="D550" s="143" t="s">
        <v>166</v>
      </c>
      <c r="E550" s="119"/>
      <c r="F550" s="127"/>
      <c r="G550" s="142">
        <f>IF($E529&gt;0, $E529, $E528)</f>
        <v>1000</v>
      </c>
      <c r="H550" s="122">
        <f>G550*F550</f>
        <v>0</v>
      </c>
      <c r="I550" s="128"/>
      <c r="J550" s="142">
        <f>IF($E529&gt;0, $E529, $E528)</f>
        <v>1000</v>
      </c>
      <c r="K550" s="122">
        <f>J550*I550</f>
        <v>0</v>
      </c>
      <c r="L550" s="125">
        <f t="shared" si="76"/>
        <v>0</v>
      </c>
      <c r="M550" s="126" t="str">
        <f>IF(ISERROR(L550/H550), "", L550/H550)</f>
        <v/>
      </c>
    </row>
    <row r="551" spans="1:13" ht="25.5" x14ac:dyDescent="0.25">
      <c r="A551" s="100" t="str">
        <f t="shared" si="79"/>
        <v>RESIDENTIAL SERVICE CLASSIFICATION</v>
      </c>
      <c r="B551" s="105" t="s">
        <v>167</v>
      </c>
      <c r="C551" s="117">
        <f>B38</f>
        <v>9</v>
      </c>
      <c r="D551" s="147" t="s">
        <v>168</v>
      </c>
      <c r="E551" s="148"/>
      <c r="F551" s="149"/>
      <c r="G551" s="150"/>
      <c r="H551" s="151">
        <f>SUM(H542:H550)</f>
        <v>33.141440000000003</v>
      </c>
      <c r="I551" s="152"/>
      <c r="J551" s="153"/>
      <c r="K551" s="151">
        <f>SUM(K542:K550)</f>
        <v>37.782353510451721</v>
      </c>
      <c r="L551" s="138">
        <f t="shared" si="76"/>
        <v>4.6409135104517176</v>
      </c>
      <c r="M551" s="139">
        <f>IF((H551)=0,"",(L551/H551))</f>
        <v>0.14003355045682134</v>
      </c>
    </row>
    <row r="552" spans="1:13" x14ac:dyDescent="0.25">
      <c r="A552" s="100" t="str">
        <f t="shared" si="79"/>
        <v>RESIDENTIAL SERVICE CLASSIFICATION</v>
      </c>
      <c r="C552" s="117"/>
      <c r="D552" s="154" t="s">
        <v>169</v>
      </c>
      <c r="E552" s="119"/>
      <c r="F552" s="127">
        <v>6.7999999999999996E-3</v>
      </c>
      <c r="G552" s="141">
        <f>IF($E529&gt;0, $E529, $E528*$E530)</f>
        <v>1056</v>
      </c>
      <c r="H552" s="122">
        <f>G552*F552</f>
        <v>7.1807999999999996</v>
      </c>
      <c r="I552" s="128">
        <v>6.7999999999999996E-3</v>
      </c>
      <c r="J552" s="141">
        <f>IF($E529&gt;0, $E529, $E528*$E531)</f>
        <v>1056</v>
      </c>
      <c r="K552" s="122">
        <f>J552*I552</f>
        <v>7.1807999999999996</v>
      </c>
      <c r="L552" s="125">
        <f t="shared" si="76"/>
        <v>0</v>
      </c>
      <c r="M552" s="126">
        <f>IF(ISERROR(L552/H552), "", L552/H552)</f>
        <v>0</v>
      </c>
    </row>
    <row r="553" spans="1:13" ht="25.5" x14ac:dyDescent="0.25">
      <c r="A553" s="100" t="str">
        <f t="shared" si="79"/>
        <v>RESIDENTIAL SERVICE CLASSIFICATION</v>
      </c>
      <c r="C553" s="117"/>
      <c r="D553" s="155" t="s">
        <v>170</v>
      </c>
      <c r="E553" s="119"/>
      <c r="F553" s="127">
        <v>5.5999999999999999E-3</v>
      </c>
      <c r="G553" s="141">
        <f>IF($E529&gt;0, $E529, $E528*$E530)</f>
        <v>1056</v>
      </c>
      <c r="H553" s="122">
        <f>G553*F553</f>
        <v>5.9135999999999997</v>
      </c>
      <c r="I553" s="128">
        <v>5.5999999999999999E-3</v>
      </c>
      <c r="J553" s="141">
        <f>IF($E529&gt;0, $E529, $E528*$E531)</f>
        <v>1056</v>
      </c>
      <c r="K553" s="122">
        <f>J553*I553</f>
        <v>5.9135999999999997</v>
      </c>
      <c r="L553" s="125">
        <f t="shared" si="76"/>
        <v>0</v>
      </c>
      <c r="M553" s="126">
        <f>IF(ISERROR(L553/H553), "", L553/H553)</f>
        <v>0</v>
      </c>
    </row>
    <row r="554" spans="1:13" ht="25.5" x14ac:dyDescent="0.25">
      <c r="A554" s="100" t="str">
        <f t="shared" si="79"/>
        <v>RESIDENTIAL SERVICE CLASSIFICATION</v>
      </c>
      <c r="B554" s="105" t="s">
        <v>171</v>
      </c>
      <c r="C554" s="117">
        <f>B38</f>
        <v>9</v>
      </c>
      <c r="D554" s="147" t="s">
        <v>172</v>
      </c>
      <c r="E554" s="132"/>
      <c r="F554" s="149"/>
      <c r="G554" s="150"/>
      <c r="H554" s="151">
        <f>SUM(H551:H553)</f>
        <v>46.235840000000003</v>
      </c>
      <c r="I554" s="152"/>
      <c r="J554" s="137"/>
      <c r="K554" s="151">
        <f>SUM(K551:K553)</f>
        <v>50.876753510451721</v>
      </c>
      <c r="L554" s="138">
        <f t="shared" si="76"/>
        <v>4.6409135104517176</v>
      </c>
      <c r="M554" s="139">
        <f>IF((H554)=0,"",(L554/H554))</f>
        <v>0.10037480686955655</v>
      </c>
    </row>
    <row r="555" spans="1:13" ht="25.5" x14ac:dyDescent="0.25">
      <c r="A555" s="100" t="str">
        <f t="shared" si="79"/>
        <v>RESIDENTIAL SERVICE CLASSIFICATION</v>
      </c>
      <c r="C555" s="117"/>
      <c r="D555" s="156" t="s">
        <v>173</v>
      </c>
      <c r="E555" s="119"/>
      <c r="F555" s="127">
        <v>3.6000000000000003E-3</v>
      </c>
      <c r="G555" s="141">
        <f>E528*E530</f>
        <v>1056</v>
      </c>
      <c r="H555" s="157">
        <f t="shared" ref="H555:H561" si="81">G555*F555</f>
        <v>3.8016000000000005</v>
      </c>
      <c r="I555" s="128">
        <v>3.6000000000000003E-3</v>
      </c>
      <c r="J555" s="141">
        <f>E528*E531</f>
        <v>1056</v>
      </c>
      <c r="K555" s="157">
        <f t="shared" ref="K555:K561" si="82">J555*I555</f>
        <v>3.8016000000000005</v>
      </c>
      <c r="L555" s="125">
        <f t="shared" si="76"/>
        <v>0</v>
      </c>
      <c r="M555" s="126">
        <f t="shared" ref="M555:M563" si="83">IF(ISERROR(L555/H555), "", L555/H555)</f>
        <v>0</v>
      </c>
    </row>
    <row r="556" spans="1:13" ht="25.5" x14ac:dyDescent="0.25">
      <c r="A556" s="100" t="str">
        <f t="shared" si="79"/>
        <v>RESIDENTIAL SERVICE CLASSIFICATION</v>
      </c>
      <c r="C556" s="117"/>
      <c r="D556" s="156" t="s">
        <v>174</v>
      </c>
      <c r="E556" s="119"/>
      <c r="F556" s="127">
        <f>'[1]17. Regulatory Charges'!$D$16</f>
        <v>2.9999999999999997E-4</v>
      </c>
      <c r="G556" s="141">
        <f>E528*E530</f>
        <v>1056</v>
      </c>
      <c r="H556" s="157">
        <f t="shared" si="81"/>
        <v>0.31679999999999997</v>
      </c>
      <c r="I556" s="128">
        <v>2.9999999999999997E-4</v>
      </c>
      <c r="J556" s="141">
        <f>E528*E531</f>
        <v>1056</v>
      </c>
      <c r="K556" s="157">
        <f t="shared" si="82"/>
        <v>0.31679999999999997</v>
      </c>
      <c r="L556" s="125">
        <f t="shared" si="76"/>
        <v>0</v>
      </c>
      <c r="M556" s="126">
        <f t="shared" si="83"/>
        <v>0</v>
      </c>
    </row>
    <row r="557" spans="1:13" x14ac:dyDescent="0.25">
      <c r="A557" s="100" t="str">
        <f t="shared" si="79"/>
        <v>RESIDENTIAL SERVICE CLASSIFICATION</v>
      </c>
      <c r="C557" s="117"/>
      <c r="D557" s="158" t="s">
        <v>175</v>
      </c>
      <c r="E557" s="119"/>
      <c r="F557" s="145">
        <v>0.25</v>
      </c>
      <c r="G557" s="121">
        <v>1</v>
      </c>
      <c r="H557" s="157">
        <f t="shared" si="81"/>
        <v>0.25</v>
      </c>
      <c r="I557" s="146">
        <v>0.25</v>
      </c>
      <c r="J557" s="124">
        <v>1</v>
      </c>
      <c r="K557" s="157">
        <f t="shared" si="82"/>
        <v>0.25</v>
      </c>
      <c r="L557" s="125">
        <f t="shared" si="76"/>
        <v>0</v>
      </c>
      <c r="M557" s="126">
        <f t="shared" si="83"/>
        <v>0</v>
      </c>
    </row>
    <row r="558" spans="1:13" ht="25.5" x14ac:dyDescent="0.25">
      <c r="A558" s="100" t="str">
        <f t="shared" si="79"/>
        <v>RESIDENTIAL SERVICE CLASSIFICATION</v>
      </c>
      <c r="C558" s="117"/>
      <c r="D558" s="156" t="s">
        <v>176</v>
      </c>
      <c r="E558" s="119"/>
      <c r="F558" s="127"/>
      <c r="G558" s="141"/>
      <c r="H558" s="157"/>
      <c r="I558" s="128"/>
      <c r="J558" s="141"/>
      <c r="K558" s="157"/>
      <c r="L558" s="125"/>
      <c r="M558" s="126"/>
    </row>
    <row r="559" spans="1:13" x14ac:dyDescent="0.25">
      <c r="A559" s="100" t="str">
        <f t="shared" si="79"/>
        <v>RESIDENTIAL SERVICE CLASSIFICATION</v>
      </c>
      <c r="B559" s="105" t="s">
        <v>117</v>
      </c>
      <c r="C559" s="117"/>
      <c r="D559" s="159" t="s">
        <v>177</v>
      </c>
      <c r="E559" s="119"/>
      <c r="F559" s="160">
        <f>OffPeak</f>
        <v>6.5000000000000002E-2</v>
      </c>
      <c r="G559" s="161">
        <f>IF(AND(E528*12&gt;=150000),0.65*E528*E530,0.65*E528)</f>
        <v>650</v>
      </c>
      <c r="H559" s="157">
        <f t="shared" si="81"/>
        <v>42.25</v>
      </c>
      <c r="I559" s="162">
        <v>6.5000000000000002E-2</v>
      </c>
      <c r="J559" s="161">
        <f>IF(AND(E528*12&gt;=150000),0.65*E528*E531,0.65*E528)</f>
        <v>650</v>
      </c>
      <c r="K559" s="157">
        <f t="shared" si="82"/>
        <v>42.25</v>
      </c>
      <c r="L559" s="125">
        <f>K559-H559</f>
        <v>0</v>
      </c>
      <c r="M559" s="126">
        <f t="shared" si="83"/>
        <v>0</v>
      </c>
    </row>
    <row r="560" spans="1:13" x14ac:dyDescent="0.25">
      <c r="A560" s="100" t="str">
        <f t="shared" si="79"/>
        <v>RESIDENTIAL SERVICE CLASSIFICATION</v>
      </c>
      <c r="B560" s="105" t="s">
        <v>117</v>
      </c>
      <c r="C560" s="117"/>
      <c r="D560" s="159" t="s">
        <v>178</v>
      </c>
      <c r="E560" s="119"/>
      <c r="F560" s="160">
        <f>MidPeak</f>
        <v>9.4E-2</v>
      </c>
      <c r="G560" s="161">
        <f>IF(AND(E528*12&gt;=150000),0.17*E528*E530,0.17*E528)</f>
        <v>170</v>
      </c>
      <c r="H560" s="157">
        <f t="shared" si="81"/>
        <v>15.98</v>
      </c>
      <c r="I560" s="162">
        <v>9.4E-2</v>
      </c>
      <c r="J560" s="161">
        <f>IF(AND(E528*12&gt;=150000),0.17*E528*E531,0.17*E528)</f>
        <v>170</v>
      </c>
      <c r="K560" s="157">
        <f t="shared" si="82"/>
        <v>15.98</v>
      </c>
      <c r="L560" s="125">
        <f>K560-H560</f>
        <v>0</v>
      </c>
      <c r="M560" s="126">
        <f t="shared" si="83"/>
        <v>0</v>
      </c>
    </row>
    <row r="561" spans="1:13" ht="15.75" thickBot="1" x14ac:dyDescent="0.3">
      <c r="A561" s="100" t="str">
        <f t="shared" si="79"/>
        <v>RESIDENTIAL SERVICE CLASSIFICATION</v>
      </c>
      <c r="B561" s="105" t="s">
        <v>117</v>
      </c>
      <c r="C561" s="117"/>
      <c r="D561" s="105" t="s">
        <v>179</v>
      </c>
      <c r="E561" s="119"/>
      <c r="F561" s="160">
        <f>OnPeak</f>
        <v>0.13200000000000001</v>
      </c>
      <c r="G561" s="161">
        <f>IF(AND(E528*12&gt;=150000),0.18*E528*E530,0.18*E528)</f>
        <v>180</v>
      </c>
      <c r="H561" s="157">
        <f t="shared" si="81"/>
        <v>23.76</v>
      </c>
      <c r="I561" s="162">
        <v>0.13200000000000001</v>
      </c>
      <c r="J561" s="161">
        <f>IF(AND(E528*12&gt;=150000),0.18*E528*E531,0.18*E528)</f>
        <v>180</v>
      </c>
      <c r="K561" s="157">
        <f t="shared" si="82"/>
        <v>23.76</v>
      </c>
      <c r="L561" s="125">
        <f>K561-H561</f>
        <v>0</v>
      </c>
      <c r="M561" s="126">
        <f t="shared" si="83"/>
        <v>0</v>
      </c>
    </row>
    <row r="562" spans="1:13" hidden="1" x14ac:dyDescent="0.25">
      <c r="A562" s="100" t="str">
        <f t="shared" si="79"/>
        <v>RESIDENTIAL SERVICE CLASSIFICATION</v>
      </c>
      <c r="B562" s="100" t="s">
        <v>180</v>
      </c>
      <c r="C562" s="117"/>
      <c r="D562" s="159" t="s">
        <v>181</v>
      </c>
      <c r="E562" s="119"/>
      <c r="F562" s="163">
        <v>0.1101</v>
      </c>
      <c r="G562" s="161">
        <f>IF(AND(E528*12&gt;=150000),E528*E530,E528)</f>
        <v>1000</v>
      </c>
      <c r="H562" s="157">
        <f>G562*F562</f>
        <v>110.10000000000001</v>
      </c>
      <c r="I562" s="164">
        <v>0.1101</v>
      </c>
      <c r="J562" s="161">
        <f>IF(AND(E528*12&gt;=150000),E528*E531,E528)</f>
        <v>1000</v>
      </c>
      <c r="K562" s="157">
        <f>J562*I562</f>
        <v>110.10000000000001</v>
      </c>
      <c r="L562" s="125">
        <f>K562-H562</f>
        <v>0</v>
      </c>
      <c r="M562" s="126">
        <f t="shared" si="83"/>
        <v>0</v>
      </c>
    </row>
    <row r="563" spans="1:13" ht="15.75" hidden="1" thickBot="1" x14ac:dyDescent="0.3">
      <c r="A563" s="100" t="str">
        <f t="shared" si="79"/>
        <v>RESIDENTIAL SERVICE CLASSIFICATION</v>
      </c>
      <c r="B563" s="100" t="s">
        <v>121</v>
      </c>
      <c r="C563" s="117"/>
      <c r="D563" s="159" t="s">
        <v>182</v>
      </c>
      <c r="E563" s="119"/>
      <c r="F563" s="163">
        <v>0.1101</v>
      </c>
      <c r="G563" s="161">
        <f>IF(AND(E528*12&gt;=150000),E528*E530,E528)</f>
        <v>1000</v>
      </c>
      <c r="H563" s="157">
        <f>G563*F563</f>
        <v>110.10000000000001</v>
      </c>
      <c r="I563" s="164">
        <v>0.1101</v>
      </c>
      <c r="J563" s="161">
        <f>IF(AND(E528*12&gt;=150000),E528*E531,E528)</f>
        <v>1000</v>
      </c>
      <c r="K563" s="157">
        <f>J563*I563</f>
        <v>110.10000000000001</v>
      </c>
      <c r="L563" s="125">
        <f>K563-H563</f>
        <v>0</v>
      </c>
      <c r="M563" s="126">
        <f t="shared" si="83"/>
        <v>0</v>
      </c>
    </row>
    <row r="564" spans="1:13" ht="15.75" thickBot="1" x14ac:dyDescent="0.3">
      <c r="A564" s="100" t="str">
        <f t="shared" si="79"/>
        <v>RESIDENTIAL SERVICE CLASSIFICATION</v>
      </c>
      <c r="B564" s="105"/>
      <c r="C564" s="117"/>
      <c r="D564" s="165"/>
      <c r="E564" s="166"/>
      <c r="F564" s="167"/>
      <c r="G564" s="168"/>
      <c r="H564" s="169"/>
      <c r="I564" s="167"/>
      <c r="J564" s="170"/>
      <c r="K564" s="169"/>
      <c r="L564" s="171"/>
      <c r="M564" s="172"/>
    </row>
    <row r="565" spans="1:13" x14ac:dyDescent="0.25">
      <c r="A565" s="100" t="str">
        <f t="shared" si="79"/>
        <v>RESIDENTIAL SERVICE CLASSIFICATION</v>
      </c>
      <c r="B565" s="105" t="s">
        <v>117</v>
      </c>
      <c r="C565" s="117"/>
      <c r="D565" s="173" t="s">
        <v>183</v>
      </c>
      <c r="E565" s="158"/>
      <c r="F565" s="174"/>
      <c r="G565" s="175"/>
      <c r="H565" s="176">
        <f>SUM(H555:H561,H554)</f>
        <v>132.59424000000001</v>
      </c>
      <c r="I565" s="177"/>
      <c r="J565" s="177"/>
      <c r="K565" s="176">
        <f>SUM(K555:K561,K554)</f>
        <v>137.23515351045171</v>
      </c>
      <c r="L565" s="178">
        <f>K565-H565</f>
        <v>4.6409135104516963</v>
      </c>
      <c r="M565" s="179">
        <f>IF((H565)=0,"",(L565/H565))</f>
        <v>3.5000868140665053E-2</v>
      </c>
    </row>
    <row r="566" spans="1:13" x14ac:dyDescent="0.25">
      <c r="A566" s="100" t="str">
        <f t="shared" si="79"/>
        <v>RESIDENTIAL SERVICE CLASSIFICATION</v>
      </c>
      <c r="B566" s="105" t="s">
        <v>117</v>
      </c>
      <c r="C566" s="117"/>
      <c r="D566" s="180" t="s">
        <v>184</v>
      </c>
      <c r="E566" s="158"/>
      <c r="F566" s="174">
        <v>0.13</v>
      </c>
      <c r="G566" s="181"/>
      <c r="H566" s="182">
        <f>H565*F566</f>
        <v>17.237251200000003</v>
      </c>
      <c r="I566" s="183">
        <v>0.13</v>
      </c>
      <c r="J566" s="121"/>
      <c r="K566" s="182">
        <f>K565*I566</f>
        <v>17.840569956358724</v>
      </c>
      <c r="L566" s="184">
        <f>K566-H566</f>
        <v>0.60331875635872123</v>
      </c>
      <c r="M566" s="185">
        <f>IF((H566)=0,"",(L566/H566))</f>
        <v>3.5000868140665095E-2</v>
      </c>
    </row>
    <row r="567" spans="1:13" x14ac:dyDescent="0.25">
      <c r="A567" s="100" t="str">
        <f t="shared" si="79"/>
        <v>RESIDENTIAL SERVICE CLASSIFICATION</v>
      </c>
      <c r="B567" s="105" t="s">
        <v>117</v>
      </c>
      <c r="C567" s="117"/>
      <c r="D567" s="180" t="s">
        <v>185</v>
      </c>
      <c r="E567" s="158"/>
      <c r="F567" s="174">
        <v>0.08</v>
      </c>
      <c r="G567" s="181"/>
      <c r="H567" s="182">
        <f>H565*-F567</f>
        <v>-10.607539200000002</v>
      </c>
      <c r="I567" s="174">
        <v>0.08</v>
      </c>
      <c r="J567" s="121"/>
      <c r="K567" s="182">
        <f>K565*-I567</f>
        <v>-10.978812280836136</v>
      </c>
      <c r="L567" s="184">
        <f>K567-H567</f>
        <v>-0.37127308083613464</v>
      </c>
      <c r="M567" s="185"/>
    </row>
    <row r="568" spans="1:13" ht="15.75" thickBot="1" x14ac:dyDescent="0.3">
      <c r="A568" s="100" t="str">
        <f t="shared" si="79"/>
        <v>RESIDENTIAL SERVICE CLASSIFICATION</v>
      </c>
      <c r="B568" s="105" t="s">
        <v>186</v>
      </c>
      <c r="C568" s="117">
        <f>B38</f>
        <v>9</v>
      </c>
      <c r="D568" s="301" t="s">
        <v>187</v>
      </c>
      <c r="E568" s="301"/>
      <c r="F568" s="186"/>
      <c r="G568" s="187"/>
      <c r="H568" s="188">
        <f>H565+H566+H567</f>
        <v>139.22395200000003</v>
      </c>
      <c r="I568" s="189"/>
      <c r="J568" s="189"/>
      <c r="K568" s="190">
        <f>K565+K566+K567</f>
        <v>144.09691118597431</v>
      </c>
      <c r="L568" s="191">
        <f>K568-H568</f>
        <v>4.8729591859742811</v>
      </c>
      <c r="M568" s="192">
        <f>IF((H568)=0,"",(L568/H568))</f>
        <v>3.5000868140665053E-2</v>
      </c>
    </row>
    <row r="569" spans="1:13" ht="15.75" hidden="1" thickBot="1" x14ac:dyDescent="0.3">
      <c r="A569" s="100" t="str">
        <f t="shared" si="79"/>
        <v>RESIDENTIAL SERVICE CLASSIFICATION</v>
      </c>
      <c r="B569" s="100" t="s">
        <v>117</v>
      </c>
      <c r="C569" s="117"/>
      <c r="D569" s="165"/>
      <c r="E569" s="166"/>
      <c r="F569" s="167"/>
      <c r="G569" s="168"/>
      <c r="H569" s="169"/>
      <c r="I569" s="167"/>
      <c r="J569" s="170"/>
      <c r="K569" s="169"/>
      <c r="L569" s="171"/>
      <c r="M569" s="172"/>
    </row>
    <row r="570" spans="1:13" hidden="1" x14ac:dyDescent="0.25">
      <c r="A570" s="100" t="str">
        <f t="shared" si="79"/>
        <v>RESIDENTIAL SERVICE CLASSIFICATION</v>
      </c>
      <c r="B570" s="100" t="s">
        <v>180</v>
      </c>
      <c r="C570" s="117"/>
      <c r="D570" s="173" t="s">
        <v>188</v>
      </c>
      <c r="E570" s="158"/>
      <c r="F570" s="174"/>
      <c r="G570" s="175"/>
      <c r="H570" s="176">
        <f>SUM(H562,H555:H558,H554)</f>
        <v>160.70424</v>
      </c>
      <c r="I570" s="177"/>
      <c r="J570" s="177"/>
      <c r="K570" s="176">
        <f>SUM(K562,K555:K558,K554)</f>
        <v>165.34515351045172</v>
      </c>
      <c r="L570" s="178">
        <f>K570-H570</f>
        <v>4.6409135104517247</v>
      </c>
      <c r="M570" s="179">
        <f>IF((H570)=0,"",(L570/H570))</f>
        <v>2.8878600281185642E-2</v>
      </c>
    </row>
    <row r="571" spans="1:13" hidden="1" x14ac:dyDescent="0.25">
      <c r="A571" s="100" t="str">
        <f t="shared" si="79"/>
        <v>RESIDENTIAL SERVICE CLASSIFICATION</v>
      </c>
      <c r="B571" s="100" t="s">
        <v>180</v>
      </c>
      <c r="C571" s="117"/>
      <c r="D571" s="180" t="s">
        <v>184</v>
      </c>
      <c r="E571" s="158"/>
      <c r="F571" s="174">
        <v>0.13</v>
      </c>
      <c r="G571" s="175"/>
      <c r="H571" s="182">
        <f>H570*F571</f>
        <v>20.891551200000002</v>
      </c>
      <c r="I571" s="174">
        <v>0.13</v>
      </c>
      <c r="J571" s="183"/>
      <c r="K571" s="182">
        <f>K570*I571</f>
        <v>21.494869956358723</v>
      </c>
      <c r="L571" s="184">
        <f>K571-H571</f>
        <v>0.60331875635872123</v>
      </c>
      <c r="M571" s="185">
        <f>IF((H571)=0,"",(L571/H571))</f>
        <v>2.8878600281185496E-2</v>
      </c>
    </row>
    <row r="572" spans="1:13" hidden="1" x14ac:dyDescent="0.25">
      <c r="A572" s="100" t="str">
        <f t="shared" si="79"/>
        <v>RESIDENTIAL SERVICE CLASSIFICATION</v>
      </c>
      <c r="B572" s="100" t="s">
        <v>180</v>
      </c>
      <c r="C572" s="117"/>
      <c r="D572" s="180" t="s">
        <v>185</v>
      </c>
      <c r="E572" s="158"/>
      <c r="F572" s="174">
        <v>0.08</v>
      </c>
      <c r="G572" s="175"/>
      <c r="H572" s="182"/>
      <c r="I572" s="174">
        <v>0.08</v>
      </c>
      <c r="J572" s="183"/>
      <c r="K572" s="182"/>
      <c r="L572" s="184"/>
      <c r="M572" s="185"/>
    </row>
    <row r="573" spans="1:13" ht="15.75" hidden="1" thickBot="1" x14ac:dyDescent="0.3">
      <c r="A573" s="100" t="str">
        <f t="shared" si="79"/>
        <v>RESIDENTIAL SERVICE CLASSIFICATION</v>
      </c>
      <c r="B573" s="100" t="s">
        <v>189</v>
      </c>
      <c r="C573" s="117"/>
      <c r="D573" s="301" t="s">
        <v>188</v>
      </c>
      <c r="E573" s="301"/>
      <c r="F573" s="193"/>
      <c r="G573" s="194"/>
      <c r="H573" s="188">
        <f>SUM(H570,H571)</f>
        <v>181.59579120000001</v>
      </c>
      <c r="I573" s="195"/>
      <c r="J573" s="195"/>
      <c r="K573" s="188">
        <f>SUM(K570,K571)</f>
        <v>186.84002346681044</v>
      </c>
      <c r="L573" s="196">
        <f>K573-H573</f>
        <v>5.2442322668104282</v>
      </c>
      <c r="M573" s="197">
        <f>IF((H573)=0,"",(L573/H573))</f>
        <v>2.8878600281185527E-2</v>
      </c>
    </row>
    <row r="574" spans="1:13" ht="15.75" hidden="1" thickBot="1" x14ac:dyDescent="0.3">
      <c r="A574" s="100" t="str">
        <f t="shared" si="79"/>
        <v>RESIDENTIAL SERVICE CLASSIFICATION</v>
      </c>
      <c r="B574" s="100" t="s">
        <v>180</v>
      </c>
      <c r="C574" s="117"/>
      <c r="D574" s="165"/>
      <c r="E574" s="166"/>
      <c r="F574" s="198"/>
      <c r="G574" s="199"/>
      <c r="H574" s="200"/>
      <c r="I574" s="198"/>
      <c r="J574" s="168"/>
      <c r="K574" s="200"/>
      <c r="L574" s="201"/>
      <c r="M574" s="172"/>
    </row>
    <row r="575" spans="1:13" hidden="1" x14ac:dyDescent="0.25">
      <c r="A575" s="100" t="str">
        <f t="shared" si="79"/>
        <v>RESIDENTIAL SERVICE CLASSIFICATION</v>
      </c>
      <c r="B575" s="100" t="s">
        <v>121</v>
      </c>
      <c r="C575" s="117"/>
      <c r="D575" s="173" t="s">
        <v>190</v>
      </c>
      <c r="E575" s="158"/>
      <c r="F575" s="174"/>
      <c r="G575" s="175"/>
      <c r="H575" s="176">
        <f>SUM(H563,H555:H558,H554)</f>
        <v>160.70424</v>
      </c>
      <c r="I575" s="177"/>
      <c r="J575" s="177"/>
      <c r="K575" s="176">
        <f>SUM(K563,K555:K558,K554)</f>
        <v>165.34515351045172</v>
      </c>
      <c r="L575" s="178">
        <f>K575-H575</f>
        <v>4.6409135104517247</v>
      </c>
      <c r="M575" s="179">
        <f>IF((H575)=0,"",(L575/H575))</f>
        <v>2.8878600281185642E-2</v>
      </c>
    </row>
    <row r="576" spans="1:13" hidden="1" x14ac:dyDescent="0.25">
      <c r="A576" s="100" t="str">
        <f t="shared" si="79"/>
        <v>RESIDENTIAL SERVICE CLASSIFICATION</v>
      </c>
      <c r="B576" s="100" t="s">
        <v>121</v>
      </c>
      <c r="C576" s="117"/>
      <c r="D576" s="180" t="s">
        <v>184</v>
      </c>
      <c r="E576" s="158"/>
      <c r="F576" s="174">
        <v>0.13</v>
      </c>
      <c r="G576" s="175"/>
      <c r="H576" s="182">
        <f>H575*F576</f>
        <v>20.891551200000002</v>
      </c>
      <c r="I576" s="174">
        <v>0.13</v>
      </c>
      <c r="J576" s="183"/>
      <c r="K576" s="182">
        <f>K575*I576</f>
        <v>21.494869956358723</v>
      </c>
      <c r="L576" s="184">
        <f>K576-H576</f>
        <v>0.60331875635872123</v>
      </c>
      <c r="M576" s="185">
        <f>IF((H576)=0,"",(L576/H576))</f>
        <v>2.8878600281185496E-2</v>
      </c>
    </row>
    <row r="577" spans="1:13" hidden="1" x14ac:dyDescent="0.25">
      <c r="A577" s="100" t="str">
        <f t="shared" si="79"/>
        <v>RESIDENTIAL SERVICE CLASSIFICATION</v>
      </c>
      <c r="B577" s="100" t="s">
        <v>121</v>
      </c>
      <c r="C577" s="117"/>
      <c r="D577" s="180" t="s">
        <v>185</v>
      </c>
      <c r="E577" s="158"/>
      <c r="F577" s="174">
        <v>0.08</v>
      </c>
      <c r="G577" s="175"/>
      <c r="H577" s="182"/>
      <c r="I577" s="174">
        <v>0.08</v>
      </c>
      <c r="J577" s="183"/>
      <c r="K577" s="182"/>
      <c r="L577" s="184"/>
      <c r="M577" s="185"/>
    </row>
    <row r="578" spans="1:13" ht="15.75" hidden="1" thickBot="1" x14ac:dyDescent="0.3">
      <c r="A578" s="100" t="str">
        <f t="shared" si="79"/>
        <v>RESIDENTIAL SERVICE CLASSIFICATION</v>
      </c>
      <c r="B578" s="100" t="s">
        <v>191</v>
      </c>
      <c r="C578" s="117"/>
      <c r="D578" s="301" t="s">
        <v>190</v>
      </c>
      <c r="E578" s="301"/>
      <c r="F578" s="193"/>
      <c r="G578" s="194"/>
      <c r="H578" s="188">
        <f>SUM(H575,H576)</f>
        <v>181.59579120000001</v>
      </c>
      <c r="I578" s="195"/>
      <c r="J578" s="195"/>
      <c r="K578" s="188">
        <f>SUM(K575,K576)</f>
        <v>186.84002346681044</v>
      </c>
      <c r="L578" s="196">
        <f>K578-H578</f>
        <v>5.2442322668104282</v>
      </c>
      <c r="M578" s="197">
        <f>IF((H578)=0,"",(L578/H578))</f>
        <v>2.8878600281185527E-2</v>
      </c>
    </row>
    <row r="579" spans="1:13" ht="15.75" thickBot="1" x14ac:dyDescent="0.3">
      <c r="A579" s="100" t="str">
        <f t="shared" si="79"/>
        <v>RESIDENTIAL SERVICE CLASSIFICATION</v>
      </c>
      <c r="B579" s="100" t="s">
        <v>121</v>
      </c>
      <c r="C579" s="117"/>
      <c r="D579" s="165"/>
      <c r="E579" s="166"/>
      <c r="F579" s="202"/>
      <c r="G579" s="203"/>
      <c r="H579" s="204"/>
      <c r="I579" s="202"/>
      <c r="J579" s="205"/>
      <c r="K579" s="204"/>
      <c r="L579" s="206"/>
      <c r="M579" s="207"/>
    </row>
    <row r="582" spans="1:13" x14ac:dyDescent="0.25">
      <c r="C582" s="100"/>
      <c r="D582" s="101" t="s">
        <v>134</v>
      </c>
      <c r="E582" s="302" t="str">
        <f>D39</f>
        <v>RESIDENTIAL SERVICE CLASSIFICATION</v>
      </c>
      <c r="F582" s="302"/>
      <c r="G582" s="302"/>
      <c r="H582" s="302"/>
      <c r="I582" s="302"/>
      <c r="J582" s="302"/>
      <c r="K582" s="100" t="str">
        <f>IF(N39="DEMAND - INTERVAL","RTSR - INTERVAL METERED","")</f>
        <v/>
      </c>
    </row>
    <row r="583" spans="1:13" x14ac:dyDescent="0.25">
      <c r="C583" s="100"/>
      <c r="D583" s="101" t="s">
        <v>135</v>
      </c>
      <c r="E583" s="303" t="str">
        <f>H39</f>
        <v>RPP</v>
      </c>
      <c r="F583" s="303"/>
      <c r="G583" s="303"/>
      <c r="H583" s="102"/>
      <c r="I583" s="102"/>
    </row>
    <row r="584" spans="1:13" ht="15.75" x14ac:dyDescent="0.25">
      <c r="C584" s="100"/>
      <c r="D584" s="101" t="s">
        <v>136</v>
      </c>
      <c r="E584" s="103">
        <f>K39</f>
        <v>2500</v>
      </c>
      <c r="F584" s="104" t="s">
        <v>137</v>
      </c>
      <c r="G584" s="105"/>
      <c r="J584" s="106"/>
      <c r="K584" s="106"/>
      <c r="L584" s="106"/>
      <c r="M584" s="106"/>
    </row>
    <row r="585" spans="1:13" ht="15.75" x14ac:dyDescent="0.25">
      <c r="C585" s="100"/>
      <c r="D585" s="101" t="s">
        <v>138</v>
      </c>
      <c r="E585" s="103">
        <f>L39</f>
        <v>0</v>
      </c>
      <c r="F585" s="107" t="s">
        <v>139</v>
      </c>
      <c r="G585" s="108"/>
      <c r="H585" s="109"/>
      <c r="I585" s="109"/>
      <c r="J585" s="109"/>
    </row>
    <row r="586" spans="1:13" x14ac:dyDescent="0.25">
      <c r="C586" s="100"/>
      <c r="D586" s="101" t="s">
        <v>140</v>
      </c>
      <c r="E586" s="110">
        <f>I39</f>
        <v>1.056</v>
      </c>
    </row>
    <row r="587" spans="1:13" x14ac:dyDescent="0.25">
      <c r="C587" s="100"/>
      <c r="D587" s="101" t="s">
        <v>141</v>
      </c>
      <c r="E587" s="110">
        <f>J39</f>
        <v>1.056</v>
      </c>
    </row>
    <row r="588" spans="1:13" x14ac:dyDescent="0.25">
      <c r="C588" s="100"/>
      <c r="D588" s="105"/>
    </row>
    <row r="589" spans="1:13" x14ac:dyDescent="0.25">
      <c r="C589" s="100"/>
      <c r="D589" s="105"/>
      <c r="E589" s="111"/>
      <c r="F589" s="304" t="s">
        <v>142</v>
      </c>
      <c r="G589" s="305"/>
      <c r="H589" s="306"/>
      <c r="I589" s="304" t="s">
        <v>143</v>
      </c>
      <c r="J589" s="305"/>
      <c r="K589" s="306"/>
      <c r="L589" s="304" t="s">
        <v>144</v>
      </c>
      <c r="M589" s="306"/>
    </row>
    <row r="590" spans="1:13" x14ac:dyDescent="0.25">
      <c r="C590" s="100"/>
      <c r="D590" s="105"/>
      <c r="E590" s="295"/>
      <c r="F590" s="112" t="s">
        <v>145</v>
      </c>
      <c r="G590" s="112" t="s">
        <v>146</v>
      </c>
      <c r="H590" s="113" t="s">
        <v>147</v>
      </c>
      <c r="I590" s="112" t="s">
        <v>145</v>
      </c>
      <c r="J590" s="114" t="s">
        <v>146</v>
      </c>
      <c r="K590" s="113" t="s">
        <v>147</v>
      </c>
      <c r="L590" s="297" t="s">
        <v>148</v>
      </c>
      <c r="M590" s="299" t="s">
        <v>149</v>
      </c>
    </row>
    <row r="591" spans="1:13" x14ac:dyDescent="0.25">
      <c r="C591" s="100"/>
      <c r="D591" s="105"/>
      <c r="E591" s="296"/>
      <c r="F591" s="115" t="s">
        <v>150</v>
      </c>
      <c r="G591" s="115"/>
      <c r="H591" s="116" t="s">
        <v>150</v>
      </c>
      <c r="I591" s="115" t="s">
        <v>150</v>
      </c>
      <c r="J591" s="116"/>
      <c r="K591" s="116" t="s">
        <v>150</v>
      </c>
      <c r="L591" s="298"/>
      <c r="M591" s="300"/>
    </row>
    <row r="592" spans="1:13" x14ac:dyDescent="0.25">
      <c r="A592" s="100" t="str">
        <f>$E582</f>
        <v>RESIDENTIAL SERVICE CLASSIFICATION</v>
      </c>
      <c r="C592" s="117"/>
      <c r="D592" s="118" t="s">
        <v>151</v>
      </c>
      <c r="E592" s="119"/>
      <c r="F592" s="120">
        <v>23.48</v>
      </c>
      <c r="G592" s="121">
        <v>1</v>
      </c>
      <c r="H592" s="122">
        <f>G592*F592</f>
        <v>23.48</v>
      </c>
      <c r="I592" s="123">
        <v>23.48</v>
      </c>
      <c r="J592" s="124">
        <f>G592</f>
        <v>1</v>
      </c>
      <c r="K592" s="122">
        <f>J592*I592</f>
        <v>23.48</v>
      </c>
      <c r="L592" s="125">
        <f t="shared" ref="L592:L613" si="84">K592-H592</f>
        <v>0</v>
      </c>
      <c r="M592" s="126">
        <f>IF(ISERROR(L592/H592), "", L592/H592)</f>
        <v>0</v>
      </c>
    </row>
    <row r="593" spans="1:13" x14ac:dyDescent="0.25">
      <c r="A593" s="100" t="str">
        <f>A592</f>
        <v>RESIDENTIAL SERVICE CLASSIFICATION</v>
      </c>
      <c r="C593" s="117"/>
      <c r="D593" s="118" t="s">
        <v>152</v>
      </c>
      <c r="E593" s="119"/>
      <c r="F593" s="127">
        <v>3.3999999999999998E-3</v>
      </c>
      <c r="G593" s="121">
        <f>IF($E585&gt;0, $E585, $E584)</f>
        <v>2500</v>
      </c>
      <c r="H593" s="122">
        <f t="shared" ref="H593:H605" si="85">G593*F593</f>
        <v>8.5</v>
      </c>
      <c r="I593" s="128">
        <v>3.3999999999999998E-3</v>
      </c>
      <c r="J593" s="124">
        <f>IF($E585&gt;0, $E585, $E584)</f>
        <v>2500</v>
      </c>
      <c r="K593" s="122">
        <f>J593*I593</f>
        <v>8.5</v>
      </c>
      <c r="L593" s="125">
        <f t="shared" si="84"/>
        <v>0</v>
      </c>
      <c r="M593" s="126">
        <f t="shared" ref="M593:M603" si="86">IF(ISERROR(L593/H593), "", L593/H593)</f>
        <v>0</v>
      </c>
    </row>
    <row r="594" spans="1:13" x14ac:dyDescent="0.25">
      <c r="A594" s="100" t="str">
        <f t="shared" ref="A594:A635" si="87">A593</f>
        <v>RESIDENTIAL SERVICE CLASSIFICATION</v>
      </c>
      <c r="C594" s="117"/>
      <c r="D594" s="118" t="s">
        <v>153</v>
      </c>
      <c r="E594" s="119"/>
      <c r="F594" s="127"/>
      <c r="G594" s="121">
        <f>IF($E585&gt;0, $E585, $E584)</f>
        <v>2500</v>
      </c>
      <c r="H594" s="122">
        <v>0</v>
      </c>
      <c r="I594" s="128"/>
      <c r="J594" s="124">
        <f>IF($E585&gt;0, $E585, $E584)</f>
        <v>2500</v>
      </c>
      <c r="K594" s="122">
        <v>0</v>
      </c>
      <c r="L594" s="125"/>
      <c r="M594" s="126"/>
    </row>
    <row r="595" spans="1:13" x14ac:dyDescent="0.25">
      <c r="A595" s="100" t="str">
        <f t="shared" si="87"/>
        <v>RESIDENTIAL SERVICE CLASSIFICATION</v>
      </c>
      <c r="C595" s="117"/>
      <c r="D595" s="118" t="s">
        <v>154</v>
      </c>
      <c r="E595" s="119"/>
      <c r="F595" s="127"/>
      <c r="G595" s="121">
        <f>IF($E585&gt;0, $E585, $E584)</f>
        <v>2500</v>
      </c>
      <c r="H595" s="122">
        <v>0</v>
      </c>
      <c r="I595" s="128"/>
      <c r="J595" s="121">
        <f>IF($E585&gt;0, $E585, $E584)</f>
        <v>2500</v>
      </c>
      <c r="K595" s="122">
        <v>0</v>
      </c>
      <c r="L595" s="125">
        <f>K595-H595</f>
        <v>0</v>
      </c>
      <c r="M595" s="126" t="str">
        <f>IF(ISERROR(L595/H595), "", L595/H595)</f>
        <v/>
      </c>
    </row>
    <row r="596" spans="1:13" x14ac:dyDescent="0.25">
      <c r="A596" s="100" t="str">
        <f t="shared" si="87"/>
        <v>RESIDENTIAL SERVICE CLASSIFICATION</v>
      </c>
      <c r="C596" s="117"/>
      <c r="D596" s="129" t="s">
        <v>155</v>
      </c>
      <c r="E596" s="119"/>
      <c r="F596" s="120">
        <v>0</v>
      </c>
      <c r="G596" s="121">
        <v>1</v>
      </c>
      <c r="H596" s="122">
        <f t="shared" si="85"/>
        <v>0</v>
      </c>
      <c r="I596" s="226">
        <f>'Rate Riders'!O8</f>
        <v>4.6409135104517185</v>
      </c>
      <c r="J596" s="124">
        <f>G596</f>
        <v>1</v>
      </c>
      <c r="K596" s="122">
        <f t="shared" ref="K596:K603" si="88">J596*I596</f>
        <v>4.6409135104517185</v>
      </c>
      <c r="L596" s="125">
        <f t="shared" si="84"/>
        <v>4.6409135104517185</v>
      </c>
      <c r="M596" s="126" t="str">
        <f t="shared" si="86"/>
        <v/>
      </c>
    </row>
    <row r="597" spans="1:13" x14ac:dyDescent="0.25">
      <c r="A597" s="100" t="str">
        <f t="shared" si="87"/>
        <v>RESIDENTIAL SERVICE CLASSIFICATION</v>
      </c>
      <c r="C597" s="117"/>
      <c r="D597" s="118" t="s">
        <v>156</v>
      </c>
      <c r="E597" s="119"/>
      <c r="F597" s="127">
        <v>0</v>
      </c>
      <c r="G597" s="121">
        <f>IF($E585&gt;0, $E585, $E584)</f>
        <v>2500</v>
      </c>
      <c r="H597" s="122">
        <f t="shared" si="85"/>
        <v>0</v>
      </c>
      <c r="I597" s="227">
        <v>0</v>
      </c>
      <c r="J597" s="124">
        <f>IF($E585&gt;0, $E585, $E584)</f>
        <v>2500</v>
      </c>
      <c r="K597" s="122">
        <f t="shared" si="88"/>
        <v>0</v>
      </c>
      <c r="L597" s="125">
        <f t="shared" si="84"/>
        <v>0</v>
      </c>
      <c r="M597" s="126" t="str">
        <f t="shared" si="86"/>
        <v/>
      </c>
    </row>
    <row r="598" spans="1:13" x14ac:dyDescent="0.25">
      <c r="A598" s="100" t="str">
        <f t="shared" si="87"/>
        <v>RESIDENTIAL SERVICE CLASSIFICATION</v>
      </c>
      <c r="B598" s="130" t="s">
        <v>157</v>
      </c>
      <c r="C598" s="117">
        <f>B39</f>
        <v>10</v>
      </c>
      <c r="D598" s="131" t="s">
        <v>158</v>
      </c>
      <c r="E598" s="132"/>
      <c r="F598" s="133"/>
      <c r="G598" s="134"/>
      <c r="H598" s="135">
        <f>SUM(H592:H597)</f>
        <v>31.98</v>
      </c>
      <c r="I598" s="136"/>
      <c r="J598" s="137"/>
      <c r="K598" s="135">
        <f>SUM(K592:K597)</f>
        <v>36.620913510451722</v>
      </c>
      <c r="L598" s="138">
        <f t="shared" si="84"/>
        <v>4.6409135104517212</v>
      </c>
      <c r="M598" s="139">
        <f>IF((H598)=0,"",(L598/H598))</f>
        <v>0.14511924673082305</v>
      </c>
    </row>
    <row r="599" spans="1:13" x14ac:dyDescent="0.25">
      <c r="A599" s="100" t="str">
        <f t="shared" si="87"/>
        <v>RESIDENTIAL SERVICE CLASSIFICATION</v>
      </c>
      <c r="C599" s="117"/>
      <c r="D599" s="140" t="s">
        <v>159</v>
      </c>
      <c r="E599" s="119"/>
      <c r="F599" s="127">
        <f>IF((E584*12&gt;=150000), 0, IF(E583="RPP",(F615*0.65+F616*0.17+F617*0.18),IF(E583="Non-RPP (Retailer)",F618,F619)))</f>
        <v>8.1990000000000007E-2</v>
      </c>
      <c r="G599" s="141">
        <f>IF(F599=0, 0, $E584*E586-E584)</f>
        <v>140</v>
      </c>
      <c r="H599" s="122">
        <f>G599*F599</f>
        <v>11.4786</v>
      </c>
      <c r="I599" s="128">
        <v>8.1990000000000007E-2</v>
      </c>
      <c r="J599" s="141">
        <f>IF(I599=0, 0, E584*E587-E584)</f>
        <v>140</v>
      </c>
      <c r="K599" s="122">
        <f>J599*I599</f>
        <v>11.4786</v>
      </c>
      <c r="L599" s="125">
        <f>K599-H599</f>
        <v>0</v>
      </c>
      <c r="M599" s="126">
        <f>IF(ISERROR(L599/H599), "", L599/H599)</f>
        <v>0</v>
      </c>
    </row>
    <row r="600" spans="1:13" ht="25.5" x14ac:dyDescent="0.25">
      <c r="A600" s="100" t="str">
        <f t="shared" si="87"/>
        <v>RESIDENTIAL SERVICE CLASSIFICATION</v>
      </c>
      <c r="C600" s="117"/>
      <c r="D600" s="140" t="s">
        <v>160</v>
      </c>
      <c r="E600" s="119"/>
      <c r="F600" s="127">
        <v>-1.4E-3</v>
      </c>
      <c r="G600" s="142">
        <f>IF($E585&gt;0, $E585, $E584)</f>
        <v>2500</v>
      </c>
      <c r="H600" s="122">
        <f t="shared" si="85"/>
        <v>-3.5</v>
      </c>
      <c r="I600" s="128">
        <v>-1.4E-3</v>
      </c>
      <c r="J600" s="142">
        <f>IF($E585&gt;0, $E585, $E584)</f>
        <v>2500</v>
      </c>
      <c r="K600" s="122">
        <f t="shared" si="88"/>
        <v>-3.5</v>
      </c>
      <c r="L600" s="125">
        <f t="shared" si="84"/>
        <v>0</v>
      </c>
      <c r="M600" s="126">
        <f t="shared" si="86"/>
        <v>0</v>
      </c>
    </row>
    <row r="601" spans="1:13" x14ac:dyDescent="0.25">
      <c r="A601" s="100" t="str">
        <f t="shared" si="87"/>
        <v>RESIDENTIAL SERVICE CLASSIFICATION</v>
      </c>
      <c r="C601" s="117"/>
      <c r="D601" s="140" t="s">
        <v>161</v>
      </c>
      <c r="E601" s="119"/>
      <c r="F601" s="127">
        <v>-1E-4</v>
      </c>
      <c r="G601" s="142">
        <f>IF($E585&gt;0, $E585, $E584)</f>
        <v>2500</v>
      </c>
      <c r="H601" s="122">
        <f>G601*F601</f>
        <v>-0.25</v>
      </c>
      <c r="I601" s="128">
        <v>-1E-4</v>
      </c>
      <c r="J601" s="142">
        <f>IF($E585&gt;0, $E585, $E584)</f>
        <v>2500</v>
      </c>
      <c r="K601" s="122">
        <f>J601*I601</f>
        <v>-0.25</v>
      </c>
      <c r="L601" s="125">
        <f t="shared" si="84"/>
        <v>0</v>
      </c>
      <c r="M601" s="126">
        <f t="shared" si="86"/>
        <v>0</v>
      </c>
    </row>
    <row r="602" spans="1:13" x14ac:dyDescent="0.25">
      <c r="A602" s="100" t="str">
        <f t="shared" si="87"/>
        <v>RESIDENTIAL SERVICE CLASSIFICATION</v>
      </c>
      <c r="C602" s="117"/>
      <c r="D602" s="140" t="s">
        <v>162</v>
      </c>
      <c r="E602" s="119"/>
      <c r="F602" s="127">
        <v>0</v>
      </c>
      <c r="G602" s="142">
        <f>E584</f>
        <v>2500</v>
      </c>
      <c r="H602" s="122">
        <f>G602*F602</f>
        <v>0</v>
      </c>
      <c r="I602" s="128">
        <v>0</v>
      </c>
      <c r="J602" s="142">
        <f>E584</f>
        <v>2500</v>
      </c>
      <c r="K602" s="122">
        <f t="shared" si="88"/>
        <v>0</v>
      </c>
      <c r="L602" s="125">
        <f t="shared" si="84"/>
        <v>0</v>
      </c>
      <c r="M602" s="126" t="str">
        <f t="shared" si="86"/>
        <v/>
      </c>
    </row>
    <row r="603" spans="1:13" x14ac:dyDescent="0.25">
      <c r="A603" s="100" t="str">
        <f t="shared" si="87"/>
        <v>RESIDENTIAL SERVICE CLASSIFICATION</v>
      </c>
      <c r="C603" s="117"/>
      <c r="D603" s="143" t="s">
        <v>163</v>
      </c>
      <c r="E603" s="119"/>
      <c r="F603" s="127">
        <v>2.5999999999999999E-3</v>
      </c>
      <c r="G603" s="142">
        <f>IF($E585&gt;0, $E585, $E584)</f>
        <v>2500</v>
      </c>
      <c r="H603" s="122">
        <f t="shared" si="85"/>
        <v>6.5</v>
      </c>
      <c r="I603" s="128">
        <v>2.5999999999999999E-3</v>
      </c>
      <c r="J603" s="142">
        <f>IF($E585&gt;0, $E585, $E584)</f>
        <v>2500</v>
      </c>
      <c r="K603" s="122">
        <f t="shared" si="88"/>
        <v>6.5</v>
      </c>
      <c r="L603" s="125">
        <f t="shared" si="84"/>
        <v>0</v>
      </c>
      <c r="M603" s="126">
        <f t="shared" si="86"/>
        <v>0</v>
      </c>
    </row>
    <row r="604" spans="1:13" ht="25.5" x14ac:dyDescent="0.25">
      <c r="A604" s="100" t="str">
        <f t="shared" si="87"/>
        <v>RESIDENTIAL SERVICE CLASSIFICATION</v>
      </c>
      <c r="C604" s="117"/>
      <c r="D604" s="144" t="s">
        <v>164</v>
      </c>
      <c r="E604" s="119"/>
      <c r="F604" s="145">
        <f>IF(OR(ISNUMBER(SEARCH("RESIDENTIAL", E582))=TRUE, ISNUMBER(SEARCH("GENERAL SERVICE LESS THAN 50", E582))=TRUE), SME, 0)</f>
        <v>0.56999999999999995</v>
      </c>
      <c r="G604" s="121">
        <v>1</v>
      </c>
      <c r="H604" s="122">
        <f>G604*F604</f>
        <v>0.56999999999999995</v>
      </c>
      <c r="I604" s="146">
        <v>0.56999999999999995</v>
      </c>
      <c r="J604" s="121">
        <v>1</v>
      </c>
      <c r="K604" s="122">
        <f>J604*I604</f>
        <v>0.56999999999999995</v>
      </c>
      <c r="L604" s="125">
        <f t="shared" si="84"/>
        <v>0</v>
      </c>
      <c r="M604" s="126">
        <f>IF(ISERROR(L604/H604), "", L604/H604)</f>
        <v>0</v>
      </c>
    </row>
    <row r="605" spans="1:13" x14ac:dyDescent="0.25">
      <c r="A605" s="100" t="str">
        <f t="shared" si="87"/>
        <v>RESIDENTIAL SERVICE CLASSIFICATION</v>
      </c>
      <c r="C605" s="117"/>
      <c r="D605" s="143" t="s">
        <v>165</v>
      </c>
      <c r="E605" s="119"/>
      <c r="F605" s="120">
        <v>0</v>
      </c>
      <c r="G605" s="121">
        <v>1</v>
      </c>
      <c r="H605" s="122">
        <f t="shared" si="85"/>
        <v>0</v>
      </c>
      <c r="I605" s="123">
        <v>0</v>
      </c>
      <c r="J605" s="121">
        <v>1</v>
      </c>
      <c r="K605" s="122">
        <f>J605*I605</f>
        <v>0</v>
      </c>
      <c r="L605" s="125">
        <f>K605-H605</f>
        <v>0</v>
      </c>
      <c r="M605" s="126" t="str">
        <f>IF(ISERROR(L605/H605), "", L605/H605)</f>
        <v/>
      </c>
    </row>
    <row r="606" spans="1:13" x14ac:dyDescent="0.25">
      <c r="A606" s="100" t="str">
        <f t="shared" si="87"/>
        <v>RESIDENTIAL SERVICE CLASSIFICATION</v>
      </c>
      <c r="C606" s="117"/>
      <c r="D606" s="143" t="s">
        <v>166</v>
      </c>
      <c r="E606" s="119"/>
      <c r="F606" s="127"/>
      <c r="G606" s="142">
        <f>IF($E585&gt;0, $E585, $E584)</f>
        <v>2500</v>
      </c>
      <c r="H606" s="122">
        <f>G606*F606</f>
        <v>0</v>
      </c>
      <c r="I606" s="128"/>
      <c r="J606" s="142">
        <f>IF($E585&gt;0, $E585, $E584)</f>
        <v>2500</v>
      </c>
      <c r="K606" s="122">
        <f>J606*I606</f>
        <v>0</v>
      </c>
      <c r="L606" s="125">
        <f t="shared" si="84"/>
        <v>0</v>
      </c>
      <c r="M606" s="126" t="str">
        <f>IF(ISERROR(L606/H606), "", L606/H606)</f>
        <v/>
      </c>
    </row>
    <row r="607" spans="1:13" ht="25.5" x14ac:dyDescent="0.25">
      <c r="A607" s="100" t="str">
        <f t="shared" si="87"/>
        <v>RESIDENTIAL SERVICE CLASSIFICATION</v>
      </c>
      <c r="B607" s="105" t="s">
        <v>167</v>
      </c>
      <c r="C607" s="117">
        <f>B39</f>
        <v>10</v>
      </c>
      <c r="D607" s="147" t="s">
        <v>168</v>
      </c>
      <c r="E607" s="148"/>
      <c r="F607" s="149"/>
      <c r="G607" s="150"/>
      <c r="H607" s="151">
        <f>SUM(H598:H606)</f>
        <v>46.778600000000004</v>
      </c>
      <c r="I607" s="152"/>
      <c r="J607" s="153"/>
      <c r="K607" s="151">
        <f>SUM(K598:K606)</f>
        <v>51.419513510451722</v>
      </c>
      <c r="L607" s="138">
        <f t="shared" si="84"/>
        <v>4.6409135104517176</v>
      </c>
      <c r="M607" s="139">
        <f>IF((H607)=0,"",(L607/H607))</f>
        <v>9.9210183939915195E-2</v>
      </c>
    </row>
    <row r="608" spans="1:13" x14ac:dyDescent="0.25">
      <c r="A608" s="100" t="str">
        <f t="shared" si="87"/>
        <v>RESIDENTIAL SERVICE CLASSIFICATION</v>
      </c>
      <c r="C608" s="117"/>
      <c r="D608" s="154" t="s">
        <v>169</v>
      </c>
      <c r="E608" s="119"/>
      <c r="F608" s="127">
        <v>6.7999999999999996E-3</v>
      </c>
      <c r="G608" s="141">
        <f>IF($E585&gt;0, $E585, $E584*$E586)</f>
        <v>2640</v>
      </c>
      <c r="H608" s="122">
        <f>G608*F608</f>
        <v>17.951999999999998</v>
      </c>
      <c r="I608" s="128">
        <v>6.7999999999999996E-3</v>
      </c>
      <c r="J608" s="141">
        <f>IF($E585&gt;0, $E585, $E584*$E587)</f>
        <v>2640</v>
      </c>
      <c r="K608" s="122">
        <f>J608*I608</f>
        <v>17.951999999999998</v>
      </c>
      <c r="L608" s="125">
        <f t="shared" si="84"/>
        <v>0</v>
      </c>
      <c r="M608" s="126">
        <f>IF(ISERROR(L608/H608), "", L608/H608)</f>
        <v>0</v>
      </c>
    </row>
    <row r="609" spans="1:13" ht="25.5" x14ac:dyDescent="0.25">
      <c r="A609" s="100" t="str">
        <f t="shared" si="87"/>
        <v>RESIDENTIAL SERVICE CLASSIFICATION</v>
      </c>
      <c r="C609" s="117"/>
      <c r="D609" s="155" t="s">
        <v>170</v>
      </c>
      <c r="E609" s="119"/>
      <c r="F609" s="127">
        <v>5.5999999999999999E-3</v>
      </c>
      <c r="G609" s="141">
        <f>IF($E585&gt;0, $E585, $E584*$E586)</f>
        <v>2640</v>
      </c>
      <c r="H609" s="122">
        <f>G609*F609</f>
        <v>14.784000000000001</v>
      </c>
      <c r="I609" s="128">
        <v>5.5999999999999999E-3</v>
      </c>
      <c r="J609" s="141">
        <f>IF($E585&gt;0, $E585, $E584*$E587)</f>
        <v>2640</v>
      </c>
      <c r="K609" s="122">
        <f>J609*I609</f>
        <v>14.784000000000001</v>
      </c>
      <c r="L609" s="125">
        <f t="shared" si="84"/>
        <v>0</v>
      </c>
      <c r="M609" s="126">
        <f>IF(ISERROR(L609/H609), "", L609/H609)</f>
        <v>0</v>
      </c>
    </row>
    <row r="610" spans="1:13" ht="25.5" x14ac:dyDescent="0.25">
      <c r="A610" s="100" t="str">
        <f t="shared" si="87"/>
        <v>RESIDENTIAL SERVICE CLASSIFICATION</v>
      </c>
      <c r="B610" s="105" t="s">
        <v>171</v>
      </c>
      <c r="C610" s="117">
        <f>B39</f>
        <v>10</v>
      </c>
      <c r="D610" s="147" t="s">
        <v>172</v>
      </c>
      <c r="E610" s="132"/>
      <c r="F610" s="149"/>
      <c r="G610" s="150"/>
      <c r="H610" s="151">
        <f>SUM(H607:H609)</f>
        <v>79.514600000000016</v>
      </c>
      <c r="I610" s="152"/>
      <c r="J610" s="137"/>
      <c r="K610" s="151">
        <f>SUM(K607:K609)</f>
        <v>84.155513510451726</v>
      </c>
      <c r="L610" s="138">
        <f t="shared" si="84"/>
        <v>4.6409135104517105</v>
      </c>
      <c r="M610" s="139">
        <f>IF((H610)=0,"",(L610/H610))</f>
        <v>5.8365551866596949E-2</v>
      </c>
    </row>
    <row r="611" spans="1:13" ht="25.5" x14ac:dyDescent="0.25">
      <c r="A611" s="100" t="str">
        <f t="shared" si="87"/>
        <v>RESIDENTIAL SERVICE CLASSIFICATION</v>
      </c>
      <c r="C611" s="117"/>
      <c r="D611" s="156" t="s">
        <v>173</v>
      </c>
      <c r="E611" s="119"/>
      <c r="F611" s="127">
        <v>3.6000000000000003E-3</v>
      </c>
      <c r="G611" s="141">
        <f>E584*E586</f>
        <v>2640</v>
      </c>
      <c r="H611" s="157">
        <f t="shared" ref="H611:H617" si="89">G611*F611</f>
        <v>9.5040000000000013</v>
      </c>
      <c r="I611" s="128">
        <v>3.6000000000000003E-3</v>
      </c>
      <c r="J611" s="141">
        <f>E584*E587</f>
        <v>2640</v>
      </c>
      <c r="K611" s="157">
        <f t="shared" ref="K611:K617" si="90">J611*I611</f>
        <v>9.5040000000000013</v>
      </c>
      <c r="L611" s="125">
        <f t="shared" si="84"/>
        <v>0</v>
      </c>
      <c r="M611" s="126">
        <f t="shared" ref="M611:M619" si="91">IF(ISERROR(L611/H611), "", L611/H611)</f>
        <v>0</v>
      </c>
    </row>
    <row r="612" spans="1:13" ht="25.5" x14ac:dyDescent="0.25">
      <c r="A612" s="100" t="str">
        <f t="shared" si="87"/>
        <v>RESIDENTIAL SERVICE CLASSIFICATION</v>
      </c>
      <c r="C612" s="117"/>
      <c r="D612" s="156" t="s">
        <v>174</v>
      </c>
      <c r="E612" s="119"/>
      <c r="F612" s="127">
        <f>'[1]17. Regulatory Charges'!$D$16</f>
        <v>2.9999999999999997E-4</v>
      </c>
      <c r="G612" s="141">
        <f>E584*E586</f>
        <v>2640</v>
      </c>
      <c r="H612" s="157">
        <f t="shared" si="89"/>
        <v>0.79199999999999993</v>
      </c>
      <c r="I612" s="128">
        <v>2.9999999999999997E-4</v>
      </c>
      <c r="J612" s="141">
        <f>E584*E587</f>
        <v>2640</v>
      </c>
      <c r="K612" s="157">
        <f t="shared" si="90"/>
        <v>0.79199999999999993</v>
      </c>
      <c r="L612" s="125">
        <f t="shared" si="84"/>
        <v>0</v>
      </c>
      <c r="M612" s="126">
        <f t="shared" si="91"/>
        <v>0</v>
      </c>
    </row>
    <row r="613" spans="1:13" x14ac:dyDescent="0.25">
      <c r="A613" s="100" t="str">
        <f t="shared" si="87"/>
        <v>RESIDENTIAL SERVICE CLASSIFICATION</v>
      </c>
      <c r="C613" s="117"/>
      <c r="D613" s="158" t="s">
        <v>175</v>
      </c>
      <c r="E613" s="119"/>
      <c r="F613" s="145">
        <v>0.25</v>
      </c>
      <c r="G613" s="121">
        <v>1</v>
      </c>
      <c r="H613" s="157">
        <f t="shared" si="89"/>
        <v>0.25</v>
      </c>
      <c r="I613" s="146">
        <v>0.25</v>
      </c>
      <c r="J613" s="124">
        <v>1</v>
      </c>
      <c r="K613" s="157">
        <f t="shared" si="90"/>
        <v>0.25</v>
      </c>
      <c r="L613" s="125">
        <f t="shared" si="84"/>
        <v>0</v>
      </c>
      <c r="M613" s="126">
        <f t="shared" si="91"/>
        <v>0</v>
      </c>
    </row>
    <row r="614" spans="1:13" ht="25.5" x14ac:dyDescent="0.25">
      <c r="A614" s="100" t="str">
        <f t="shared" si="87"/>
        <v>RESIDENTIAL SERVICE CLASSIFICATION</v>
      </c>
      <c r="C614" s="117"/>
      <c r="D614" s="156" t="s">
        <v>176</v>
      </c>
      <c r="E614" s="119"/>
      <c r="F614" s="127"/>
      <c r="G614" s="141"/>
      <c r="H614" s="157"/>
      <c r="I614" s="128"/>
      <c r="J614" s="141"/>
      <c r="K614" s="157"/>
      <c r="L614" s="125"/>
      <c r="M614" s="126"/>
    </row>
    <row r="615" spans="1:13" x14ac:dyDescent="0.25">
      <c r="A615" s="100" t="str">
        <f t="shared" si="87"/>
        <v>RESIDENTIAL SERVICE CLASSIFICATION</v>
      </c>
      <c r="B615" s="105" t="s">
        <v>117</v>
      </c>
      <c r="C615" s="117"/>
      <c r="D615" s="159" t="s">
        <v>177</v>
      </c>
      <c r="E615" s="119"/>
      <c r="F615" s="160">
        <f>OffPeak</f>
        <v>6.5000000000000002E-2</v>
      </c>
      <c r="G615" s="161">
        <f>IF(AND(E584*12&gt;=150000),0.65*E584*E586,0.65*E584)</f>
        <v>1625</v>
      </c>
      <c r="H615" s="157">
        <f t="shared" si="89"/>
        <v>105.625</v>
      </c>
      <c r="I615" s="162">
        <v>6.5000000000000002E-2</v>
      </c>
      <c r="J615" s="161">
        <f>IF(AND(E584*12&gt;=150000),0.65*E584*E587,0.65*E584)</f>
        <v>1625</v>
      </c>
      <c r="K615" s="157">
        <f t="shared" si="90"/>
        <v>105.625</v>
      </c>
      <c r="L615" s="125">
        <f>K615-H615</f>
        <v>0</v>
      </c>
      <c r="M615" s="126">
        <f t="shared" si="91"/>
        <v>0</v>
      </c>
    </row>
    <row r="616" spans="1:13" x14ac:dyDescent="0.25">
      <c r="A616" s="100" t="str">
        <f t="shared" si="87"/>
        <v>RESIDENTIAL SERVICE CLASSIFICATION</v>
      </c>
      <c r="B616" s="105" t="s">
        <v>117</v>
      </c>
      <c r="C616" s="117"/>
      <c r="D616" s="159" t="s">
        <v>178</v>
      </c>
      <c r="E616" s="119"/>
      <c r="F616" s="160">
        <f>MidPeak</f>
        <v>9.4E-2</v>
      </c>
      <c r="G616" s="161">
        <f>IF(AND(E584*12&gt;=150000),0.17*E584*E586,0.17*E584)</f>
        <v>425.00000000000006</v>
      </c>
      <c r="H616" s="157">
        <f t="shared" si="89"/>
        <v>39.950000000000003</v>
      </c>
      <c r="I616" s="162">
        <v>9.4E-2</v>
      </c>
      <c r="J616" s="161">
        <f>IF(AND(E584*12&gt;=150000),0.17*E584*E587,0.17*E584)</f>
        <v>425.00000000000006</v>
      </c>
      <c r="K616" s="157">
        <f t="shared" si="90"/>
        <v>39.950000000000003</v>
      </c>
      <c r="L616" s="125">
        <f>K616-H616</f>
        <v>0</v>
      </c>
      <c r="M616" s="126">
        <f t="shared" si="91"/>
        <v>0</v>
      </c>
    </row>
    <row r="617" spans="1:13" ht="15.75" thickBot="1" x14ac:dyDescent="0.3">
      <c r="A617" s="100" t="str">
        <f t="shared" si="87"/>
        <v>RESIDENTIAL SERVICE CLASSIFICATION</v>
      </c>
      <c r="B617" s="105" t="s">
        <v>117</v>
      </c>
      <c r="C617" s="117"/>
      <c r="D617" s="105" t="s">
        <v>179</v>
      </c>
      <c r="E617" s="119"/>
      <c r="F617" s="160">
        <f>OnPeak</f>
        <v>0.13200000000000001</v>
      </c>
      <c r="G617" s="161">
        <f>IF(AND(E584*12&gt;=150000),0.18*E584*E586,0.18*E584)</f>
        <v>450</v>
      </c>
      <c r="H617" s="157">
        <f t="shared" si="89"/>
        <v>59.400000000000006</v>
      </c>
      <c r="I617" s="162">
        <v>0.13200000000000001</v>
      </c>
      <c r="J617" s="161">
        <f>IF(AND(E584*12&gt;=150000),0.18*E584*E587,0.18*E584)</f>
        <v>450</v>
      </c>
      <c r="K617" s="157">
        <f t="shared" si="90"/>
        <v>59.400000000000006</v>
      </c>
      <c r="L617" s="125">
        <f>K617-H617</f>
        <v>0</v>
      </c>
      <c r="M617" s="126">
        <f t="shared" si="91"/>
        <v>0</v>
      </c>
    </row>
    <row r="618" spans="1:13" hidden="1" x14ac:dyDescent="0.25">
      <c r="A618" s="100" t="str">
        <f t="shared" si="87"/>
        <v>RESIDENTIAL SERVICE CLASSIFICATION</v>
      </c>
      <c r="B618" s="100" t="s">
        <v>180</v>
      </c>
      <c r="C618" s="117"/>
      <c r="D618" s="159" t="s">
        <v>181</v>
      </c>
      <c r="E618" s="119"/>
      <c r="F618" s="163">
        <v>0.1101</v>
      </c>
      <c r="G618" s="161">
        <f>IF(AND(E584*12&gt;=150000),E584*E586,E584)</f>
        <v>2500</v>
      </c>
      <c r="H618" s="157">
        <f>G618*F618</f>
        <v>275.25</v>
      </c>
      <c r="I618" s="164">
        <v>0.1101</v>
      </c>
      <c r="J618" s="161">
        <f>IF(AND(E584*12&gt;=150000),E584*E587,E584)</f>
        <v>2500</v>
      </c>
      <c r="K618" s="157">
        <f>J618*I618</f>
        <v>275.25</v>
      </c>
      <c r="L618" s="125">
        <f>K618-H618</f>
        <v>0</v>
      </c>
      <c r="M618" s="126">
        <f t="shared" si="91"/>
        <v>0</v>
      </c>
    </row>
    <row r="619" spans="1:13" ht="15.75" hidden="1" thickBot="1" x14ac:dyDescent="0.3">
      <c r="A619" s="100" t="str">
        <f t="shared" si="87"/>
        <v>RESIDENTIAL SERVICE CLASSIFICATION</v>
      </c>
      <c r="B619" s="100" t="s">
        <v>121</v>
      </c>
      <c r="C619" s="117"/>
      <c r="D619" s="159" t="s">
        <v>182</v>
      </c>
      <c r="E619" s="119"/>
      <c r="F619" s="163">
        <v>0.1101</v>
      </c>
      <c r="G619" s="161">
        <f>IF(AND(E584*12&gt;=150000),E584*E586,E584)</f>
        <v>2500</v>
      </c>
      <c r="H619" s="157">
        <f>G619*F619</f>
        <v>275.25</v>
      </c>
      <c r="I619" s="164">
        <v>0.1101</v>
      </c>
      <c r="J619" s="161">
        <f>IF(AND(E584*12&gt;=150000),E584*E587,E584)</f>
        <v>2500</v>
      </c>
      <c r="K619" s="157">
        <f>J619*I619</f>
        <v>275.25</v>
      </c>
      <c r="L619" s="125">
        <f>K619-H619</f>
        <v>0</v>
      </c>
      <c r="M619" s="126">
        <f t="shared" si="91"/>
        <v>0</v>
      </c>
    </row>
    <row r="620" spans="1:13" ht="15.75" thickBot="1" x14ac:dyDescent="0.3">
      <c r="A620" s="100" t="str">
        <f t="shared" si="87"/>
        <v>RESIDENTIAL SERVICE CLASSIFICATION</v>
      </c>
      <c r="B620" s="105"/>
      <c r="C620" s="117"/>
      <c r="D620" s="165"/>
      <c r="E620" s="166"/>
      <c r="F620" s="167"/>
      <c r="G620" s="168"/>
      <c r="H620" s="169"/>
      <c r="I620" s="167"/>
      <c r="J620" s="170"/>
      <c r="K620" s="169"/>
      <c r="L620" s="171"/>
      <c r="M620" s="172"/>
    </row>
    <row r="621" spans="1:13" x14ac:dyDescent="0.25">
      <c r="A621" s="100" t="str">
        <f t="shared" si="87"/>
        <v>RESIDENTIAL SERVICE CLASSIFICATION</v>
      </c>
      <c r="B621" s="105" t="s">
        <v>117</v>
      </c>
      <c r="C621" s="117"/>
      <c r="D621" s="173" t="s">
        <v>183</v>
      </c>
      <c r="E621" s="158"/>
      <c r="F621" s="174"/>
      <c r="G621" s="175"/>
      <c r="H621" s="176">
        <f>SUM(H611:H617,H610)</f>
        <v>295.03560000000004</v>
      </c>
      <c r="I621" s="177"/>
      <c r="J621" s="177"/>
      <c r="K621" s="176">
        <f>SUM(K611:K617,K610)</f>
        <v>299.67651351045174</v>
      </c>
      <c r="L621" s="178">
        <f>K621-H621</f>
        <v>4.6409135104516963</v>
      </c>
      <c r="M621" s="179">
        <f>IF((H621)=0,"",(L621/H621))</f>
        <v>1.5730011939073439E-2</v>
      </c>
    </row>
    <row r="622" spans="1:13" x14ac:dyDescent="0.25">
      <c r="A622" s="100" t="str">
        <f t="shared" si="87"/>
        <v>RESIDENTIAL SERVICE CLASSIFICATION</v>
      </c>
      <c r="B622" s="105" t="s">
        <v>117</v>
      </c>
      <c r="C622" s="117"/>
      <c r="D622" s="180" t="s">
        <v>184</v>
      </c>
      <c r="E622" s="158"/>
      <c r="F622" s="174">
        <v>0.13</v>
      </c>
      <c r="G622" s="181"/>
      <c r="H622" s="182">
        <f>H621*F622</f>
        <v>38.354628000000005</v>
      </c>
      <c r="I622" s="183">
        <v>0.13</v>
      </c>
      <c r="J622" s="121"/>
      <c r="K622" s="182">
        <f>K621*I622</f>
        <v>38.95794675635873</v>
      </c>
      <c r="L622" s="184">
        <f>K622-H622</f>
        <v>0.60331875635872478</v>
      </c>
      <c r="M622" s="185">
        <f>IF((H622)=0,"",(L622/H622))</f>
        <v>1.573001193907355E-2</v>
      </c>
    </row>
    <row r="623" spans="1:13" x14ac:dyDescent="0.25">
      <c r="A623" s="100" t="str">
        <f t="shared" si="87"/>
        <v>RESIDENTIAL SERVICE CLASSIFICATION</v>
      </c>
      <c r="B623" s="105" t="s">
        <v>117</v>
      </c>
      <c r="C623" s="117"/>
      <c r="D623" s="180" t="s">
        <v>185</v>
      </c>
      <c r="E623" s="158"/>
      <c r="F623" s="174">
        <v>0.08</v>
      </c>
      <c r="G623" s="181"/>
      <c r="H623" s="182">
        <f>H621*-F623</f>
        <v>-23.602848000000005</v>
      </c>
      <c r="I623" s="174">
        <v>0.08</v>
      </c>
      <c r="J623" s="121"/>
      <c r="K623" s="182">
        <f>K621*-I623</f>
        <v>-23.974121080836142</v>
      </c>
      <c r="L623" s="184">
        <f>K623-H623</f>
        <v>-0.37127308083613642</v>
      </c>
      <c r="M623" s="185"/>
    </row>
    <row r="624" spans="1:13" ht="15.75" thickBot="1" x14ac:dyDescent="0.3">
      <c r="A624" s="100" t="str">
        <f t="shared" si="87"/>
        <v>RESIDENTIAL SERVICE CLASSIFICATION</v>
      </c>
      <c r="B624" s="105" t="s">
        <v>186</v>
      </c>
      <c r="C624" s="117">
        <f>B39</f>
        <v>10</v>
      </c>
      <c r="D624" s="301" t="s">
        <v>187</v>
      </c>
      <c r="E624" s="301"/>
      <c r="F624" s="186"/>
      <c r="G624" s="187"/>
      <c r="H624" s="188">
        <f>H621+H622+H623</f>
        <v>309.78738000000004</v>
      </c>
      <c r="I624" s="189"/>
      <c r="J624" s="189"/>
      <c r="K624" s="190">
        <f>K621+K622+K623</f>
        <v>314.66033918597435</v>
      </c>
      <c r="L624" s="191">
        <f>K624-H624</f>
        <v>4.8729591859743095</v>
      </c>
      <c r="M624" s="192">
        <f>IF((H624)=0,"",(L624/H624))</f>
        <v>1.5730011939073533E-2</v>
      </c>
    </row>
    <row r="625" spans="1:13" ht="15.75" hidden="1" thickBot="1" x14ac:dyDescent="0.3">
      <c r="A625" s="100" t="str">
        <f t="shared" si="87"/>
        <v>RESIDENTIAL SERVICE CLASSIFICATION</v>
      </c>
      <c r="B625" s="100" t="s">
        <v>117</v>
      </c>
      <c r="C625" s="117"/>
      <c r="D625" s="165"/>
      <c r="E625" s="166"/>
      <c r="F625" s="167"/>
      <c r="G625" s="168"/>
      <c r="H625" s="169"/>
      <c r="I625" s="167"/>
      <c r="J625" s="170"/>
      <c r="K625" s="169"/>
      <c r="L625" s="171"/>
      <c r="M625" s="172"/>
    </row>
    <row r="626" spans="1:13" hidden="1" x14ac:dyDescent="0.25">
      <c r="A626" s="100" t="str">
        <f t="shared" si="87"/>
        <v>RESIDENTIAL SERVICE CLASSIFICATION</v>
      </c>
      <c r="B626" s="100" t="s">
        <v>180</v>
      </c>
      <c r="C626" s="117"/>
      <c r="D626" s="173" t="s">
        <v>188</v>
      </c>
      <c r="E626" s="158"/>
      <c r="F626" s="174"/>
      <c r="G626" s="175"/>
      <c r="H626" s="176">
        <f>SUM(H618,H611:H614,H610)</f>
        <v>365.31060000000002</v>
      </c>
      <c r="I626" s="177"/>
      <c r="J626" s="177"/>
      <c r="K626" s="176">
        <f>SUM(K618,K611:K614,K610)</f>
        <v>369.95151351045172</v>
      </c>
      <c r="L626" s="178">
        <f>K626-H626</f>
        <v>4.6409135104516963</v>
      </c>
      <c r="M626" s="179">
        <f>IF((H626)=0,"",(L626/H626))</f>
        <v>1.2704020935750827E-2</v>
      </c>
    </row>
    <row r="627" spans="1:13" hidden="1" x14ac:dyDescent="0.25">
      <c r="A627" s="100" t="str">
        <f t="shared" si="87"/>
        <v>RESIDENTIAL SERVICE CLASSIFICATION</v>
      </c>
      <c r="B627" s="100" t="s">
        <v>180</v>
      </c>
      <c r="C627" s="117"/>
      <c r="D627" s="180" t="s">
        <v>184</v>
      </c>
      <c r="E627" s="158"/>
      <c r="F627" s="174">
        <v>0.13</v>
      </c>
      <c r="G627" s="175"/>
      <c r="H627" s="182">
        <f>H626*F627</f>
        <v>47.490378000000007</v>
      </c>
      <c r="I627" s="174">
        <v>0.13</v>
      </c>
      <c r="J627" s="183"/>
      <c r="K627" s="182">
        <f>K626*I627</f>
        <v>48.093696756358725</v>
      </c>
      <c r="L627" s="184">
        <f>K627-H627</f>
        <v>0.60331875635871768</v>
      </c>
      <c r="M627" s="185">
        <f>IF((H627)=0,"",(L627/H627))</f>
        <v>1.2704020935750767E-2</v>
      </c>
    </row>
    <row r="628" spans="1:13" hidden="1" x14ac:dyDescent="0.25">
      <c r="A628" s="100" t="str">
        <f t="shared" si="87"/>
        <v>RESIDENTIAL SERVICE CLASSIFICATION</v>
      </c>
      <c r="B628" s="100" t="s">
        <v>180</v>
      </c>
      <c r="C628" s="117"/>
      <c r="D628" s="180" t="s">
        <v>185</v>
      </c>
      <c r="E628" s="158"/>
      <c r="F628" s="174">
        <v>0.08</v>
      </c>
      <c r="G628" s="175"/>
      <c r="H628" s="182"/>
      <c r="I628" s="174">
        <v>0.08</v>
      </c>
      <c r="J628" s="183"/>
      <c r="K628" s="182"/>
      <c r="L628" s="184"/>
      <c r="M628" s="185"/>
    </row>
    <row r="629" spans="1:13" ht="15.75" hidden="1" thickBot="1" x14ac:dyDescent="0.3">
      <c r="A629" s="100" t="str">
        <f t="shared" si="87"/>
        <v>RESIDENTIAL SERVICE CLASSIFICATION</v>
      </c>
      <c r="B629" s="100" t="s">
        <v>189</v>
      </c>
      <c r="C629" s="117"/>
      <c r="D629" s="301" t="s">
        <v>188</v>
      </c>
      <c r="E629" s="301"/>
      <c r="F629" s="193"/>
      <c r="G629" s="194"/>
      <c r="H629" s="188">
        <f>SUM(H626,H627)</f>
        <v>412.80097800000004</v>
      </c>
      <c r="I629" s="195"/>
      <c r="J629" s="195"/>
      <c r="K629" s="188">
        <f>SUM(K626,K627)</f>
        <v>418.04521026681044</v>
      </c>
      <c r="L629" s="196">
        <f>K629-H629</f>
        <v>5.2442322668103998</v>
      </c>
      <c r="M629" s="197">
        <f>IF((H629)=0,"",(L629/H629))</f>
        <v>1.2704020935750786E-2</v>
      </c>
    </row>
    <row r="630" spans="1:13" ht="15.75" hidden="1" thickBot="1" x14ac:dyDescent="0.3">
      <c r="A630" s="100" t="str">
        <f t="shared" si="87"/>
        <v>RESIDENTIAL SERVICE CLASSIFICATION</v>
      </c>
      <c r="B630" s="100" t="s">
        <v>180</v>
      </c>
      <c r="C630" s="117"/>
      <c r="D630" s="165"/>
      <c r="E630" s="166"/>
      <c r="F630" s="198"/>
      <c r="G630" s="199"/>
      <c r="H630" s="200"/>
      <c r="I630" s="198"/>
      <c r="J630" s="168"/>
      <c r="K630" s="200"/>
      <c r="L630" s="201"/>
      <c r="M630" s="172"/>
    </row>
    <row r="631" spans="1:13" hidden="1" x14ac:dyDescent="0.25">
      <c r="A631" s="100" t="str">
        <f t="shared" si="87"/>
        <v>RESIDENTIAL SERVICE CLASSIFICATION</v>
      </c>
      <c r="B631" s="100" t="s">
        <v>121</v>
      </c>
      <c r="C631" s="117"/>
      <c r="D631" s="173" t="s">
        <v>190</v>
      </c>
      <c r="E631" s="158"/>
      <c r="F631" s="174"/>
      <c r="G631" s="175"/>
      <c r="H631" s="176">
        <f>SUM(H619,H611:H614,H610)</f>
        <v>365.31060000000002</v>
      </c>
      <c r="I631" s="177"/>
      <c r="J631" s="177"/>
      <c r="K631" s="176">
        <f>SUM(K619,K611:K614,K610)</f>
        <v>369.95151351045172</v>
      </c>
      <c r="L631" s="178">
        <f>K631-H631</f>
        <v>4.6409135104516963</v>
      </c>
      <c r="M631" s="179">
        <f>IF((H631)=0,"",(L631/H631))</f>
        <v>1.2704020935750827E-2</v>
      </c>
    </row>
    <row r="632" spans="1:13" hidden="1" x14ac:dyDescent="0.25">
      <c r="A632" s="100" t="str">
        <f t="shared" si="87"/>
        <v>RESIDENTIAL SERVICE CLASSIFICATION</v>
      </c>
      <c r="B632" s="100" t="s">
        <v>121</v>
      </c>
      <c r="C632" s="117"/>
      <c r="D632" s="180" t="s">
        <v>184</v>
      </c>
      <c r="E632" s="158"/>
      <c r="F632" s="174">
        <v>0.13</v>
      </c>
      <c r="G632" s="175"/>
      <c r="H632" s="182">
        <f>H631*F632</f>
        <v>47.490378000000007</v>
      </c>
      <c r="I632" s="174">
        <v>0.13</v>
      </c>
      <c r="J632" s="183"/>
      <c r="K632" s="182">
        <f>K631*I632</f>
        <v>48.093696756358725</v>
      </c>
      <c r="L632" s="184">
        <f>K632-H632</f>
        <v>0.60331875635871768</v>
      </c>
      <c r="M632" s="185">
        <f>IF((H632)=0,"",(L632/H632))</f>
        <v>1.2704020935750767E-2</v>
      </c>
    </row>
    <row r="633" spans="1:13" hidden="1" x14ac:dyDescent="0.25">
      <c r="A633" s="100" t="str">
        <f t="shared" si="87"/>
        <v>RESIDENTIAL SERVICE CLASSIFICATION</v>
      </c>
      <c r="B633" s="100" t="s">
        <v>121</v>
      </c>
      <c r="C633" s="117"/>
      <c r="D633" s="180" t="s">
        <v>185</v>
      </c>
      <c r="E633" s="158"/>
      <c r="F633" s="174">
        <v>0.08</v>
      </c>
      <c r="G633" s="175"/>
      <c r="H633" s="182"/>
      <c r="I633" s="174">
        <v>0.08</v>
      </c>
      <c r="J633" s="183"/>
      <c r="K633" s="182"/>
      <c r="L633" s="184"/>
      <c r="M633" s="185"/>
    </row>
    <row r="634" spans="1:13" ht="15.75" hidden="1" thickBot="1" x14ac:dyDescent="0.3">
      <c r="A634" s="100" t="str">
        <f t="shared" si="87"/>
        <v>RESIDENTIAL SERVICE CLASSIFICATION</v>
      </c>
      <c r="B634" s="100" t="s">
        <v>191</v>
      </c>
      <c r="C634" s="117"/>
      <c r="D634" s="301" t="s">
        <v>190</v>
      </c>
      <c r="E634" s="301"/>
      <c r="F634" s="193"/>
      <c r="G634" s="194"/>
      <c r="H634" s="188">
        <f>SUM(H631,H632)</f>
        <v>412.80097800000004</v>
      </c>
      <c r="I634" s="195"/>
      <c r="J634" s="195"/>
      <c r="K634" s="188">
        <f>SUM(K631,K632)</f>
        <v>418.04521026681044</v>
      </c>
      <c r="L634" s="196">
        <f>K634-H634</f>
        <v>5.2442322668103998</v>
      </c>
      <c r="M634" s="197">
        <f>IF((H634)=0,"",(L634/H634))</f>
        <v>1.2704020935750786E-2</v>
      </c>
    </row>
    <row r="635" spans="1:13" ht="15.75" thickBot="1" x14ac:dyDescent="0.3">
      <c r="A635" s="100" t="str">
        <f t="shared" si="87"/>
        <v>RESIDENTIAL SERVICE CLASSIFICATION</v>
      </c>
      <c r="B635" s="100" t="s">
        <v>121</v>
      </c>
      <c r="C635" s="117"/>
      <c r="D635" s="165"/>
      <c r="E635" s="166"/>
      <c r="F635" s="202"/>
      <c r="G635" s="203"/>
      <c r="H635" s="204"/>
      <c r="I635" s="202"/>
      <c r="J635" s="205"/>
      <c r="K635" s="204"/>
      <c r="L635" s="206"/>
      <c r="M635" s="207"/>
    </row>
    <row r="638" spans="1:13" x14ac:dyDescent="0.25">
      <c r="C638" s="100"/>
      <c r="D638" s="101" t="s">
        <v>134</v>
      </c>
      <c r="E638" s="302" t="str">
        <f>D40</f>
        <v>GENERAL SERVICE LESS THAN 50 KW SERVICE CLASSIFICATION</v>
      </c>
      <c r="F638" s="302"/>
      <c r="G638" s="302"/>
      <c r="H638" s="302"/>
      <c r="I638" s="302"/>
      <c r="J638" s="302"/>
      <c r="K638" s="100" t="str">
        <f>IF(N40="DEMAND - INTERVAL","RTSR - INTERVAL METERED","")</f>
        <v/>
      </c>
    </row>
    <row r="639" spans="1:13" x14ac:dyDescent="0.25">
      <c r="C639" s="100"/>
      <c r="D639" s="101" t="s">
        <v>135</v>
      </c>
      <c r="E639" s="303" t="str">
        <f>H40</f>
        <v>RPP</v>
      </c>
      <c r="F639" s="303"/>
      <c r="G639" s="303"/>
      <c r="H639" s="102"/>
      <c r="I639" s="102"/>
    </row>
    <row r="640" spans="1:13" ht="15.75" x14ac:dyDescent="0.25">
      <c r="C640" s="100"/>
      <c r="D640" s="101" t="s">
        <v>136</v>
      </c>
      <c r="E640" s="103">
        <f>K40</f>
        <v>500</v>
      </c>
      <c r="F640" s="104" t="s">
        <v>137</v>
      </c>
      <c r="G640" s="105"/>
      <c r="J640" s="106"/>
      <c r="K640" s="106"/>
      <c r="L640" s="106"/>
      <c r="M640" s="106"/>
    </row>
    <row r="641" spans="1:13" ht="15.75" x14ac:dyDescent="0.25">
      <c r="C641" s="100"/>
      <c r="D641" s="101" t="s">
        <v>138</v>
      </c>
      <c r="E641" s="103">
        <f>L40</f>
        <v>0</v>
      </c>
      <c r="F641" s="107" t="s">
        <v>139</v>
      </c>
      <c r="G641" s="108"/>
      <c r="H641" s="109"/>
      <c r="I641" s="109"/>
      <c r="J641" s="109"/>
    </row>
    <row r="642" spans="1:13" x14ac:dyDescent="0.25">
      <c r="C642" s="100"/>
      <c r="D642" s="101" t="s">
        <v>140</v>
      </c>
      <c r="E642" s="110">
        <f>I40</f>
        <v>1.056</v>
      </c>
    </row>
    <row r="643" spans="1:13" x14ac:dyDescent="0.25">
      <c r="C643" s="100"/>
      <c r="D643" s="101" t="s">
        <v>141</v>
      </c>
      <c r="E643" s="110">
        <f>J40</f>
        <v>1.056</v>
      </c>
    </row>
    <row r="644" spans="1:13" x14ac:dyDescent="0.25">
      <c r="C644" s="100"/>
      <c r="D644" s="105"/>
    </row>
    <row r="645" spans="1:13" x14ac:dyDescent="0.25">
      <c r="C645" s="100"/>
      <c r="D645" s="105"/>
      <c r="E645" s="111"/>
      <c r="F645" s="304" t="s">
        <v>142</v>
      </c>
      <c r="G645" s="305"/>
      <c r="H645" s="306"/>
      <c r="I645" s="304" t="s">
        <v>143</v>
      </c>
      <c r="J645" s="305"/>
      <c r="K645" s="306"/>
      <c r="L645" s="304" t="s">
        <v>144</v>
      </c>
      <c r="M645" s="306"/>
    </row>
    <row r="646" spans="1:13" x14ac:dyDescent="0.25">
      <c r="C646" s="100"/>
      <c r="D646" s="105"/>
      <c r="E646" s="295"/>
      <c r="F646" s="112" t="s">
        <v>145</v>
      </c>
      <c r="G646" s="112" t="s">
        <v>146</v>
      </c>
      <c r="H646" s="113" t="s">
        <v>147</v>
      </c>
      <c r="I646" s="112" t="s">
        <v>145</v>
      </c>
      <c r="J646" s="114" t="s">
        <v>146</v>
      </c>
      <c r="K646" s="113" t="s">
        <v>147</v>
      </c>
      <c r="L646" s="297" t="s">
        <v>148</v>
      </c>
      <c r="M646" s="299" t="s">
        <v>149</v>
      </c>
    </row>
    <row r="647" spans="1:13" x14ac:dyDescent="0.25">
      <c r="C647" s="100"/>
      <c r="D647" s="105"/>
      <c r="E647" s="296"/>
      <c r="F647" s="115" t="s">
        <v>150</v>
      </c>
      <c r="G647" s="115"/>
      <c r="H647" s="116" t="s">
        <v>150</v>
      </c>
      <c r="I647" s="115" t="s">
        <v>150</v>
      </c>
      <c r="J647" s="116"/>
      <c r="K647" s="116" t="s">
        <v>150</v>
      </c>
      <c r="L647" s="298"/>
      <c r="M647" s="300"/>
    </row>
    <row r="648" spans="1:13" x14ac:dyDescent="0.25">
      <c r="A648" s="100" t="str">
        <f>$E638</f>
        <v>GENERAL SERVICE LESS THAN 50 KW SERVICE CLASSIFICATION</v>
      </c>
      <c r="C648" s="117"/>
      <c r="D648" s="118" t="s">
        <v>151</v>
      </c>
      <c r="E648" s="119"/>
      <c r="F648" s="120">
        <v>28.37</v>
      </c>
      <c r="G648" s="121">
        <v>1</v>
      </c>
      <c r="H648" s="122">
        <f>G648*F648</f>
        <v>28.37</v>
      </c>
      <c r="I648" s="123">
        <v>28.37</v>
      </c>
      <c r="J648" s="124">
        <f>G648</f>
        <v>1</v>
      </c>
      <c r="K648" s="122">
        <f>J648*I648</f>
        <v>28.37</v>
      </c>
      <c r="L648" s="125">
        <f t="shared" ref="L648:L669" si="92">K648-H648</f>
        <v>0</v>
      </c>
      <c r="M648" s="126">
        <f>IF(ISERROR(L648/H648), "", L648/H648)</f>
        <v>0</v>
      </c>
    </row>
    <row r="649" spans="1:13" x14ac:dyDescent="0.25">
      <c r="A649" s="100" t="str">
        <f>A648</f>
        <v>GENERAL SERVICE LESS THAN 50 KW SERVICE CLASSIFICATION</v>
      </c>
      <c r="C649" s="117"/>
      <c r="D649" s="118" t="s">
        <v>152</v>
      </c>
      <c r="E649" s="119"/>
      <c r="F649" s="127">
        <v>1.0200000000000001E-2</v>
      </c>
      <c r="G649" s="121">
        <f>IF($E641&gt;0, $E641, $E640)</f>
        <v>500</v>
      </c>
      <c r="H649" s="122">
        <f t="shared" ref="H649:H661" si="93">G649*F649</f>
        <v>5.1000000000000005</v>
      </c>
      <c r="I649" s="128">
        <v>1.0200000000000001E-2</v>
      </c>
      <c r="J649" s="124">
        <f>IF($E641&gt;0, $E641, $E640)</f>
        <v>500</v>
      </c>
      <c r="K649" s="122">
        <f>J649*I649</f>
        <v>5.1000000000000005</v>
      </c>
      <c r="L649" s="125">
        <f t="shared" si="92"/>
        <v>0</v>
      </c>
      <c r="M649" s="126">
        <f t="shared" ref="M649:M659" si="94">IF(ISERROR(L649/H649), "", L649/H649)</f>
        <v>0</v>
      </c>
    </row>
    <row r="650" spans="1:13" x14ac:dyDescent="0.25">
      <c r="A650" s="100" t="str">
        <f t="shared" ref="A650:A691" si="95">A649</f>
        <v>GENERAL SERVICE LESS THAN 50 KW SERVICE CLASSIFICATION</v>
      </c>
      <c r="C650" s="117"/>
      <c r="D650" s="118" t="s">
        <v>153</v>
      </c>
      <c r="E650" s="119"/>
      <c r="F650" s="127"/>
      <c r="G650" s="121">
        <f>IF($E641&gt;0, $E641, $E640)</f>
        <v>500</v>
      </c>
      <c r="H650" s="122">
        <v>0</v>
      </c>
      <c r="I650" s="128"/>
      <c r="J650" s="124">
        <f>IF($E641&gt;0, $E641, $E640)</f>
        <v>500</v>
      </c>
      <c r="K650" s="122">
        <v>0</v>
      </c>
      <c r="L650" s="125"/>
      <c r="M650" s="126"/>
    </row>
    <row r="651" spans="1:13" x14ac:dyDescent="0.25">
      <c r="A651" s="100" t="str">
        <f t="shared" si="95"/>
        <v>GENERAL SERVICE LESS THAN 50 KW SERVICE CLASSIFICATION</v>
      </c>
      <c r="C651" s="117"/>
      <c r="D651" s="118" t="s">
        <v>154</v>
      </c>
      <c r="E651" s="119"/>
      <c r="F651" s="127"/>
      <c r="G651" s="121">
        <f>IF($E641&gt;0, $E641, $E640)</f>
        <v>500</v>
      </c>
      <c r="H651" s="122">
        <v>0</v>
      </c>
      <c r="I651" s="128"/>
      <c r="J651" s="121">
        <f>IF($E641&gt;0, $E641, $E640)</f>
        <v>500</v>
      </c>
      <c r="K651" s="122">
        <v>0</v>
      </c>
      <c r="L651" s="125">
        <f>K651-H651</f>
        <v>0</v>
      </c>
      <c r="M651" s="126" t="str">
        <f>IF(ISERROR(L651/H651), "", L651/H651)</f>
        <v/>
      </c>
    </row>
    <row r="652" spans="1:13" x14ac:dyDescent="0.25">
      <c r="A652" s="100" t="str">
        <f t="shared" si="95"/>
        <v>GENERAL SERVICE LESS THAN 50 KW SERVICE CLASSIFICATION</v>
      </c>
      <c r="C652" s="117"/>
      <c r="D652" s="129" t="s">
        <v>155</v>
      </c>
      <c r="E652" s="119"/>
      <c r="F652" s="120">
        <v>0</v>
      </c>
      <c r="G652" s="121">
        <v>1</v>
      </c>
      <c r="H652" s="122">
        <f t="shared" si="93"/>
        <v>0</v>
      </c>
      <c r="I652" s="226">
        <f>'Rate Riders'!O9</f>
        <v>5.0258152524611814</v>
      </c>
      <c r="J652" s="124">
        <f>G652</f>
        <v>1</v>
      </c>
      <c r="K652" s="122">
        <f t="shared" ref="K652:K659" si="96">J652*I652</f>
        <v>5.0258152524611814</v>
      </c>
      <c r="L652" s="125">
        <f t="shared" si="92"/>
        <v>5.0258152524611814</v>
      </c>
      <c r="M652" s="126" t="str">
        <f t="shared" si="94"/>
        <v/>
      </c>
    </row>
    <row r="653" spans="1:13" x14ac:dyDescent="0.25">
      <c r="A653" s="100" t="str">
        <f t="shared" si="95"/>
        <v>GENERAL SERVICE LESS THAN 50 KW SERVICE CLASSIFICATION</v>
      </c>
      <c r="C653" s="117"/>
      <c r="D653" s="118" t="s">
        <v>156</v>
      </c>
      <c r="E653" s="119"/>
      <c r="F653" s="127">
        <v>0</v>
      </c>
      <c r="G653" s="121">
        <f>IF($E641&gt;0, $E641, $E640)</f>
        <v>500</v>
      </c>
      <c r="H653" s="122">
        <f t="shared" si="93"/>
        <v>0</v>
      </c>
      <c r="I653" s="227">
        <f>'Rate Riders'!P9</f>
        <v>1.8069550784315846E-3</v>
      </c>
      <c r="J653" s="124">
        <f>IF($E641&gt;0, $E641, $E640)</f>
        <v>500</v>
      </c>
      <c r="K653" s="122">
        <f t="shared" si="96"/>
        <v>0.90347753921579232</v>
      </c>
      <c r="L653" s="125">
        <f t="shared" si="92"/>
        <v>0.90347753921579232</v>
      </c>
      <c r="M653" s="126" t="str">
        <f t="shared" si="94"/>
        <v/>
      </c>
    </row>
    <row r="654" spans="1:13" x14ac:dyDescent="0.25">
      <c r="A654" s="100" t="str">
        <f t="shared" si="95"/>
        <v>GENERAL SERVICE LESS THAN 50 KW SERVICE CLASSIFICATION</v>
      </c>
      <c r="B654" s="130" t="s">
        <v>157</v>
      </c>
      <c r="C654" s="117">
        <f>B40</f>
        <v>11</v>
      </c>
      <c r="D654" s="131" t="s">
        <v>158</v>
      </c>
      <c r="E654" s="132"/>
      <c r="F654" s="133"/>
      <c r="G654" s="134"/>
      <c r="H654" s="135">
        <f>SUM(H648:H653)</f>
        <v>33.47</v>
      </c>
      <c r="I654" s="136"/>
      <c r="J654" s="137"/>
      <c r="K654" s="135">
        <f>SUM(K648:K653)</f>
        <v>39.39929279167697</v>
      </c>
      <c r="L654" s="138">
        <f t="shared" si="92"/>
        <v>5.9292927916769713</v>
      </c>
      <c r="M654" s="139">
        <f>IF((H654)=0,"",(L654/H654))</f>
        <v>0.17715245866976312</v>
      </c>
    </row>
    <row r="655" spans="1:13" x14ac:dyDescent="0.25">
      <c r="A655" s="100" t="str">
        <f t="shared" si="95"/>
        <v>GENERAL SERVICE LESS THAN 50 KW SERVICE CLASSIFICATION</v>
      </c>
      <c r="C655" s="117"/>
      <c r="D655" s="140" t="s">
        <v>159</v>
      </c>
      <c r="E655" s="119"/>
      <c r="F655" s="127">
        <f>IF((E640*12&gt;=150000), 0, IF(E639="RPP",(F671*0.65+F672*0.17+F673*0.18),IF(E639="Non-RPP (Retailer)",F674,F675)))</f>
        <v>8.1990000000000007E-2</v>
      </c>
      <c r="G655" s="141">
        <f>IF(F655=0, 0, $E640*E642-E640)</f>
        <v>28</v>
      </c>
      <c r="H655" s="122">
        <f>G655*F655</f>
        <v>2.2957200000000002</v>
      </c>
      <c r="I655" s="128">
        <v>8.1990000000000007E-2</v>
      </c>
      <c r="J655" s="141">
        <f>IF(I655=0, 0, E640*E643-E640)</f>
        <v>28</v>
      </c>
      <c r="K655" s="122">
        <f>J655*I655</f>
        <v>2.2957200000000002</v>
      </c>
      <c r="L655" s="125">
        <f>K655-H655</f>
        <v>0</v>
      </c>
      <c r="M655" s="126">
        <f>IF(ISERROR(L655/H655), "", L655/H655)</f>
        <v>0</v>
      </c>
    </row>
    <row r="656" spans="1:13" ht="25.5" x14ac:dyDescent="0.25">
      <c r="A656" s="100" t="str">
        <f t="shared" si="95"/>
        <v>GENERAL SERVICE LESS THAN 50 KW SERVICE CLASSIFICATION</v>
      </c>
      <c r="C656" s="117"/>
      <c r="D656" s="140" t="s">
        <v>160</v>
      </c>
      <c r="E656" s="119"/>
      <c r="F656" s="127">
        <v>-1.4E-3</v>
      </c>
      <c r="G656" s="142">
        <f>IF($E641&gt;0, $E641, $E640)</f>
        <v>500</v>
      </c>
      <c r="H656" s="122">
        <f t="shared" si="93"/>
        <v>-0.7</v>
      </c>
      <c r="I656" s="128">
        <v>-1.4E-3</v>
      </c>
      <c r="J656" s="142">
        <f>IF($E641&gt;0, $E641, $E640)</f>
        <v>500</v>
      </c>
      <c r="K656" s="122">
        <f t="shared" si="96"/>
        <v>-0.7</v>
      </c>
      <c r="L656" s="125">
        <f t="shared" si="92"/>
        <v>0</v>
      </c>
      <c r="M656" s="126">
        <f t="shared" si="94"/>
        <v>0</v>
      </c>
    </row>
    <row r="657" spans="1:13" x14ac:dyDescent="0.25">
      <c r="A657" s="100" t="str">
        <f t="shared" si="95"/>
        <v>GENERAL SERVICE LESS THAN 50 KW SERVICE CLASSIFICATION</v>
      </c>
      <c r="C657" s="117"/>
      <c r="D657" s="140" t="s">
        <v>161</v>
      </c>
      <c r="E657" s="119"/>
      <c r="F657" s="127">
        <v>-1E-4</v>
      </c>
      <c r="G657" s="142">
        <f>IF($E641&gt;0, $E641, $E640)</f>
        <v>500</v>
      </c>
      <c r="H657" s="122">
        <f>G657*F657</f>
        <v>-0.05</v>
      </c>
      <c r="I657" s="128">
        <v>-1E-4</v>
      </c>
      <c r="J657" s="142">
        <f>IF($E641&gt;0, $E641, $E640)</f>
        <v>500</v>
      </c>
      <c r="K657" s="122">
        <f>J657*I657</f>
        <v>-0.05</v>
      </c>
      <c r="L657" s="125">
        <f t="shared" si="92"/>
        <v>0</v>
      </c>
      <c r="M657" s="126">
        <f t="shared" si="94"/>
        <v>0</v>
      </c>
    </row>
    <row r="658" spans="1:13" x14ac:dyDescent="0.25">
      <c r="A658" s="100" t="str">
        <f t="shared" si="95"/>
        <v>GENERAL SERVICE LESS THAN 50 KW SERVICE CLASSIFICATION</v>
      </c>
      <c r="C658" s="117"/>
      <c r="D658" s="140" t="s">
        <v>162</v>
      </c>
      <c r="E658" s="119"/>
      <c r="F658" s="127">
        <v>0</v>
      </c>
      <c r="G658" s="142">
        <f>E640</f>
        <v>500</v>
      </c>
      <c r="H658" s="122">
        <f>G658*F658</f>
        <v>0</v>
      </c>
      <c r="I658" s="128">
        <v>0</v>
      </c>
      <c r="J658" s="142">
        <f>E640</f>
        <v>500</v>
      </c>
      <c r="K658" s="122">
        <f t="shared" si="96"/>
        <v>0</v>
      </c>
      <c r="L658" s="125">
        <f t="shared" si="92"/>
        <v>0</v>
      </c>
      <c r="M658" s="126" t="str">
        <f t="shared" si="94"/>
        <v/>
      </c>
    </row>
    <row r="659" spans="1:13" x14ac:dyDescent="0.25">
      <c r="A659" s="100" t="str">
        <f t="shared" si="95"/>
        <v>GENERAL SERVICE LESS THAN 50 KW SERVICE CLASSIFICATION</v>
      </c>
      <c r="C659" s="117"/>
      <c r="D659" s="143" t="s">
        <v>163</v>
      </c>
      <c r="E659" s="119"/>
      <c r="F659" s="127">
        <v>2.3999999999999998E-3</v>
      </c>
      <c r="G659" s="142">
        <f>IF($E641&gt;0, $E641, $E640)</f>
        <v>500</v>
      </c>
      <c r="H659" s="122">
        <f t="shared" si="93"/>
        <v>1.2</v>
      </c>
      <c r="I659" s="128">
        <v>2.3999999999999998E-3</v>
      </c>
      <c r="J659" s="142">
        <f>IF($E641&gt;0, $E641, $E640)</f>
        <v>500</v>
      </c>
      <c r="K659" s="122">
        <f t="shared" si="96"/>
        <v>1.2</v>
      </c>
      <c r="L659" s="125">
        <f t="shared" si="92"/>
        <v>0</v>
      </c>
      <c r="M659" s="126">
        <f t="shared" si="94"/>
        <v>0</v>
      </c>
    </row>
    <row r="660" spans="1:13" ht="25.5" x14ac:dyDescent="0.25">
      <c r="A660" s="100" t="str">
        <f t="shared" si="95"/>
        <v>GENERAL SERVICE LESS THAN 50 KW SERVICE CLASSIFICATION</v>
      </c>
      <c r="C660" s="117"/>
      <c r="D660" s="144" t="s">
        <v>164</v>
      </c>
      <c r="E660" s="119"/>
      <c r="F660" s="145">
        <f>IF(OR(ISNUMBER(SEARCH("RESIDENTIAL", E638))=TRUE, ISNUMBER(SEARCH("GENERAL SERVICE LESS THAN 50", E638))=TRUE), SME, 0)</f>
        <v>0.56999999999999995</v>
      </c>
      <c r="G660" s="121">
        <v>1</v>
      </c>
      <c r="H660" s="122">
        <f>G660*F660</f>
        <v>0.56999999999999995</v>
      </c>
      <c r="I660" s="146">
        <v>0.56999999999999995</v>
      </c>
      <c r="J660" s="121">
        <v>1</v>
      </c>
      <c r="K660" s="122">
        <f>J660*I660</f>
        <v>0.56999999999999995</v>
      </c>
      <c r="L660" s="125">
        <f t="shared" si="92"/>
        <v>0</v>
      </c>
      <c r="M660" s="126">
        <f>IF(ISERROR(L660/H660), "", L660/H660)</f>
        <v>0</v>
      </c>
    </row>
    <row r="661" spans="1:13" x14ac:dyDescent="0.25">
      <c r="A661" s="100" t="str">
        <f t="shared" si="95"/>
        <v>GENERAL SERVICE LESS THAN 50 KW SERVICE CLASSIFICATION</v>
      </c>
      <c r="C661" s="117"/>
      <c r="D661" s="143" t="s">
        <v>165</v>
      </c>
      <c r="E661" s="119"/>
      <c r="F661" s="120">
        <v>0</v>
      </c>
      <c r="G661" s="121">
        <v>1</v>
      </c>
      <c r="H661" s="122">
        <f t="shared" si="93"/>
        <v>0</v>
      </c>
      <c r="I661" s="123">
        <v>0</v>
      </c>
      <c r="J661" s="121">
        <v>1</v>
      </c>
      <c r="K661" s="122">
        <f>J661*I661</f>
        <v>0</v>
      </c>
      <c r="L661" s="125">
        <f>K661-H661</f>
        <v>0</v>
      </c>
      <c r="M661" s="126" t="str">
        <f>IF(ISERROR(L661/H661), "", L661/H661)</f>
        <v/>
      </c>
    </row>
    <row r="662" spans="1:13" x14ac:dyDescent="0.25">
      <c r="A662" s="100" t="str">
        <f t="shared" si="95"/>
        <v>GENERAL SERVICE LESS THAN 50 KW SERVICE CLASSIFICATION</v>
      </c>
      <c r="C662" s="117"/>
      <c r="D662" s="143" t="s">
        <v>166</v>
      </c>
      <c r="E662" s="119"/>
      <c r="F662" s="127"/>
      <c r="G662" s="142">
        <f>IF($E641&gt;0, $E641, $E640)</f>
        <v>500</v>
      </c>
      <c r="H662" s="122">
        <f>G662*F662</f>
        <v>0</v>
      </c>
      <c r="I662" s="128"/>
      <c r="J662" s="142">
        <f>IF($E641&gt;0, $E641, $E640)</f>
        <v>500</v>
      </c>
      <c r="K662" s="122">
        <f>J662*I662</f>
        <v>0</v>
      </c>
      <c r="L662" s="125">
        <f t="shared" si="92"/>
        <v>0</v>
      </c>
      <c r="M662" s="126" t="str">
        <f>IF(ISERROR(L662/H662), "", L662/H662)</f>
        <v/>
      </c>
    </row>
    <row r="663" spans="1:13" ht="25.5" x14ac:dyDescent="0.25">
      <c r="A663" s="100" t="str">
        <f t="shared" si="95"/>
        <v>GENERAL SERVICE LESS THAN 50 KW SERVICE CLASSIFICATION</v>
      </c>
      <c r="B663" s="105" t="s">
        <v>167</v>
      </c>
      <c r="C663" s="117">
        <f>B40</f>
        <v>11</v>
      </c>
      <c r="D663" s="147" t="s">
        <v>168</v>
      </c>
      <c r="E663" s="148"/>
      <c r="F663" s="149"/>
      <c r="G663" s="150"/>
      <c r="H663" s="151">
        <f>SUM(H654:H662)</f>
        <v>36.785720000000005</v>
      </c>
      <c r="I663" s="152"/>
      <c r="J663" s="153"/>
      <c r="K663" s="151">
        <f>SUM(K654:K662)</f>
        <v>42.715012791676976</v>
      </c>
      <c r="L663" s="138">
        <f t="shared" si="92"/>
        <v>5.9292927916769713</v>
      </c>
      <c r="M663" s="139">
        <f>IF((H663)=0,"",(L663/H663))</f>
        <v>0.16118463337612993</v>
      </c>
    </row>
    <row r="664" spans="1:13" x14ac:dyDescent="0.25">
      <c r="A664" s="100" t="str">
        <f t="shared" si="95"/>
        <v>GENERAL SERVICE LESS THAN 50 KW SERVICE CLASSIFICATION</v>
      </c>
      <c r="C664" s="117"/>
      <c r="D664" s="154" t="s">
        <v>169</v>
      </c>
      <c r="E664" s="119"/>
      <c r="F664" s="127">
        <v>6.0000000000000001E-3</v>
      </c>
      <c r="G664" s="141">
        <f>IF($E641&gt;0, $E641, $E640*$E642)</f>
        <v>528</v>
      </c>
      <c r="H664" s="122">
        <f>G664*F664</f>
        <v>3.1680000000000001</v>
      </c>
      <c r="I664" s="128">
        <v>6.0000000000000001E-3</v>
      </c>
      <c r="J664" s="141">
        <f>IF($E641&gt;0, $E641, $E640*$E643)</f>
        <v>528</v>
      </c>
      <c r="K664" s="122">
        <f>J664*I664</f>
        <v>3.1680000000000001</v>
      </c>
      <c r="L664" s="125">
        <f t="shared" si="92"/>
        <v>0</v>
      </c>
      <c r="M664" s="126">
        <f>IF(ISERROR(L664/H664), "", L664/H664)</f>
        <v>0</v>
      </c>
    </row>
    <row r="665" spans="1:13" ht="25.5" x14ac:dyDescent="0.25">
      <c r="A665" s="100" t="str">
        <f t="shared" si="95"/>
        <v>GENERAL SERVICE LESS THAN 50 KW SERVICE CLASSIFICATION</v>
      </c>
      <c r="C665" s="117"/>
      <c r="D665" s="155" t="s">
        <v>170</v>
      </c>
      <c r="E665" s="119"/>
      <c r="F665" s="127">
        <v>5.3E-3</v>
      </c>
      <c r="G665" s="141">
        <f>IF($E641&gt;0, $E641, $E640*$E642)</f>
        <v>528</v>
      </c>
      <c r="H665" s="122">
        <f>G665*F665</f>
        <v>2.7984</v>
      </c>
      <c r="I665" s="128">
        <v>5.3E-3</v>
      </c>
      <c r="J665" s="141">
        <f>IF($E641&gt;0, $E641, $E640*$E643)</f>
        <v>528</v>
      </c>
      <c r="K665" s="122">
        <f>J665*I665</f>
        <v>2.7984</v>
      </c>
      <c r="L665" s="125">
        <f t="shared" si="92"/>
        <v>0</v>
      </c>
      <c r="M665" s="126">
        <f>IF(ISERROR(L665/H665), "", L665/H665)</f>
        <v>0</v>
      </c>
    </row>
    <row r="666" spans="1:13" ht="25.5" x14ac:dyDescent="0.25">
      <c r="A666" s="100" t="str">
        <f t="shared" si="95"/>
        <v>GENERAL SERVICE LESS THAN 50 KW SERVICE CLASSIFICATION</v>
      </c>
      <c r="B666" s="105" t="s">
        <v>171</v>
      </c>
      <c r="C666" s="117">
        <f>B40</f>
        <v>11</v>
      </c>
      <c r="D666" s="147" t="s">
        <v>172</v>
      </c>
      <c r="E666" s="132"/>
      <c r="F666" s="149"/>
      <c r="G666" s="150"/>
      <c r="H666" s="151">
        <f>SUM(H663:H665)</f>
        <v>42.752120000000005</v>
      </c>
      <c r="I666" s="152"/>
      <c r="J666" s="137"/>
      <c r="K666" s="151">
        <f>SUM(K663:K665)</f>
        <v>48.681412791676976</v>
      </c>
      <c r="L666" s="138">
        <f t="shared" si="92"/>
        <v>5.9292927916769713</v>
      </c>
      <c r="M666" s="139">
        <f>IF((H666)=0,"",(L666/H666))</f>
        <v>0.1386900296798608</v>
      </c>
    </row>
    <row r="667" spans="1:13" ht="25.5" x14ac:dyDescent="0.25">
      <c r="A667" s="100" t="str">
        <f t="shared" si="95"/>
        <v>GENERAL SERVICE LESS THAN 50 KW SERVICE CLASSIFICATION</v>
      </c>
      <c r="C667" s="117"/>
      <c r="D667" s="156" t="s">
        <v>173</v>
      </c>
      <c r="E667" s="119"/>
      <c r="F667" s="127">
        <v>3.6000000000000003E-3</v>
      </c>
      <c r="G667" s="141">
        <f>E640*E642</f>
        <v>528</v>
      </c>
      <c r="H667" s="157">
        <f t="shared" ref="H667:H673" si="97">G667*F667</f>
        <v>1.9008000000000003</v>
      </c>
      <c r="I667" s="128">
        <v>3.6000000000000003E-3</v>
      </c>
      <c r="J667" s="141">
        <f>E640*E643</f>
        <v>528</v>
      </c>
      <c r="K667" s="157">
        <f t="shared" ref="K667:K673" si="98">J667*I667</f>
        <v>1.9008000000000003</v>
      </c>
      <c r="L667" s="125">
        <f t="shared" si="92"/>
        <v>0</v>
      </c>
      <c r="M667" s="126">
        <f t="shared" ref="M667:M675" si="99">IF(ISERROR(L667/H667), "", L667/H667)</f>
        <v>0</v>
      </c>
    </row>
    <row r="668" spans="1:13" ht="25.5" x14ac:dyDescent="0.25">
      <c r="A668" s="100" t="str">
        <f t="shared" si="95"/>
        <v>GENERAL SERVICE LESS THAN 50 KW SERVICE CLASSIFICATION</v>
      </c>
      <c r="C668" s="117"/>
      <c r="D668" s="156" t="s">
        <v>174</v>
      </c>
      <c r="E668" s="119"/>
      <c r="F668" s="127">
        <f>'[1]17. Regulatory Charges'!$D$16</f>
        <v>2.9999999999999997E-4</v>
      </c>
      <c r="G668" s="141">
        <f>E640*E642</f>
        <v>528</v>
      </c>
      <c r="H668" s="157">
        <f t="shared" si="97"/>
        <v>0.15839999999999999</v>
      </c>
      <c r="I668" s="128">
        <v>2.9999999999999997E-4</v>
      </c>
      <c r="J668" s="141">
        <f>E640*E643</f>
        <v>528</v>
      </c>
      <c r="K668" s="157">
        <f t="shared" si="98"/>
        <v>0.15839999999999999</v>
      </c>
      <c r="L668" s="125">
        <f t="shared" si="92"/>
        <v>0</v>
      </c>
      <c r="M668" s="126">
        <f t="shared" si="99"/>
        <v>0</v>
      </c>
    </row>
    <row r="669" spans="1:13" x14ac:dyDescent="0.25">
      <c r="A669" s="100" t="str">
        <f t="shared" si="95"/>
        <v>GENERAL SERVICE LESS THAN 50 KW SERVICE CLASSIFICATION</v>
      </c>
      <c r="C669" s="117"/>
      <c r="D669" s="158" t="s">
        <v>175</v>
      </c>
      <c r="E669" s="119"/>
      <c r="F669" s="145">
        <v>0.25</v>
      </c>
      <c r="G669" s="121">
        <v>1</v>
      </c>
      <c r="H669" s="157">
        <f t="shared" si="97"/>
        <v>0.25</v>
      </c>
      <c r="I669" s="146">
        <v>0.25</v>
      </c>
      <c r="J669" s="124">
        <v>1</v>
      </c>
      <c r="K669" s="157">
        <f t="shared" si="98"/>
        <v>0.25</v>
      </c>
      <c r="L669" s="125">
        <f t="shared" si="92"/>
        <v>0</v>
      </c>
      <c r="M669" s="126">
        <f t="shared" si="99"/>
        <v>0</v>
      </c>
    </row>
    <row r="670" spans="1:13" ht="25.5" x14ac:dyDescent="0.25">
      <c r="A670" s="100" t="str">
        <f t="shared" si="95"/>
        <v>GENERAL SERVICE LESS THAN 50 KW SERVICE CLASSIFICATION</v>
      </c>
      <c r="C670" s="117"/>
      <c r="D670" s="156" t="s">
        <v>176</v>
      </c>
      <c r="E670" s="119"/>
      <c r="F670" s="127"/>
      <c r="G670" s="141"/>
      <c r="H670" s="157"/>
      <c r="I670" s="128"/>
      <c r="J670" s="141"/>
      <c r="K670" s="157"/>
      <c r="L670" s="125"/>
      <c r="M670" s="126"/>
    </row>
    <row r="671" spans="1:13" x14ac:dyDescent="0.25">
      <c r="A671" s="100" t="str">
        <f t="shared" si="95"/>
        <v>GENERAL SERVICE LESS THAN 50 KW SERVICE CLASSIFICATION</v>
      </c>
      <c r="B671" s="105" t="s">
        <v>117</v>
      </c>
      <c r="C671" s="117"/>
      <c r="D671" s="159" t="s">
        <v>177</v>
      </c>
      <c r="E671" s="119"/>
      <c r="F671" s="160">
        <f>OffPeak</f>
        <v>6.5000000000000002E-2</v>
      </c>
      <c r="G671" s="161">
        <f>IF(AND(E640*12&gt;=150000),0.65*E640*E642,0.65*E640)</f>
        <v>325</v>
      </c>
      <c r="H671" s="157">
        <f t="shared" si="97"/>
        <v>21.125</v>
      </c>
      <c r="I671" s="162">
        <v>6.5000000000000002E-2</v>
      </c>
      <c r="J671" s="161">
        <f>IF(AND(E640*12&gt;=150000),0.65*E640*E643,0.65*E640)</f>
        <v>325</v>
      </c>
      <c r="K671" s="157">
        <f t="shared" si="98"/>
        <v>21.125</v>
      </c>
      <c r="L671" s="125">
        <f>K671-H671</f>
        <v>0</v>
      </c>
      <c r="M671" s="126">
        <f t="shared" si="99"/>
        <v>0</v>
      </c>
    </row>
    <row r="672" spans="1:13" x14ac:dyDescent="0.25">
      <c r="A672" s="100" t="str">
        <f t="shared" si="95"/>
        <v>GENERAL SERVICE LESS THAN 50 KW SERVICE CLASSIFICATION</v>
      </c>
      <c r="B672" s="105" t="s">
        <v>117</v>
      </c>
      <c r="C672" s="117"/>
      <c r="D672" s="159" t="s">
        <v>178</v>
      </c>
      <c r="E672" s="119"/>
      <c r="F672" s="160">
        <f>MidPeak</f>
        <v>9.4E-2</v>
      </c>
      <c r="G672" s="161">
        <f>IF(AND(E640*12&gt;=150000),0.17*E640*E642,0.17*E640)</f>
        <v>85</v>
      </c>
      <c r="H672" s="157">
        <f t="shared" si="97"/>
        <v>7.99</v>
      </c>
      <c r="I672" s="162">
        <v>9.4E-2</v>
      </c>
      <c r="J672" s="161">
        <f>IF(AND(E640*12&gt;=150000),0.17*E640*E643,0.17*E640)</f>
        <v>85</v>
      </c>
      <c r="K672" s="157">
        <f t="shared" si="98"/>
        <v>7.99</v>
      </c>
      <c r="L672" s="125">
        <f>K672-H672</f>
        <v>0</v>
      </c>
      <c r="M672" s="126">
        <f t="shared" si="99"/>
        <v>0</v>
      </c>
    </row>
    <row r="673" spans="1:13" ht="15.75" thickBot="1" x14ac:dyDescent="0.3">
      <c r="A673" s="100" t="str">
        <f t="shared" si="95"/>
        <v>GENERAL SERVICE LESS THAN 50 KW SERVICE CLASSIFICATION</v>
      </c>
      <c r="B673" s="105" t="s">
        <v>117</v>
      </c>
      <c r="C673" s="117"/>
      <c r="D673" s="105" t="s">
        <v>179</v>
      </c>
      <c r="E673" s="119"/>
      <c r="F673" s="160">
        <f>OnPeak</f>
        <v>0.13200000000000001</v>
      </c>
      <c r="G673" s="161">
        <f>IF(AND(E640*12&gt;=150000),0.18*E640*E642,0.18*E640)</f>
        <v>90</v>
      </c>
      <c r="H673" s="157">
        <f t="shared" si="97"/>
        <v>11.88</v>
      </c>
      <c r="I673" s="162">
        <v>0.13200000000000001</v>
      </c>
      <c r="J673" s="161">
        <f>IF(AND(E640*12&gt;=150000),0.18*E640*E643,0.18*E640)</f>
        <v>90</v>
      </c>
      <c r="K673" s="157">
        <f t="shared" si="98"/>
        <v>11.88</v>
      </c>
      <c r="L673" s="125">
        <f>K673-H673</f>
        <v>0</v>
      </c>
      <c r="M673" s="126">
        <f t="shared" si="99"/>
        <v>0</v>
      </c>
    </row>
    <row r="674" spans="1:13" hidden="1" x14ac:dyDescent="0.25">
      <c r="A674" s="100" t="str">
        <f t="shared" si="95"/>
        <v>GENERAL SERVICE LESS THAN 50 KW SERVICE CLASSIFICATION</v>
      </c>
      <c r="B674" s="100" t="s">
        <v>180</v>
      </c>
      <c r="C674" s="117"/>
      <c r="D674" s="159" t="s">
        <v>181</v>
      </c>
      <c r="E674" s="119"/>
      <c r="F674" s="163">
        <v>0.1101</v>
      </c>
      <c r="G674" s="161">
        <f>IF(AND(E640*12&gt;=150000),E640*E642,E640)</f>
        <v>500</v>
      </c>
      <c r="H674" s="157">
        <f>G674*F674</f>
        <v>55.050000000000004</v>
      </c>
      <c r="I674" s="164">
        <v>0.1101</v>
      </c>
      <c r="J674" s="161">
        <f>IF(AND(E640*12&gt;=150000),E640*E643,E640)</f>
        <v>500</v>
      </c>
      <c r="K674" s="157">
        <f>J674*I674</f>
        <v>55.050000000000004</v>
      </c>
      <c r="L674" s="125">
        <f>K674-H674</f>
        <v>0</v>
      </c>
      <c r="M674" s="126">
        <f t="shared" si="99"/>
        <v>0</v>
      </c>
    </row>
    <row r="675" spans="1:13" ht="15.75" hidden="1" thickBot="1" x14ac:dyDescent="0.3">
      <c r="A675" s="100" t="str">
        <f t="shared" si="95"/>
        <v>GENERAL SERVICE LESS THAN 50 KW SERVICE CLASSIFICATION</v>
      </c>
      <c r="B675" s="100" t="s">
        <v>121</v>
      </c>
      <c r="C675" s="117"/>
      <c r="D675" s="159" t="s">
        <v>182</v>
      </c>
      <c r="E675" s="119"/>
      <c r="F675" s="163">
        <v>0.1101</v>
      </c>
      <c r="G675" s="161">
        <f>IF(AND(E640*12&gt;=150000),E640*E642,E640)</f>
        <v>500</v>
      </c>
      <c r="H675" s="157">
        <f>G675*F675</f>
        <v>55.050000000000004</v>
      </c>
      <c r="I675" s="164">
        <v>0.1101</v>
      </c>
      <c r="J675" s="161">
        <f>IF(AND(E640*12&gt;=150000),E640*E643,E640)</f>
        <v>500</v>
      </c>
      <c r="K675" s="157">
        <f>J675*I675</f>
        <v>55.050000000000004</v>
      </c>
      <c r="L675" s="125">
        <f>K675-H675</f>
        <v>0</v>
      </c>
      <c r="M675" s="126">
        <f t="shared" si="99"/>
        <v>0</v>
      </c>
    </row>
    <row r="676" spans="1:13" ht="15.75" thickBot="1" x14ac:dyDescent="0.3">
      <c r="A676" s="100" t="str">
        <f t="shared" si="95"/>
        <v>GENERAL SERVICE LESS THAN 50 KW SERVICE CLASSIFICATION</v>
      </c>
      <c r="B676" s="105"/>
      <c r="C676" s="117"/>
      <c r="D676" s="165"/>
      <c r="E676" s="166"/>
      <c r="F676" s="167"/>
      <c r="G676" s="168"/>
      <c r="H676" s="169"/>
      <c r="I676" s="167"/>
      <c r="J676" s="170"/>
      <c r="K676" s="169"/>
      <c r="L676" s="171"/>
      <c r="M676" s="172"/>
    </row>
    <row r="677" spans="1:13" x14ac:dyDescent="0.25">
      <c r="A677" s="100" t="str">
        <f t="shared" si="95"/>
        <v>GENERAL SERVICE LESS THAN 50 KW SERVICE CLASSIFICATION</v>
      </c>
      <c r="B677" s="105" t="s">
        <v>117</v>
      </c>
      <c r="C677" s="117"/>
      <c r="D677" s="173" t="s">
        <v>183</v>
      </c>
      <c r="E677" s="158"/>
      <c r="F677" s="174"/>
      <c r="G677" s="175"/>
      <c r="H677" s="176">
        <f>SUM(H667:H673,H666)</f>
        <v>86.056319999999999</v>
      </c>
      <c r="I677" s="177"/>
      <c r="J677" s="177"/>
      <c r="K677" s="176">
        <f>SUM(K667:K673,K666)</f>
        <v>91.985612791676971</v>
      </c>
      <c r="L677" s="178">
        <f>K677-H677</f>
        <v>5.9292927916769713</v>
      </c>
      <c r="M677" s="179">
        <f>IF((H677)=0,"",(L677/H677))</f>
        <v>6.890014343719289E-2</v>
      </c>
    </row>
    <row r="678" spans="1:13" x14ac:dyDescent="0.25">
      <c r="A678" s="100" t="str">
        <f t="shared" si="95"/>
        <v>GENERAL SERVICE LESS THAN 50 KW SERVICE CLASSIFICATION</v>
      </c>
      <c r="B678" s="105" t="s">
        <v>117</v>
      </c>
      <c r="C678" s="117"/>
      <c r="D678" s="180" t="s">
        <v>184</v>
      </c>
      <c r="E678" s="158"/>
      <c r="F678" s="174">
        <v>0.13</v>
      </c>
      <c r="G678" s="181"/>
      <c r="H678" s="182">
        <f>H677*F678</f>
        <v>11.187321600000001</v>
      </c>
      <c r="I678" s="183">
        <v>0.13</v>
      </c>
      <c r="J678" s="121"/>
      <c r="K678" s="182">
        <f>K677*I678</f>
        <v>11.958129662918006</v>
      </c>
      <c r="L678" s="184">
        <f>K678-H678</f>
        <v>0.77080806291800563</v>
      </c>
      <c r="M678" s="185">
        <f>IF((H678)=0,"",(L678/H678))</f>
        <v>6.8900143437192835E-2</v>
      </c>
    </row>
    <row r="679" spans="1:13" x14ac:dyDescent="0.25">
      <c r="A679" s="100" t="str">
        <f t="shared" si="95"/>
        <v>GENERAL SERVICE LESS THAN 50 KW SERVICE CLASSIFICATION</v>
      </c>
      <c r="B679" s="105" t="s">
        <v>117</v>
      </c>
      <c r="C679" s="117"/>
      <c r="D679" s="180" t="s">
        <v>185</v>
      </c>
      <c r="E679" s="158"/>
      <c r="F679" s="174">
        <v>0.08</v>
      </c>
      <c r="G679" s="181"/>
      <c r="H679" s="182">
        <f>H677*-F679</f>
        <v>-6.8845055999999998</v>
      </c>
      <c r="I679" s="174">
        <v>0.08</v>
      </c>
      <c r="J679" s="121"/>
      <c r="K679" s="182">
        <f>K677*-I679</f>
        <v>-7.3588490233341579</v>
      </c>
      <c r="L679" s="184">
        <f>K679-H679</f>
        <v>-0.47434342333415813</v>
      </c>
      <c r="M679" s="185"/>
    </row>
    <row r="680" spans="1:13" ht="15.75" thickBot="1" x14ac:dyDescent="0.3">
      <c r="A680" s="100" t="str">
        <f t="shared" si="95"/>
        <v>GENERAL SERVICE LESS THAN 50 KW SERVICE CLASSIFICATION</v>
      </c>
      <c r="B680" s="105" t="s">
        <v>186</v>
      </c>
      <c r="C680" s="117">
        <f>B40</f>
        <v>11</v>
      </c>
      <c r="D680" s="301" t="s">
        <v>187</v>
      </c>
      <c r="E680" s="301"/>
      <c r="F680" s="186"/>
      <c r="G680" s="187"/>
      <c r="H680" s="188">
        <f>H677+H678+H679</f>
        <v>90.359136000000007</v>
      </c>
      <c r="I680" s="189"/>
      <c r="J680" s="189"/>
      <c r="K680" s="190">
        <f>K677+K678+K679</f>
        <v>96.584893431260824</v>
      </c>
      <c r="L680" s="191">
        <f>K680-H680</f>
        <v>6.225757431260817</v>
      </c>
      <c r="M680" s="192">
        <f>IF((H680)=0,"",(L680/H680))</f>
        <v>6.8900143437192848E-2</v>
      </c>
    </row>
    <row r="681" spans="1:13" ht="15.75" hidden="1" thickBot="1" x14ac:dyDescent="0.3">
      <c r="A681" s="100" t="str">
        <f t="shared" si="95"/>
        <v>GENERAL SERVICE LESS THAN 50 KW SERVICE CLASSIFICATION</v>
      </c>
      <c r="B681" s="100" t="s">
        <v>117</v>
      </c>
      <c r="C681" s="117"/>
      <c r="D681" s="165"/>
      <c r="E681" s="166"/>
      <c r="F681" s="167"/>
      <c r="G681" s="168"/>
      <c r="H681" s="169"/>
      <c r="I681" s="167"/>
      <c r="J681" s="170"/>
      <c r="K681" s="169"/>
      <c r="L681" s="171"/>
      <c r="M681" s="172"/>
    </row>
    <row r="682" spans="1:13" hidden="1" x14ac:dyDescent="0.25">
      <c r="A682" s="100" t="str">
        <f t="shared" si="95"/>
        <v>GENERAL SERVICE LESS THAN 50 KW SERVICE CLASSIFICATION</v>
      </c>
      <c r="B682" s="100" t="s">
        <v>180</v>
      </c>
      <c r="C682" s="117"/>
      <c r="D682" s="173" t="s">
        <v>188</v>
      </c>
      <c r="E682" s="158"/>
      <c r="F682" s="174"/>
      <c r="G682" s="175"/>
      <c r="H682" s="176">
        <f>SUM(H674,H667:H670,H666)</f>
        <v>100.11132000000001</v>
      </c>
      <c r="I682" s="177"/>
      <c r="J682" s="177"/>
      <c r="K682" s="176">
        <f>SUM(K674,K667:K670,K666)</f>
        <v>106.04061279167698</v>
      </c>
      <c r="L682" s="178">
        <f>K682-H682</f>
        <v>5.9292927916769713</v>
      </c>
      <c r="M682" s="179">
        <f>IF((H682)=0,"",(L682/H682))</f>
        <v>5.9226996424350122E-2</v>
      </c>
    </row>
    <row r="683" spans="1:13" hidden="1" x14ac:dyDescent="0.25">
      <c r="A683" s="100" t="str">
        <f t="shared" si="95"/>
        <v>GENERAL SERVICE LESS THAN 50 KW SERVICE CLASSIFICATION</v>
      </c>
      <c r="B683" s="100" t="s">
        <v>180</v>
      </c>
      <c r="C683" s="117"/>
      <c r="D683" s="180" t="s">
        <v>184</v>
      </c>
      <c r="E683" s="158"/>
      <c r="F683" s="174">
        <v>0.13</v>
      </c>
      <c r="G683" s="175"/>
      <c r="H683" s="182">
        <f>H682*F683</f>
        <v>13.014471600000002</v>
      </c>
      <c r="I683" s="174">
        <v>0.13</v>
      </c>
      <c r="J683" s="183"/>
      <c r="K683" s="182">
        <f>K682*I683</f>
        <v>13.785279662918008</v>
      </c>
      <c r="L683" s="184">
        <f>K683-H683</f>
        <v>0.77080806291800563</v>
      </c>
      <c r="M683" s="185">
        <f>IF((H683)=0,"",(L683/H683))</f>
        <v>5.9226996424350066E-2</v>
      </c>
    </row>
    <row r="684" spans="1:13" hidden="1" x14ac:dyDescent="0.25">
      <c r="A684" s="100" t="str">
        <f t="shared" si="95"/>
        <v>GENERAL SERVICE LESS THAN 50 KW SERVICE CLASSIFICATION</v>
      </c>
      <c r="B684" s="100" t="s">
        <v>180</v>
      </c>
      <c r="C684" s="117"/>
      <c r="D684" s="180" t="s">
        <v>185</v>
      </c>
      <c r="E684" s="158"/>
      <c r="F684" s="174">
        <v>0.08</v>
      </c>
      <c r="G684" s="175"/>
      <c r="H684" s="182"/>
      <c r="I684" s="174">
        <v>0.08</v>
      </c>
      <c r="J684" s="183"/>
      <c r="K684" s="182"/>
      <c r="L684" s="184"/>
      <c r="M684" s="185"/>
    </row>
    <row r="685" spans="1:13" ht="15.75" hidden="1" thickBot="1" x14ac:dyDescent="0.3">
      <c r="A685" s="100" t="str">
        <f t="shared" si="95"/>
        <v>GENERAL SERVICE LESS THAN 50 KW SERVICE CLASSIFICATION</v>
      </c>
      <c r="B685" s="100" t="s">
        <v>189</v>
      </c>
      <c r="C685" s="117"/>
      <c r="D685" s="301" t="s">
        <v>188</v>
      </c>
      <c r="E685" s="301"/>
      <c r="F685" s="193"/>
      <c r="G685" s="194"/>
      <c r="H685" s="188">
        <f>SUM(H682,H683)</f>
        <v>113.12579160000001</v>
      </c>
      <c r="I685" s="195"/>
      <c r="J685" s="195"/>
      <c r="K685" s="188">
        <f>SUM(K682,K683)</f>
        <v>119.82589245459499</v>
      </c>
      <c r="L685" s="196">
        <f>K685-H685</f>
        <v>6.7001008545949787</v>
      </c>
      <c r="M685" s="197">
        <f>IF((H685)=0,"",(L685/H685))</f>
        <v>5.9226996424350128E-2</v>
      </c>
    </row>
    <row r="686" spans="1:13" ht="15.75" hidden="1" thickBot="1" x14ac:dyDescent="0.3">
      <c r="A686" s="100" t="str">
        <f t="shared" si="95"/>
        <v>GENERAL SERVICE LESS THAN 50 KW SERVICE CLASSIFICATION</v>
      </c>
      <c r="B686" s="100" t="s">
        <v>180</v>
      </c>
      <c r="C686" s="117"/>
      <c r="D686" s="165"/>
      <c r="E686" s="166"/>
      <c r="F686" s="198"/>
      <c r="G686" s="199"/>
      <c r="H686" s="200"/>
      <c r="I686" s="198"/>
      <c r="J686" s="168"/>
      <c r="K686" s="200"/>
      <c r="L686" s="201"/>
      <c r="M686" s="172"/>
    </row>
    <row r="687" spans="1:13" hidden="1" x14ac:dyDescent="0.25">
      <c r="A687" s="100" t="str">
        <f t="shared" si="95"/>
        <v>GENERAL SERVICE LESS THAN 50 KW SERVICE CLASSIFICATION</v>
      </c>
      <c r="B687" s="100" t="s">
        <v>121</v>
      </c>
      <c r="C687" s="117"/>
      <c r="D687" s="173" t="s">
        <v>190</v>
      </c>
      <c r="E687" s="158"/>
      <c r="F687" s="174"/>
      <c r="G687" s="175"/>
      <c r="H687" s="176">
        <f>SUM(H675,H667:H670,H666)</f>
        <v>100.11132000000001</v>
      </c>
      <c r="I687" s="177"/>
      <c r="J687" s="177"/>
      <c r="K687" s="176">
        <f>SUM(K675,K667:K670,K666)</f>
        <v>106.04061279167698</v>
      </c>
      <c r="L687" s="178">
        <f>K687-H687</f>
        <v>5.9292927916769713</v>
      </c>
      <c r="M687" s="179">
        <f>IF((H687)=0,"",(L687/H687))</f>
        <v>5.9226996424350122E-2</v>
      </c>
    </row>
    <row r="688" spans="1:13" hidden="1" x14ac:dyDescent="0.25">
      <c r="A688" s="100" t="str">
        <f t="shared" si="95"/>
        <v>GENERAL SERVICE LESS THAN 50 KW SERVICE CLASSIFICATION</v>
      </c>
      <c r="B688" s="100" t="s">
        <v>121</v>
      </c>
      <c r="C688" s="117"/>
      <c r="D688" s="180" t="s">
        <v>184</v>
      </c>
      <c r="E688" s="158"/>
      <c r="F688" s="174">
        <v>0.13</v>
      </c>
      <c r="G688" s="175"/>
      <c r="H688" s="182">
        <f>H687*F688</f>
        <v>13.014471600000002</v>
      </c>
      <c r="I688" s="174">
        <v>0.13</v>
      </c>
      <c r="J688" s="183"/>
      <c r="K688" s="182">
        <f>K687*I688</f>
        <v>13.785279662918008</v>
      </c>
      <c r="L688" s="184">
        <f>K688-H688</f>
        <v>0.77080806291800563</v>
      </c>
      <c r="M688" s="185">
        <f>IF((H688)=0,"",(L688/H688))</f>
        <v>5.9226996424350066E-2</v>
      </c>
    </row>
    <row r="689" spans="1:13" hidden="1" x14ac:dyDescent="0.25">
      <c r="A689" s="100" t="str">
        <f t="shared" si="95"/>
        <v>GENERAL SERVICE LESS THAN 50 KW SERVICE CLASSIFICATION</v>
      </c>
      <c r="B689" s="100" t="s">
        <v>121</v>
      </c>
      <c r="C689" s="117"/>
      <c r="D689" s="180" t="s">
        <v>185</v>
      </c>
      <c r="E689" s="158"/>
      <c r="F689" s="174">
        <v>0.08</v>
      </c>
      <c r="G689" s="175"/>
      <c r="H689" s="182"/>
      <c r="I689" s="174">
        <v>0.08</v>
      </c>
      <c r="J689" s="183"/>
      <c r="K689" s="182"/>
      <c r="L689" s="184"/>
      <c r="M689" s="185"/>
    </row>
    <row r="690" spans="1:13" ht="15.75" hidden="1" thickBot="1" x14ac:dyDescent="0.3">
      <c r="A690" s="100" t="str">
        <f t="shared" si="95"/>
        <v>GENERAL SERVICE LESS THAN 50 KW SERVICE CLASSIFICATION</v>
      </c>
      <c r="B690" s="100" t="s">
        <v>191</v>
      </c>
      <c r="C690" s="117"/>
      <c r="D690" s="301" t="s">
        <v>190</v>
      </c>
      <c r="E690" s="301"/>
      <c r="F690" s="193"/>
      <c r="G690" s="194"/>
      <c r="H690" s="188">
        <f>SUM(H687,H688)</f>
        <v>113.12579160000001</v>
      </c>
      <c r="I690" s="195"/>
      <c r="J690" s="195"/>
      <c r="K690" s="188">
        <f>SUM(K687,K688)</f>
        <v>119.82589245459499</v>
      </c>
      <c r="L690" s="196">
        <f>K690-H690</f>
        <v>6.7001008545949787</v>
      </c>
      <c r="M690" s="197">
        <f>IF((H690)=0,"",(L690/H690))</f>
        <v>5.9226996424350128E-2</v>
      </c>
    </row>
    <row r="691" spans="1:13" ht="15.75" thickBot="1" x14ac:dyDescent="0.3">
      <c r="A691" s="100" t="str">
        <f t="shared" si="95"/>
        <v>GENERAL SERVICE LESS THAN 50 KW SERVICE CLASSIFICATION</v>
      </c>
      <c r="B691" s="100" t="s">
        <v>121</v>
      </c>
      <c r="C691" s="117"/>
      <c r="D691" s="165"/>
      <c r="E691" s="166"/>
      <c r="F691" s="202"/>
      <c r="G691" s="203"/>
      <c r="H691" s="204"/>
      <c r="I691" s="202"/>
      <c r="J691" s="205"/>
      <c r="K691" s="204"/>
      <c r="L691" s="206"/>
      <c r="M691" s="207"/>
    </row>
    <row r="694" spans="1:13" x14ac:dyDescent="0.25">
      <c r="C694" s="100"/>
      <c r="D694" s="101" t="s">
        <v>134</v>
      </c>
      <c r="E694" s="302" t="str">
        <f>D41</f>
        <v>GENERAL SERVICE LESS THAN 50 KW SERVICE CLASSIFICATION</v>
      </c>
      <c r="F694" s="302"/>
      <c r="G694" s="302"/>
      <c r="H694" s="302"/>
      <c r="I694" s="302"/>
      <c r="J694" s="302"/>
      <c r="K694" s="100" t="str">
        <f>IF(N41="DEMAND - INTERVAL","RTSR - INTERVAL METERED","")</f>
        <v/>
      </c>
    </row>
    <row r="695" spans="1:13" x14ac:dyDescent="0.25">
      <c r="C695" s="100"/>
      <c r="D695" s="101" t="s">
        <v>135</v>
      </c>
      <c r="E695" s="303" t="str">
        <f>H41</f>
        <v>RPP</v>
      </c>
      <c r="F695" s="303"/>
      <c r="G695" s="303"/>
      <c r="H695" s="102"/>
      <c r="I695" s="102"/>
    </row>
    <row r="696" spans="1:13" ht="15.75" x14ac:dyDescent="0.25">
      <c r="C696" s="100"/>
      <c r="D696" s="101" t="s">
        <v>136</v>
      </c>
      <c r="E696" s="103">
        <f>K41</f>
        <v>5000</v>
      </c>
      <c r="F696" s="104" t="s">
        <v>137</v>
      </c>
      <c r="G696" s="105"/>
      <c r="J696" s="106"/>
      <c r="K696" s="106"/>
      <c r="L696" s="106"/>
      <c r="M696" s="106"/>
    </row>
    <row r="697" spans="1:13" ht="15.75" x14ac:dyDescent="0.25">
      <c r="C697" s="100"/>
      <c r="D697" s="101" t="s">
        <v>138</v>
      </c>
      <c r="E697" s="103">
        <f>L41</f>
        <v>0</v>
      </c>
      <c r="F697" s="107" t="s">
        <v>139</v>
      </c>
      <c r="G697" s="108"/>
      <c r="H697" s="109"/>
      <c r="I697" s="109"/>
      <c r="J697" s="109"/>
    </row>
    <row r="698" spans="1:13" x14ac:dyDescent="0.25">
      <c r="C698" s="100"/>
      <c r="D698" s="101" t="s">
        <v>140</v>
      </c>
      <c r="E698" s="110">
        <f>I41</f>
        <v>1.056</v>
      </c>
    </row>
    <row r="699" spans="1:13" x14ac:dyDescent="0.25">
      <c r="C699" s="100"/>
      <c r="D699" s="101" t="s">
        <v>141</v>
      </c>
      <c r="E699" s="110">
        <f>J41</f>
        <v>1.056</v>
      </c>
    </row>
    <row r="700" spans="1:13" x14ac:dyDescent="0.25">
      <c r="C700" s="100"/>
      <c r="D700" s="105"/>
    </row>
    <row r="701" spans="1:13" x14ac:dyDescent="0.25">
      <c r="C701" s="100"/>
      <c r="D701" s="105"/>
      <c r="E701" s="111"/>
      <c r="F701" s="304" t="s">
        <v>142</v>
      </c>
      <c r="G701" s="305"/>
      <c r="H701" s="306"/>
      <c r="I701" s="304" t="s">
        <v>143</v>
      </c>
      <c r="J701" s="305"/>
      <c r="K701" s="306"/>
      <c r="L701" s="304" t="s">
        <v>144</v>
      </c>
      <c r="M701" s="306"/>
    </row>
    <row r="702" spans="1:13" x14ac:dyDescent="0.25">
      <c r="C702" s="100"/>
      <c r="D702" s="105"/>
      <c r="E702" s="295"/>
      <c r="F702" s="112" t="s">
        <v>145</v>
      </c>
      <c r="G702" s="112" t="s">
        <v>146</v>
      </c>
      <c r="H702" s="113" t="s">
        <v>147</v>
      </c>
      <c r="I702" s="112" t="s">
        <v>145</v>
      </c>
      <c r="J702" s="114" t="s">
        <v>146</v>
      </c>
      <c r="K702" s="113" t="s">
        <v>147</v>
      </c>
      <c r="L702" s="297" t="s">
        <v>148</v>
      </c>
      <c r="M702" s="299" t="s">
        <v>149</v>
      </c>
    </row>
    <row r="703" spans="1:13" x14ac:dyDescent="0.25">
      <c r="C703" s="100"/>
      <c r="D703" s="105"/>
      <c r="E703" s="296"/>
      <c r="F703" s="115" t="s">
        <v>150</v>
      </c>
      <c r="G703" s="115"/>
      <c r="H703" s="116" t="s">
        <v>150</v>
      </c>
      <c r="I703" s="115" t="s">
        <v>150</v>
      </c>
      <c r="J703" s="116"/>
      <c r="K703" s="116" t="s">
        <v>150</v>
      </c>
      <c r="L703" s="298"/>
      <c r="M703" s="300"/>
    </row>
    <row r="704" spans="1:13" x14ac:dyDescent="0.25">
      <c r="A704" s="100" t="str">
        <f>$E694</f>
        <v>GENERAL SERVICE LESS THAN 50 KW SERVICE CLASSIFICATION</v>
      </c>
      <c r="C704" s="117"/>
      <c r="D704" s="118" t="s">
        <v>151</v>
      </c>
      <c r="E704" s="119"/>
      <c r="F704" s="120">
        <v>28.37</v>
      </c>
      <c r="G704" s="121">
        <v>1</v>
      </c>
      <c r="H704" s="122">
        <f>G704*F704</f>
        <v>28.37</v>
      </c>
      <c r="I704" s="123">
        <v>28.37</v>
      </c>
      <c r="J704" s="124">
        <f>G704</f>
        <v>1</v>
      </c>
      <c r="K704" s="122">
        <f>J704*I704</f>
        <v>28.37</v>
      </c>
      <c r="L704" s="125">
        <f t="shared" ref="L704:L725" si="100">K704-H704</f>
        <v>0</v>
      </c>
      <c r="M704" s="126">
        <f>IF(ISERROR(L704/H704), "", L704/H704)</f>
        <v>0</v>
      </c>
    </row>
    <row r="705" spans="1:13" x14ac:dyDescent="0.25">
      <c r="A705" s="100" t="str">
        <f>A704</f>
        <v>GENERAL SERVICE LESS THAN 50 KW SERVICE CLASSIFICATION</v>
      </c>
      <c r="C705" s="117"/>
      <c r="D705" s="118" t="s">
        <v>152</v>
      </c>
      <c r="E705" s="119"/>
      <c r="F705" s="127">
        <v>1.0200000000000001E-2</v>
      </c>
      <c r="G705" s="121">
        <f>IF($E697&gt;0, $E697, $E696)</f>
        <v>5000</v>
      </c>
      <c r="H705" s="122">
        <f t="shared" ref="H705:H717" si="101">G705*F705</f>
        <v>51.000000000000007</v>
      </c>
      <c r="I705" s="128">
        <v>1.0200000000000001E-2</v>
      </c>
      <c r="J705" s="124">
        <f>IF($E697&gt;0, $E697, $E696)</f>
        <v>5000</v>
      </c>
      <c r="K705" s="122">
        <f>J705*I705</f>
        <v>51.000000000000007</v>
      </c>
      <c r="L705" s="125">
        <f t="shared" si="100"/>
        <v>0</v>
      </c>
      <c r="M705" s="126">
        <f t="shared" ref="M705:M715" si="102">IF(ISERROR(L705/H705), "", L705/H705)</f>
        <v>0</v>
      </c>
    </row>
    <row r="706" spans="1:13" x14ac:dyDescent="0.25">
      <c r="A706" s="100" t="str">
        <f t="shared" ref="A706:A747" si="103">A705</f>
        <v>GENERAL SERVICE LESS THAN 50 KW SERVICE CLASSIFICATION</v>
      </c>
      <c r="C706" s="117"/>
      <c r="D706" s="118" t="s">
        <v>153</v>
      </c>
      <c r="E706" s="119"/>
      <c r="F706" s="127"/>
      <c r="G706" s="121">
        <f>IF($E697&gt;0, $E697, $E696)</f>
        <v>5000</v>
      </c>
      <c r="H706" s="122">
        <v>0</v>
      </c>
      <c r="I706" s="128"/>
      <c r="J706" s="124">
        <f>IF($E697&gt;0, $E697, $E696)</f>
        <v>5000</v>
      </c>
      <c r="K706" s="122">
        <v>0</v>
      </c>
      <c r="L706" s="125"/>
      <c r="M706" s="126"/>
    </row>
    <row r="707" spans="1:13" x14ac:dyDescent="0.25">
      <c r="A707" s="100" t="str">
        <f t="shared" si="103"/>
        <v>GENERAL SERVICE LESS THAN 50 KW SERVICE CLASSIFICATION</v>
      </c>
      <c r="C707" s="117"/>
      <c r="D707" s="118" t="s">
        <v>154</v>
      </c>
      <c r="E707" s="119"/>
      <c r="F707" s="127"/>
      <c r="G707" s="121">
        <f>IF($E697&gt;0, $E697, $E696)</f>
        <v>5000</v>
      </c>
      <c r="H707" s="122">
        <v>0</v>
      </c>
      <c r="I707" s="128"/>
      <c r="J707" s="121">
        <f>IF($E697&gt;0, $E697, $E696)</f>
        <v>5000</v>
      </c>
      <c r="K707" s="122">
        <v>0</v>
      </c>
      <c r="L707" s="125">
        <f>K707-H707</f>
        <v>0</v>
      </c>
      <c r="M707" s="126" t="str">
        <f>IF(ISERROR(L707/H707), "", L707/H707)</f>
        <v/>
      </c>
    </row>
    <row r="708" spans="1:13" x14ac:dyDescent="0.25">
      <c r="A708" s="100" t="str">
        <f t="shared" si="103"/>
        <v>GENERAL SERVICE LESS THAN 50 KW SERVICE CLASSIFICATION</v>
      </c>
      <c r="C708" s="117"/>
      <c r="D708" s="129" t="s">
        <v>155</v>
      </c>
      <c r="E708" s="119"/>
      <c r="F708" s="120">
        <v>0</v>
      </c>
      <c r="G708" s="121">
        <v>1</v>
      </c>
      <c r="H708" s="122">
        <f t="shared" si="101"/>
        <v>0</v>
      </c>
      <c r="I708" s="226">
        <f>'Rate Riders'!O9</f>
        <v>5.0258152524611814</v>
      </c>
      <c r="J708" s="124">
        <f>G708</f>
        <v>1</v>
      </c>
      <c r="K708" s="122">
        <f t="shared" ref="K708:K715" si="104">J708*I708</f>
        <v>5.0258152524611814</v>
      </c>
      <c r="L708" s="125">
        <f t="shared" si="100"/>
        <v>5.0258152524611814</v>
      </c>
      <c r="M708" s="126" t="str">
        <f t="shared" si="102"/>
        <v/>
      </c>
    </row>
    <row r="709" spans="1:13" x14ac:dyDescent="0.25">
      <c r="A709" s="100" t="str">
        <f t="shared" si="103"/>
        <v>GENERAL SERVICE LESS THAN 50 KW SERVICE CLASSIFICATION</v>
      </c>
      <c r="C709" s="117"/>
      <c r="D709" s="118" t="s">
        <v>156</v>
      </c>
      <c r="E709" s="119"/>
      <c r="F709" s="127">
        <v>0</v>
      </c>
      <c r="G709" s="121">
        <f>IF($E697&gt;0, $E697, $E696)</f>
        <v>5000</v>
      </c>
      <c r="H709" s="122">
        <f t="shared" si="101"/>
        <v>0</v>
      </c>
      <c r="I709" s="227">
        <f>'Rate Riders'!P9</f>
        <v>1.8069550784315846E-3</v>
      </c>
      <c r="J709" s="124">
        <f>IF($E697&gt;0, $E697, $E696)</f>
        <v>5000</v>
      </c>
      <c r="K709" s="122">
        <f t="shared" si="104"/>
        <v>9.0347753921579237</v>
      </c>
      <c r="L709" s="125">
        <f t="shared" si="100"/>
        <v>9.0347753921579237</v>
      </c>
      <c r="M709" s="126" t="str">
        <f t="shared" si="102"/>
        <v/>
      </c>
    </row>
    <row r="710" spans="1:13" x14ac:dyDescent="0.25">
      <c r="A710" s="100" t="str">
        <f t="shared" si="103"/>
        <v>GENERAL SERVICE LESS THAN 50 KW SERVICE CLASSIFICATION</v>
      </c>
      <c r="B710" s="130" t="s">
        <v>157</v>
      </c>
      <c r="C710" s="117">
        <f>B41</f>
        <v>12</v>
      </c>
      <c r="D710" s="131" t="s">
        <v>158</v>
      </c>
      <c r="E710" s="132"/>
      <c r="F710" s="133"/>
      <c r="G710" s="134"/>
      <c r="H710" s="135">
        <f>SUM(H704:H709)</f>
        <v>79.37</v>
      </c>
      <c r="I710" s="136"/>
      <c r="J710" s="137"/>
      <c r="K710" s="135">
        <f>SUM(K704:K709)</f>
        <v>93.430590644619116</v>
      </c>
      <c r="L710" s="138">
        <f t="shared" si="100"/>
        <v>14.060590644619111</v>
      </c>
      <c r="M710" s="139">
        <f>IF((H710)=0,"",(L710/H710))</f>
        <v>0.17715245866976326</v>
      </c>
    </row>
    <row r="711" spans="1:13" x14ac:dyDescent="0.25">
      <c r="A711" s="100" t="str">
        <f t="shared" si="103"/>
        <v>GENERAL SERVICE LESS THAN 50 KW SERVICE CLASSIFICATION</v>
      </c>
      <c r="C711" s="117"/>
      <c r="D711" s="140" t="s">
        <v>159</v>
      </c>
      <c r="E711" s="119"/>
      <c r="F711" s="127">
        <f>IF((E696*12&gt;=150000), 0, IF(E695="RPP",(F727*0.65+F728*0.17+F729*0.18),IF(E695="Non-RPP (Retailer)",F730,F731)))</f>
        <v>8.1990000000000007E-2</v>
      </c>
      <c r="G711" s="141">
        <f>IF(F711=0, 0, $E696*E698-E696)</f>
        <v>280</v>
      </c>
      <c r="H711" s="122">
        <f>G711*F711</f>
        <v>22.9572</v>
      </c>
      <c r="I711" s="128">
        <v>8.1990000000000007E-2</v>
      </c>
      <c r="J711" s="141">
        <f>IF(I711=0, 0, E696*E699-E696)</f>
        <v>280</v>
      </c>
      <c r="K711" s="122">
        <f>J711*I711</f>
        <v>22.9572</v>
      </c>
      <c r="L711" s="125">
        <f>K711-H711</f>
        <v>0</v>
      </c>
      <c r="M711" s="126">
        <f>IF(ISERROR(L711/H711), "", L711/H711)</f>
        <v>0</v>
      </c>
    </row>
    <row r="712" spans="1:13" ht="25.5" x14ac:dyDescent="0.25">
      <c r="A712" s="100" t="str">
        <f t="shared" si="103"/>
        <v>GENERAL SERVICE LESS THAN 50 KW SERVICE CLASSIFICATION</v>
      </c>
      <c r="C712" s="117"/>
      <c r="D712" s="140" t="s">
        <v>160</v>
      </c>
      <c r="E712" s="119"/>
      <c r="F712" s="127">
        <v>-1.4E-3</v>
      </c>
      <c r="G712" s="142">
        <f>IF($E697&gt;0, $E697, $E696)</f>
        <v>5000</v>
      </c>
      <c r="H712" s="122">
        <f t="shared" si="101"/>
        <v>-7</v>
      </c>
      <c r="I712" s="128">
        <v>-1.4E-3</v>
      </c>
      <c r="J712" s="142">
        <f>IF($E697&gt;0, $E697, $E696)</f>
        <v>5000</v>
      </c>
      <c r="K712" s="122">
        <f t="shared" si="104"/>
        <v>-7</v>
      </c>
      <c r="L712" s="125">
        <f t="shared" si="100"/>
        <v>0</v>
      </c>
      <c r="M712" s="126">
        <f t="shared" si="102"/>
        <v>0</v>
      </c>
    </row>
    <row r="713" spans="1:13" x14ac:dyDescent="0.25">
      <c r="A713" s="100" t="str">
        <f t="shared" si="103"/>
        <v>GENERAL SERVICE LESS THAN 50 KW SERVICE CLASSIFICATION</v>
      </c>
      <c r="C713" s="117"/>
      <c r="D713" s="140" t="s">
        <v>161</v>
      </c>
      <c r="E713" s="119"/>
      <c r="F713" s="127">
        <v>-1E-4</v>
      </c>
      <c r="G713" s="142">
        <f>IF($E697&gt;0, $E697, $E696)</f>
        <v>5000</v>
      </c>
      <c r="H713" s="122">
        <f>G713*F713</f>
        <v>-0.5</v>
      </c>
      <c r="I713" s="128">
        <v>-1E-4</v>
      </c>
      <c r="J713" s="142">
        <f>IF($E697&gt;0, $E697, $E696)</f>
        <v>5000</v>
      </c>
      <c r="K713" s="122">
        <f>J713*I713</f>
        <v>-0.5</v>
      </c>
      <c r="L713" s="125">
        <f t="shared" si="100"/>
        <v>0</v>
      </c>
      <c r="M713" s="126">
        <f t="shared" si="102"/>
        <v>0</v>
      </c>
    </row>
    <row r="714" spans="1:13" x14ac:dyDescent="0.25">
      <c r="A714" s="100" t="str">
        <f t="shared" si="103"/>
        <v>GENERAL SERVICE LESS THAN 50 KW SERVICE CLASSIFICATION</v>
      </c>
      <c r="C714" s="117"/>
      <c r="D714" s="140" t="s">
        <v>162</v>
      </c>
      <c r="E714" s="119"/>
      <c r="F714" s="127">
        <v>0</v>
      </c>
      <c r="G714" s="142">
        <f>E696</f>
        <v>5000</v>
      </c>
      <c r="H714" s="122">
        <f>G714*F714</f>
        <v>0</v>
      </c>
      <c r="I714" s="128">
        <v>0</v>
      </c>
      <c r="J714" s="142">
        <f>E696</f>
        <v>5000</v>
      </c>
      <c r="K714" s="122">
        <f t="shared" si="104"/>
        <v>0</v>
      </c>
      <c r="L714" s="125">
        <f t="shared" si="100"/>
        <v>0</v>
      </c>
      <c r="M714" s="126" t="str">
        <f t="shared" si="102"/>
        <v/>
      </c>
    </row>
    <row r="715" spans="1:13" x14ac:dyDescent="0.25">
      <c r="A715" s="100" t="str">
        <f t="shared" si="103"/>
        <v>GENERAL SERVICE LESS THAN 50 KW SERVICE CLASSIFICATION</v>
      </c>
      <c r="C715" s="117"/>
      <c r="D715" s="143" t="s">
        <v>163</v>
      </c>
      <c r="E715" s="119"/>
      <c r="F715" s="127">
        <v>2.3999999999999998E-3</v>
      </c>
      <c r="G715" s="142">
        <f>IF($E697&gt;0, $E697, $E696)</f>
        <v>5000</v>
      </c>
      <c r="H715" s="122">
        <f t="shared" si="101"/>
        <v>11.999999999999998</v>
      </c>
      <c r="I715" s="128">
        <v>2.3999999999999998E-3</v>
      </c>
      <c r="J715" s="142">
        <f>IF($E697&gt;0, $E697, $E696)</f>
        <v>5000</v>
      </c>
      <c r="K715" s="122">
        <f t="shared" si="104"/>
        <v>11.999999999999998</v>
      </c>
      <c r="L715" s="125">
        <f t="shared" si="100"/>
        <v>0</v>
      </c>
      <c r="M715" s="126">
        <f t="shared" si="102"/>
        <v>0</v>
      </c>
    </row>
    <row r="716" spans="1:13" ht="25.5" x14ac:dyDescent="0.25">
      <c r="A716" s="100" t="str">
        <f t="shared" si="103"/>
        <v>GENERAL SERVICE LESS THAN 50 KW SERVICE CLASSIFICATION</v>
      </c>
      <c r="C716" s="117"/>
      <c r="D716" s="144" t="s">
        <v>164</v>
      </c>
      <c r="E716" s="119"/>
      <c r="F716" s="145">
        <f>IF(OR(ISNUMBER(SEARCH("RESIDENTIAL", E694))=TRUE, ISNUMBER(SEARCH("GENERAL SERVICE LESS THAN 50", E694))=TRUE), SME, 0)</f>
        <v>0.56999999999999995</v>
      </c>
      <c r="G716" s="121">
        <v>1</v>
      </c>
      <c r="H716" s="122">
        <f>G716*F716</f>
        <v>0.56999999999999995</v>
      </c>
      <c r="I716" s="146">
        <v>0.56999999999999995</v>
      </c>
      <c r="J716" s="121">
        <v>1</v>
      </c>
      <c r="K716" s="122">
        <f>J716*I716</f>
        <v>0.56999999999999995</v>
      </c>
      <c r="L716" s="125">
        <f t="shared" si="100"/>
        <v>0</v>
      </c>
      <c r="M716" s="126">
        <f>IF(ISERROR(L716/H716), "", L716/H716)</f>
        <v>0</v>
      </c>
    </row>
    <row r="717" spans="1:13" x14ac:dyDescent="0.25">
      <c r="A717" s="100" t="str">
        <f t="shared" si="103"/>
        <v>GENERAL SERVICE LESS THAN 50 KW SERVICE CLASSIFICATION</v>
      </c>
      <c r="C717" s="117"/>
      <c r="D717" s="143" t="s">
        <v>165</v>
      </c>
      <c r="E717" s="119"/>
      <c r="F717" s="120">
        <v>0</v>
      </c>
      <c r="G717" s="121">
        <v>1</v>
      </c>
      <c r="H717" s="122">
        <f t="shared" si="101"/>
        <v>0</v>
      </c>
      <c r="I717" s="123">
        <v>0</v>
      </c>
      <c r="J717" s="121">
        <v>1</v>
      </c>
      <c r="K717" s="122">
        <f>J717*I717</f>
        <v>0</v>
      </c>
      <c r="L717" s="125">
        <f>K717-H717</f>
        <v>0</v>
      </c>
      <c r="M717" s="126" t="str">
        <f>IF(ISERROR(L717/H717), "", L717/H717)</f>
        <v/>
      </c>
    </row>
    <row r="718" spans="1:13" x14ac:dyDescent="0.25">
      <c r="A718" s="100" t="str">
        <f t="shared" si="103"/>
        <v>GENERAL SERVICE LESS THAN 50 KW SERVICE CLASSIFICATION</v>
      </c>
      <c r="C718" s="117"/>
      <c r="D718" s="143" t="s">
        <v>166</v>
      </c>
      <c r="E718" s="119"/>
      <c r="F718" s="127"/>
      <c r="G718" s="142">
        <f>IF($E697&gt;0, $E697, $E696)</f>
        <v>5000</v>
      </c>
      <c r="H718" s="122">
        <f>G718*F718</f>
        <v>0</v>
      </c>
      <c r="I718" s="128"/>
      <c r="J718" s="142">
        <f>IF($E697&gt;0, $E697, $E696)</f>
        <v>5000</v>
      </c>
      <c r="K718" s="122">
        <f>J718*I718</f>
        <v>0</v>
      </c>
      <c r="L718" s="125">
        <f t="shared" si="100"/>
        <v>0</v>
      </c>
      <c r="M718" s="126" t="str">
        <f>IF(ISERROR(L718/H718), "", L718/H718)</f>
        <v/>
      </c>
    </row>
    <row r="719" spans="1:13" ht="25.5" x14ac:dyDescent="0.25">
      <c r="A719" s="100" t="str">
        <f t="shared" si="103"/>
        <v>GENERAL SERVICE LESS THAN 50 KW SERVICE CLASSIFICATION</v>
      </c>
      <c r="B719" s="105" t="s">
        <v>167</v>
      </c>
      <c r="C719" s="117">
        <f>B41</f>
        <v>12</v>
      </c>
      <c r="D719" s="147" t="s">
        <v>168</v>
      </c>
      <c r="E719" s="148"/>
      <c r="F719" s="149"/>
      <c r="G719" s="150"/>
      <c r="H719" s="151">
        <f>SUM(H710:H718)</f>
        <v>107.3972</v>
      </c>
      <c r="I719" s="152"/>
      <c r="J719" s="153"/>
      <c r="K719" s="151">
        <f>SUM(K710:K718)</f>
        <v>121.45779064461911</v>
      </c>
      <c r="L719" s="138">
        <f t="shared" si="100"/>
        <v>14.060590644619111</v>
      </c>
      <c r="M719" s="139">
        <f>IF((H719)=0,"",(L719/H719))</f>
        <v>0.13092138942746284</v>
      </c>
    </row>
    <row r="720" spans="1:13" x14ac:dyDescent="0.25">
      <c r="A720" s="100" t="str">
        <f t="shared" si="103"/>
        <v>GENERAL SERVICE LESS THAN 50 KW SERVICE CLASSIFICATION</v>
      </c>
      <c r="C720" s="117"/>
      <c r="D720" s="154" t="s">
        <v>169</v>
      </c>
      <c r="E720" s="119"/>
      <c r="F720" s="127">
        <v>6.0000000000000001E-3</v>
      </c>
      <c r="G720" s="141">
        <f>IF($E697&gt;0, $E697, $E696*$E698)</f>
        <v>5280</v>
      </c>
      <c r="H720" s="122">
        <f>G720*F720</f>
        <v>31.68</v>
      </c>
      <c r="I720" s="128">
        <v>6.0000000000000001E-3</v>
      </c>
      <c r="J720" s="141">
        <f>IF($E697&gt;0, $E697, $E696*$E699)</f>
        <v>5280</v>
      </c>
      <c r="K720" s="122">
        <f>J720*I720</f>
        <v>31.68</v>
      </c>
      <c r="L720" s="125">
        <f t="shared" si="100"/>
        <v>0</v>
      </c>
      <c r="M720" s="126">
        <f>IF(ISERROR(L720/H720), "", L720/H720)</f>
        <v>0</v>
      </c>
    </row>
    <row r="721" spans="1:13" ht="25.5" x14ac:dyDescent="0.25">
      <c r="A721" s="100" t="str">
        <f t="shared" si="103"/>
        <v>GENERAL SERVICE LESS THAN 50 KW SERVICE CLASSIFICATION</v>
      </c>
      <c r="C721" s="117"/>
      <c r="D721" s="155" t="s">
        <v>170</v>
      </c>
      <c r="E721" s="119"/>
      <c r="F721" s="127">
        <v>5.3E-3</v>
      </c>
      <c r="G721" s="141">
        <f>IF($E697&gt;0, $E697, $E696*$E698)</f>
        <v>5280</v>
      </c>
      <c r="H721" s="122">
        <f>G721*F721</f>
        <v>27.984000000000002</v>
      </c>
      <c r="I721" s="128">
        <v>5.3E-3</v>
      </c>
      <c r="J721" s="141">
        <f>IF($E697&gt;0, $E697, $E696*$E699)</f>
        <v>5280</v>
      </c>
      <c r="K721" s="122">
        <f>J721*I721</f>
        <v>27.984000000000002</v>
      </c>
      <c r="L721" s="125">
        <f t="shared" si="100"/>
        <v>0</v>
      </c>
      <c r="M721" s="126">
        <f>IF(ISERROR(L721/H721), "", L721/H721)</f>
        <v>0</v>
      </c>
    </row>
    <row r="722" spans="1:13" ht="25.5" x14ac:dyDescent="0.25">
      <c r="A722" s="100" t="str">
        <f t="shared" si="103"/>
        <v>GENERAL SERVICE LESS THAN 50 KW SERVICE CLASSIFICATION</v>
      </c>
      <c r="B722" s="105" t="s">
        <v>171</v>
      </c>
      <c r="C722" s="117">
        <f>B41</f>
        <v>12</v>
      </c>
      <c r="D722" s="147" t="s">
        <v>172</v>
      </c>
      <c r="E722" s="132"/>
      <c r="F722" s="149"/>
      <c r="G722" s="150"/>
      <c r="H722" s="151">
        <f>SUM(H719:H721)</f>
        <v>167.06120000000001</v>
      </c>
      <c r="I722" s="152"/>
      <c r="J722" s="137"/>
      <c r="K722" s="151">
        <f>SUM(K719:K721)</f>
        <v>181.12179064461913</v>
      </c>
      <c r="L722" s="138">
        <f t="shared" si="100"/>
        <v>14.060590644619111</v>
      </c>
      <c r="M722" s="139">
        <f>IF((H722)=0,"",(L722/H722))</f>
        <v>8.416431011281561E-2</v>
      </c>
    </row>
    <row r="723" spans="1:13" ht="25.5" x14ac:dyDescent="0.25">
      <c r="A723" s="100" t="str">
        <f t="shared" si="103"/>
        <v>GENERAL SERVICE LESS THAN 50 KW SERVICE CLASSIFICATION</v>
      </c>
      <c r="C723" s="117"/>
      <c r="D723" s="156" t="s">
        <v>173</v>
      </c>
      <c r="E723" s="119"/>
      <c r="F723" s="127">
        <v>3.6000000000000003E-3</v>
      </c>
      <c r="G723" s="141">
        <f>E696*E698</f>
        <v>5280</v>
      </c>
      <c r="H723" s="157">
        <f t="shared" ref="H723:H729" si="105">G723*F723</f>
        <v>19.008000000000003</v>
      </c>
      <c r="I723" s="128">
        <v>3.6000000000000003E-3</v>
      </c>
      <c r="J723" s="141">
        <f>E696*E699</f>
        <v>5280</v>
      </c>
      <c r="K723" s="157">
        <f t="shared" ref="K723:K729" si="106">J723*I723</f>
        <v>19.008000000000003</v>
      </c>
      <c r="L723" s="125">
        <f t="shared" si="100"/>
        <v>0</v>
      </c>
      <c r="M723" s="126">
        <f t="shared" ref="M723:M731" si="107">IF(ISERROR(L723/H723), "", L723/H723)</f>
        <v>0</v>
      </c>
    </row>
    <row r="724" spans="1:13" ht="25.5" x14ac:dyDescent="0.25">
      <c r="A724" s="100" t="str">
        <f t="shared" si="103"/>
        <v>GENERAL SERVICE LESS THAN 50 KW SERVICE CLASSIFICATION</v>
      </c>
      <c r="C724" s="117"/>
      <c r="D724" s="156" t="s">
        <v>174</v>
      </c>
      <c r="E724" s="119"/>
      <c r="F724" s="127">
        <f>'[1]17. Regulatory Charges'!$D$16</f>
        <v>2.9999999999999997E-4</v>
      </c>
      <c r="G724" s="141">
        <f>E696*E698</f>
        <v>5280</v>
      </c>
      <c r="H724" s="157">
        <f t="shared" si="105"/>
        <v>1.5839999999999999</v>
      </c>
      <c r="I724" s="128">
        <v>2.9999999999999997E-4</v>
      </c>
      <c r="J724" s="141">
        <f>E696*E699</f>
        <v>5280</v>
      </c>
      <c r="K724" s="157">
        <f t="shared" si="106"/>
        <v>1.5839999999999999</v>
      </c>
      <c r="L724" s="125">
        <f t="shared" si="100"/>
        <v>0</v>
      </c>
      <c r="M724" s="126">
        <f t="shared" si="107"/>
        <v>0</v>
      </c>
    </row>
    <row r="725" spans="1:13" x14ac:dyDescent="0.25">
      <c r="A725" s="100" t="str">
        <f t="shared" si="103"/>
        <v>GENERAL SERVICE LESS THAN 50 KW SERVICE CLASSIFICATION</v>
      </c>
      <c r="C725" s="117"/>
      <c r="D725" s="158" t="s">
        <v>175</v>
      </c>
      <c r="E725" s="119"/>
      <c r="F725" s="145">
        <v>0.25</v>
      </c>
      <c r="G725" s="121">
        <v>1</v>
      </c>
      <c r="H725" s="157">
        <f t="shared" si="105"/>
        <v>0.25</v>
      </c>
      <c r="I725" s="146">
        <v>0.25</v>
      </c>
      <c r="J725" s="124">
        <v>1</v>
      </c>
      <c r="K725" s="157">
        <f t="shared" si="106"/>
        <v>0.25</v>
      </c>
      <c r="L725" s="125">
        <f t="shared" si="100"/>
        <v>0</v>
      </c>
      <c r="M725" s="126">
        <f t="shared" si="107"/>
        <v>0</v>
      </c>
    </row>
    <row r="726" spans="1:13" ht="25.5" x14ac:dyDescent="0.25">
      <c r="A726" s="100" t="str">
        <f t="shared" si="103"/>
        <v>GENERAL SERVICE LESS THAN 50 KW SERVICE CLASSIFICATION</v>
      </c>
      <c r="C726" s="117"/>
      <c r="D726" s="156" t="s">
        <v>176</v>
      </c>
      <c r="E726" s="119"/>
      <c r="F726" s="127"/>
      <c r="G726" s="141"/>
      <c r="H726" s="157"/>
      <c r="I726" s="128"/>
      <c r="J726" s="141"/>
      <c r="K726" s="157"/>
      <c r="L726" s="125"/>
      <c r="M726" s="126"/>
    </row>
    <row r="727" spans="1:13" x14ac:dyDescent="0.25">
      <c r="A727" s="100" t="str">
        <f t="shared" si="103"/>
        <v>GENERAL SERVICE LESS THAN 50 KW SERVICE CLASSIFICATION</v>
      </c>
      <c r="B727" s="105" t="s">
        <v>117</v>
      </c>
      <c r="C727" s="117"/>
      <c r="D727" s="159" t="s">
        <v>177</v>
      </c>
      <c r="E727" s="119"/>
      <c r="F727" s="160">
        <f>OffPeak</f>
        <v>6.5000000000000002E-2</v>
      </c>
      <c r="G727" s="161">
        <f>IF(AND(E696*12&gt;=150000),0.65*E696*E698,0.65*E696)</f>
        <v>3250</v>
      </c>
      <c r="H727" s="157">
        <f t="shared" si="105"/>
        <v>211.25</v>
      </c>
      <c r="I727" s="162">
        <v>6.5000000000000002E-2</v>
      </c>
      <c r="J727" s="161">
        <f>IF(AND(E696*12&gt;=150000),0.65*E696*E699,0.65*E696)</f>
        <v>3250</v>
      </c>
      <c r="K727" s="157">
        <f t="shared" si="106"/>
        <v>211.25</v>
      </c>
      <c r="L727" s="125">
        <f>K727-H727</f>
        <v>0</v>
      </c>
      <c r="M727" s="126">
        <f t="shared" si="107"/>
        <v>0</v>
      </c>
    </row>
    <row r="728" spans="1:13" x14ac:dyDescent="0.25">
      <c r="A728" s="100" t="str">
        <f t="shared" si="103"/>
        <v>GENERAL SERVICE LESS THAN 50 KW SERVICE CLASSIFICATION</v>
      </c>
      <c r="B728" s="105" t="s">
        <v>117</v>
      </c>
      <c r="C728" s="117"/>
      <c r="D728" s="159" t="s">
        <v>178</v>
      </c>
      <c r="E728" s="119"/>
      <c r="F728" s="160">
        <f>MidPeak</f>
        <v>9.4E-2</v>
      </c>
      <c r="G728" s="161">
        <f>IF(AND(E696*12&gt;=150000),0.17*E696*E698,0.17*E696)</f>
        <v>850.00000000000011</v>
      </c>
      <c r="H728" s="157">
        <f t="shared" si="105"/>
        <v>79.900000000000006</v>
      </c>
      <c r="I728" s="162">
        <v>9.4E-2</v>
      </c>
      <c r="J728" s="161">
        <f>IF(AND(E696*12&gt;=150000),0.17*E696*E699,0.17*E696)</f>
        <v>850.00000000000011</v>
      </c>
      <c r="K728" s="157">
        <f t="shared" si="106"/>
        <v>79.900000000000006</v>
      </c>
      <c r="L728" s="125">
        <f>K728-H728</f>
        <v>0</v>
      </c>
      <c r="M728" s="126">
        <f t="shared" si="107"/>
        <v>0</v>
      </c>
    </row>
    <row r="729" spans="1:13" ht="15.75" thickBot="1" x14ac:dyDescent="0.3">
      <c r="A729" s="100" t="str">
        <f t="shared" si="103"/>
        <v>GENERAL SERVICE LESS THAN 50 KW SERVICE CLASSIFICATION</v>
      </c>
      <c r="B729" s="105" t="s">
        <v>117</v>
      </c>
      <c r="C729" s="117"/>
      <c r="D729" s="105" t="s">
        <v>179</v>
      </c>
      <c r="E729" s="119"/>
      <c r="F729" s="160">
        <f>OnPeak</f>
        <v>0.13200000000000001</v>
      </c>
      <c r="G729" s="161">
        <f>IF(AND(E696*12&gt;=150000),0.18*E696*E698,0.18*E696)</f>
        <v>900</v>
      </c>
      <c r="H729" s="157">
        <f t="shared" si="105"/>
        <v>118.80000000000001</v>
      </c>
      <c r="I729" s="162">
        <v>0.13200000000000001</v>
      </c>
      <c r="J729" s="161">
        <f>IF(AND(E696*12&gt;=150000),0.18*E696*E699,0.18*E696)</f>
        <v>900</v>
      </c>
      <c r="K729" s="157">
        <f t="shared" si="106"/>
        <v>118.80000000000001</v>
      </c>
      <c r="L729" s="125">
        <f>K729-H729</f>
        <v>0</v>
      </c>
      <c r="M729" s="126">
        <f t="shared" si="107"/>
        <v>0</v>
      </c>
    </row>
    <row r="730" spans="1:13" hidden="1" x14ac:dyDescent="0.25">
      <c r="A730" s="100" t="str">
        <f t="shared" si="103"/>
        <v>GENERAL SERVICE LESS THAN 50 KW SERVICE CLASSIFICATION</v>
      </c>
      <c r="B730" s="100" t="s">
        <v>180</v>
      </c>
      <c r="C730" s="117"/>
      <c r="D730" s="159" t="s">
        <v>181</v>
      </c>
      <c r="E730" s="119"/>
      <c r="F730" s="163">
        <v>0.1101</v>
      </c>
      <c r="G730" s="161">
        <f>IF(AND(E696*12&gt;=150000),E696*E698,E696)</f>
        <v>5000</v>
      </c>
      <c r="H730" s="157">
        <f>G730*F730</f>
        <v>550.5</v>
      </c>
      <c r="I730" s="164">
        <v>0.1101</v>
      </c>
      <c r="J730" s="161">
        <f>IF(AND(E696*12&gt;=150000),E696*E699,E696)</f>
        <v>5000</v>
      </c>
      <c r="K730" s="157">
        <f>J730*I730</f>
        <v>550.5</v>
      </c>
      <c r="L730" s="125">
        <f>K730-H730</f>
        <v>0</v>
      </c>
      <c r="M730" s="126">
        <f t="shared" si="107"/>
        <v>0</v>
      </c>
    </row>
    <row r="731" spans="1:13" ht="15.75" hidden="1" thickBot="1" x14ac:dyDescent="0.3">
      <c r="A731" s="100" t="str">
        <f t="shared" si="103"/>
        <v>GENERAL SERVICE LESS THAN 50 KW SERVICE CLASSIFICATION</v>
      </c>
      <c r="B731" s="100" t="s">
        <v>121</v>
      </c>
      <c r="C731" s="117"/>
      <c r="D731" s="159" t="s">
        <v>182</v>
      </c>
      <c r="E731" s="119"/>
      <c r="F731" s="163">
        <v>0.1101</v>
      </c>
      <c r="G731" s="161">
        <f>IF(AND(E696*12&gt;=150000),E696*E698,E696)</f>
        <v>5000</v>
      </c>
      <c r="H731" s="157">
        <f>G731*F731</f>
        <v>550.5</v>
      </c>
      <c r="I731" s="164">
        <v>0.1101</v>
      </c>
      <c r="J731" s="161">
        <f>IF(AND(E696*12&gt;=150000),E696*E699,E696)</f>
        <v>5000</v>
      </c>
      <c r="K731" s="157">
        <f>J731*I731</f>
        <v>550.5</v>
      </c>
      <c r="L731" s="125">
        <f>K731-H731</f>
        <v>0</v>
      </c>
      <c r="M731" s="126">
        <f t="shared" si="107"/>
        <v>0</v>
      </c>
    </row>
    <row r="732" spans="1:13" ht="15.75" thickBot="1" x14ac:dyDescent="0.3">
      <c r="A732" s="100" t="str">
        <f t="shared" si="103"/>
        <v>GENERAL SERVICE LESS THAN 50 KW SERVICE CLASSIFICATION</v>
      </c>
      <c r="B732" s="105"/>
      <c r="C732" s="117"/>
      <c r="D732" s="165"/>
      <c r="E732" s="166"/>
      <c r="F732" s="167"/>
      <c r="G732" s="168"/>
      <c r="H732" s="169"/>
      <c r="I732" s="167"/>
      <c r="J732" s="170"/>
      <c r="K732" s="169"/>
      <c r="L732" s="171"/>
      <c r="M732" s="172"/>
    </row>
    <row r="733" spans="1:13" x14ac:dyDescent="0.25">
      <c r="A733" s="100" t="str">
        <f t="shared" si="103"/>
        <v>GENERAL SERVICE LESS THAN 50 KW SERVICE CLASSIFICATION</v>
      </c>
      <c r="B733" s="105" t="s">
        <v>117</v>
      </c>
      <c r="C733" s="117"/>
      <c r="D733" s="173" t="s">
        <v>183</v>
      </c>
      <c r="E733" s="158"/>
      <c r="F733" s="174"/>
      <c r="G733" s="175"/>
      <c r="H733" s="176">
        <f>SUM(H723:H729,H722)</f>
        <v>597.85320000000002</v>
      </c>
      <c r="I733" s="177"/>
      <c r="J733" s="177"/>
      <c r="K733" s="176">
        <f>SUM(K723:K729,K722)</f>
        <v>611.91379064461921</v>
      </c>
      <c r="L733" s="178">
        <f>K733-H733</f>
        <v>14.060590644619197</v>
      </c>
      <c r="M733" s="179">
        <f>IF((H733)=0,"",(L733/H733))</f>
        <v>2.3518466815297127E-2</v>
      </c>
    </row>
    <row r="734" spans="1:13" x14ac:dyDescent="0.25">
      <c r="A734" s="100" t="str">
        <f t="shared" si="103"/>
        <v>GENERAL SERVICE LESS THAN 50 KW SERVICE CLASSIFICATION</v>
      </c>
      <c r="B734" s="105" t="s">
        <v>117</v>
      </c>
      <c r="C734" s="117"/>
      <c r="D734" s="180" t="s">
        <v>184</v>
      </c>
      <c r="E734" s="158"/>
      <c r="F734" s="174">
        <v>0.13</v>
      </c>
      <c r="G734" s="181"/>
      <c r="H734" s="182">
        <f>H733*F734</f>
        <v>77.720916000000003</v>
      </c>
      <c r="I734" s="183">
        <v>0.13</v>
      </c>
      <c r="J734" s="121"/>
      <c r="K734" s="182">
        <f>K733*I734</f>
        <v>79.548792783800494</v>
      </c>
      <c r="L734" s="184">
        <f>K734-H734</f>
        <v>1.827876783800491</v>
      </c>
      <c r="M734" s="185">
        <f>IF((H734)=0,"",(L734/H734))</f>
        <v>2.3518466815297068E-2</v>
      </c>
    </row>
    <row r="735" spans="1:13" x14ac:dyDescent="0.25">
      <c r="A735" s="100" t="str">
        <f t="shared" si="103"/>
        <v>GENERAL SERVICE LESS THAN 50 KW SERVICE CLASSIFICATION</v>
      </c>
      <c r="B735" s="105" t="s">
        <v>117</v>
      </c>
      <c r="C735" s="117"/>
      <c r="D735" s="180" t="s">
        <v>185</v>
      </c>
      <c r="E735" s="158"/>
      <c r="F735" s="174">
        <v>0.08</v>
      </c>
      <c r="G735" s="181"/>
      <c r="H735" s="182">
        <f>H733*-F735</f>
        <v>-47.828256000000003</v>
      </c>
      <c r="I735" s="174">
        <v>0.08</v>
      </c>
      <c r="J735" s="121"/>
      <c r="K735" s="182">
        <f>K733*-I735</f>
        <v>-48.953103251569537</v>
      </c>
      <c r="L735" s="184">
        <f>K735-H735</f>
        <v>-1.124847251569534</v>
      </c>
      <c r="M735" s="185"/>
    </row>
    <row r="736" spans="1:13" ht="15.75" thickBot="1" x14ac:dyDescent="0.3">
      <c r="A736" s="100" t="str">
        <f t="shared" si="103"/>
        <v>GENERAL SERVICE LESS THAN 50 KW SERVICE CLASSIFICATION</v>
      </c>
      <c r="B736" s="105" t="s">
        <v>186</v>
      </c>
      <c r="C736" s="117">
        <f>B41</f>
        <v>12</v>
      </c>
      <c r="D736" s="301" t="s">
        <v>187</v>
      </c>
      <c r="E736" s="301"/>
      <c r="F736" s="186"/>
      <c r="G736" s="187"/>
      <c r="H736" s="188">
        <f>H733+H734+H735</f>
        <v>627.74585999999999</v>
      </c>
      <c r="I736" s="189"/>
      <c r="J736" s="189"/>
      <c r="K736" s="190">
        <f>K733+K734+K735</f>
        <v>642.50948017685016</v>
      </c>
      <c r="L736" s="191">
        <f>K736-H736</f>
        <v>14.763620176850168</v>
      </c>
      <c r="M736" s="192">
        <f>IF((H736)=0,"",(L736/H736))</f>
        <v>2.3518466815297148E-2</v>
      </c>
    </row>
    <row r="737" spans="1:13" ht="15.75" hidden="1" thickBot="1" x14ac:dyDescent="0.3">
      <c r="A737" s="100" t="str">
        <f t="shared" si="103"/>
        <v>GENERAL SERVICE LESS THAN 50 KW SERVICE CLASSIFICATION</v>
      </c>
      <c r="B737" s="100" t="s">
        <v>117</v>
      </c>
      <c r="C737" s="117"/>
      <c r="D737" s="165"/>
      <c r="E737" s="166"/>
      <c r="F737" s="167"/>
      <c r="G737" s="168"/>
      <c r="H737" s="169"/>
      <c r="I737" s="167"/>
      <c r="J737" s="170"/>
      <c r="K737" s="169"/>
      <c r="L737" s="171"/>
      <c r="M737" s="172"/>
    </row>
    <row r="738" spans="1:13" hidden="1" x14ac:dyDescent="0.25">
      <c r="A738" s="100" t="str">
        <f t="shared" si="103"/>
        <v>GENERAL SERVICE LESS THAN 50 KW SERVICE CLASSIFICATION</v>
      </c>
      <c r="B738" s="100" t="s">
        <v>180</v>
      </c>
      <c r="C738" s="117"/>
      <c r="D738" s="173" t="s">
        <v>188</v>
      </c>
      <c r="E738" s="158"/>
      <c r="F738" s="174"/>
      <c r="G738" s="175"/>
      <c r="H738" s="176">
        <f>SUM(H730,H723:H726,H722)</f>
        <v>738.40319999999997</v>
      </c>
      <c r="I738" s="177"/>
      <c r="J738" s="177"/>
      <c r="K738" s="176">
        <f>SUM(K730,K723:K726,K722)</f>
        <v>752.46379064461917</v>
      </c>
      <c r="L738" s="178">
        <f>K738-H738</f>
        <v>14.060590644619197</v>
      </c>
      <c r="M738" s="179">
        <f>IF((H738)=0,"",(L738/H738))</f>
        <v>1.9041887473698917E-2</v>
      </c>
    </row>
    <row r="739" spans="1:13" hidden="1" x14ac:dyDescent="0.25">
      <c r="A739" s="100" t="str">
        <f t="shared" si="103"/>
        <v>GENERAL SERVICE LESS THAN 50 KW SERVICE CLASSIFICATION</v>
      </c>
      <c r="B739" s="100" t="s">
        <v>180</v>
      </c>
      <c r="C739" s="117"/>
      <c r="D739" s="180" t="s">
        <v>184</v>
      </c>
      <c r="E739" s="158"/>
      <c r="F739" s="174">
        <v>0.13</v>
      </c>
      <c r="G739" s="175"/>
      <c r="H739" s="182">
        <f>H738*F739</f>
        <v>95.992416000000006</v>
      </c>
      <c r="I739" s="174">
        <v>0.13</v>
      </c>
      <c r="J739" s="183"/>
      <c r="K739" s="182">
        <f>K738*I739</f>
        <v>97.820292783800497</v>
      </c>
      <c r="L739" s="184">
        <f>K739-H739</f>
        <v>1.827876783800491</v>
      </c>
      <c r="M739" s="185">
        <f>IF((H739)=0,"",(L739/H739))</f>
        <v>1.9041887473698869E-2</v>
      </c>
    </row>
    <row r="740" spans="1:13" hidden="1" x14ac:dyDescent="0.25">
      <c r="A740" s="100" t="str">
        <f t="shared" si="103"/>
        <v>GENERAL SERVICE LESS THAN 50 KW SERVICE CLASSIFICATION</v>
      </c>
      <c r="B740" s="100" t="s">
        <v>180</v>
      </c>
      <c r="C740" s="117"/>
      <c r="D740" s="180" t="s">
        <v>185</v>
      </c>
      <c r="E740" s="158"/>
      <c r="F740" s="174">
        <v>0.08</v>
      </c>
      <c r="G740" s="175"/>
      <c r="H740" s="182"/>
      <c r="I740" s="174">
        <v>0.08</v>
      </c>
      <c r="J740" s="183"/>
      <c r="K740" s="182"/>
      <c r="L740" s="184"/>
      <c r="M740" s="185"/>
    </row>
    <row r="741" spans="1:13" ht="15.75" hidden="1" thickBot="1" x14ac:dyDescent="0.3">
      <c r="A741" s="100" t="str">
        <f t="shared" si="103"/>
        <v>GENERAL SERVICE LESS THAN 50 KW SERVICE CLASSIFICATION</v>
      </c>
      <c r="B741" s="100" t="s">
        <v>189</v>
      </c>
      <c r="C741" s="117"/>
      <c r="D741" s="301" t="s">
        <v>188</v>
      </c>
      <c r="E741" s="301"/>
      <c r="F741" s="193"/>
      <c r="G741" s="194"/>
      <c r="H741" s="188">
        <f>SUM(H738,H739)</f>
        <v>834.39561600000002</v>
      </c>
      <c r="I741" s="195"/>
      <c r="J741" s="195"/>
      <c r="K741" s="188">
        <f>SUM(K738,K739)</f>
        <v>850.28408342841965</v>
      </c>
      <c r="L741" s="196">
        <f>K741-H741</f>
        <v>15.888467428419631</v>
      </c>
      <c r="M741" s="197">
        <f>IF((H741)=0,"",(L741/H741))</f>
        <v>1.9041887473698844E-2</v>
      </c>
    </row>
    <row r="742" spans="1:13" ht="15.75" hidden="1" thickBot="1" x14ac:dyDescent="0.3">
      <c r="A742" s="100" t="str">
        <f t="shared" si="103"/>
        <v>GENERAL SERVICE LESS THAN 50 KW SERVICE CLASSIFICATION</v>
      </c>
      <c r="B742" s="100" t="s">
        <v>180</v>
      </c>
      <c r="C742" s="117"/>
      <c r="D742" s="165"/>
      <c r="E742" s="166"/>
      <c r="F742" s="198"/>
      <c r="G742" s="199"/>
      <c r="H742" s="200"/>
      <c r="I742" s="198"/>
      <c r="J742" s="168"/>
      <c r="K742" s="200"/>
      <c r="L742" s="201"/>
      <c r="M742" s="172"/>
    </row>
    <row r="743" spans="1:13" hidden="1" x14ac:dyDescent="0.25">
      <c r="A743" s="100" t="str">
        <f t="shared" si="103"/>
        <v>GENERAL SERVICE LESS THAN 50 KW SERVICE CLASSIFICATION</v>
      </c>
      <c r="B743" s="100" t="s">
        <v>121</v>
      </c>
      <c r="C743" s="117"/>
      <c r="D743" s="173" t="s">
        <v>190</v>
      </c>
      <c r="E743" s="158"/>
      <c r="F743" s="174"/>
      <c r="G743" s="175"/>
      <c r="H743" s="176">
        <f>SUM(H731,H723:H726,H722)</f>
        <v>738.40319999999997</v>
      </c>
      <c r="I743" s="177"/>
      <c r="J743" s="177"/>
      <c r="K743" s="176">
        <f>SUM(K731,K723:K726,K722)</f>
        <v>752.46379064461917</v>
      </c>
      <c r="L743" s="178">
        <f>K743-H743</f>
        <v>14.060590644619197</v>
      </c>
      <c r="M743" s="179">
        <f>IF((H743)=0,"",(L743/H743))</f>
        <v>1.9041887473698917E-2</v>
      </c>
    </row>
    <row r="744" spans="1:13" hidden="1" x14ac:dyDescent="0.25">
      <c r="A744" s="100" t="str">
        <f t="shared" si="103"/>
        <v>GENERAL SERVICE LESS THAN 50 KW SERVICE CLASSIFICATION</v>
      </c>
      <c r="B744" s="100" t="s">
        <v>121</v>
      </c>
      <c r="C744" s="117"/>
      <c r="D744" s="180" t="s">
        <v>184</v>
      </c>
      <c r="E744" s="158"/>
      <c r="F744" s="174">
        <v>0.13</v>
      </c>
      <c r="G744" s="175"/>
      <c r="H744" s="182">
        <f>H743*F744</f>
        <v>95.992416000000006</v>
      </c>
      <c r="I744" s="174">
        <v>0.13</v>
      </c>
      <c r="J744" s="183"/>
      <c r="K744" s="182">
        <f>K743*I744</f>
        <v>97.820292783800497</v>
      </c>
      <c r="L744" s="184">
        <f>K744-H744</f>
        <v>1.827876783800491</v>
      </c>
      <c r="M744" s="185">
        <f>IF((H744)=0,"",(L744/H744))</f>
        <v>1.9041887473698869E-2</v>
      </c>
    </row>
    <row r="745" spans="1:13" hidden="1" x14ac:dyDescent="0.25">
      <c r="A745" s="100" t="str">
        <f t="shared" si="103"/>
        <v>GENERAL SERVICE LESS THAN 50 KW SERVICE CLASSIFICATION</v>
      </c>
      <c r="B745" s="100" t="s">
        <v>121</v>
      </c>
      <c r="C745" s="117"/>
      <c r="D745" s="180" t="s">
        <v>185</v>
      </c>
      <c r="E745" s="158"/>
      <c r="F745" s="174">
        <v>0.08</v>
      </c>
      <c r="G745" s="175"/>
      <c r="H745" s="182"/>
      <c r="I745" s="174">
        <v>0.08</v>
      </c>
      <c r="J745" s="183"/>
      <c r="K745" s="182"/>
      <c r="L745" s="184"/>
      <c r="M745" s="185"/>
    </row>
    <row r="746" spans="1:13" ht="15.75" hidden="1" thickBot="1" x14ac:dyDescent="0.3">
      <c r="A746" s="100" t="str">
        <f t="shared" si="103"/>
        <v>GENERAL SERVICE LESS THAN 50 KW SERVICE CLASSIFICATION</v>
      </c>
      <c r="B746" s="100" t="s">
        <v>191</v>
      </c>
      <c r="C746" s="117"/>
      <c r="D746" s="301" t="s">
        <v>190</v>
      </c>
      <c r="E746" s="301"/>
      <c r="F746" s="193"/>
      <c r="G746" s="194"/>
      <c r="H746" s="188">
        <f>SUM(H743,H744)</f>
        <v>834.39561600000002</v>
      </c>
      <c r="I746" s="195"/>
      <c r="J746" s="195"/>
      <c r="K746" s="188">
        <f>SUM(K743,K744)</f>
        <v>850.28408342841965</v>
      </c>
      <c r="L746" s="196">
        <f>K746-H746</f>
        <v>15.888467428419631</v>
      </c>
      <c r="M746" s="197">
        <f>IF((H746)=0,"",(L746/H746))</f>
        <v>1.9041887473698844E-2</v>
      </c>
    </row>
    <row r="747" spans="1:13" ht="15.75" thickBot="1" x14ac:dyDescent="0.3">
      <c r="A747" s="100" t="str">
        <f t="shared" si="103"/>
        <v>GENERAL SERVICE LESS THAN 50 KW SERVICE CLASSIFICATION</v>
      </c>
      <c r="B747" s="100" t="s">
        <v>121</v>
      </c>
      <c r="C747" s="117"/>
      <c r="D747" s="165"/>
      <c r="E747" s="166"/>
      <c r="F747" s="202"/>
      <c r="G747" s="203"/>
      <c r="H747" s="204"/>
      <c r="I747" s="202"/>
      <c r="J747" s="205"/>
      <c r="K747" s="204"/>
      <c r="L747" s="206"/>
      <c r="M747" s="207"/>
    </row>
    <row r="750" spans="1:13" x14ac:dyDescent="0.25">
      <c r="C750" s="100"/>
      <c r="D750" s="101" t="s">
        <v>134</v>
      </c>
      <c r="E750" s="302" t="str">
        <f>D42</f>
        <v>GENERAL SERVICE LESS THAN 50 KW SERVICE CLASSIFICATION</v>
      </c>
      <c r="F750" s="302"/>
      <c r="G750" s="302"/>
      <c r="H750" s="302"/>
      <c r="I750" s="302"/>
      <c r="J750" s="302"/>
      <c r="K750" s="100" t="str">
        <f>IF(N42="DEMAND - INTERVAL","RTSR - INTERVAL METERED","")</f>
        <v/>
      </c>
    </row>
    <row r="751" spans="1:13" x14ac:dyDescent="0.25">
      <c r="C751" s="100"/>
      <c r="D751" s="101" t="s">
        <v>135</v>
      </c>
      <c r="E751" s="303" t="str">
        <f>H42</f>
        <v>RPP</v>
      </c>
      <c r="F751" s="303"/>
      <c r="G751" s="303"/>
      <c r="H751" s="102"/>
      <c r="I751" s="102"/>
    </row>
    <row r="752" spans="1:13" ht="15.75" x14ac:dyDescent="0.25">
      <c r="C752" s="100"/>
      <c r="D752" s="101" t="s">
        <v>136</v>
      </c>
      <c r="E752" s="103">
        <f>K42</f>
        <v>15000</v>
      </c>
      <c r="F752" s="104" t="s">
        <v>137</v>
      </c>
      <c r="G752" s="105"/>
      <c r="J752" s="106"/>
      <c r="K752" s="106"/>
      <c r="L752" s="106"/>
      <c r="M752" s="106"/>
    </row>
    <row r="753" spans="1:13" ht="15.75" x14ac:dyDescent="0.25">
      <c r="C753" s="100"/>
      <c r="D753" s="101" t="s">
        <v>138</v>
      </c>
      <c r="E753" s="103">
        <f>L42</f>
        <v>0</v>
      </c>
      <c r="F753" s="107" t="s">
        <v>139</v>
      </c>
      <c r="G753" s="108"/>
      <c r="H753" s="109"/>
      <c r="I753" s="109"/>
      <c r="J753" s="109"/>
    </row>
    <row r="754" spans="1:13" x14ac:dyDescent="0.25">
      <c r="C754" s="100"/>
      <c r="D754" s="101" t="s">
        <v>140</v>
      </c>
      <c r="E754" s="110">
        <f>I42</f>
        <v>1.056</v>
      </c>
    </row>
    <row r="755" spans="1:13" x14ac:dyDescent="0.25">
      <c r="C755" s="100"/>
      <c r="D755" s="101" t="s">
        <v>141</v>
      </c>
      <c r="E755" s="110">
        <f>J42</f>
        <v>1.056</v>
      </c>
    </row>
    <row r="756" spans="1:13" x14ac:dyDescent="0.25">
      <c r="C756" s="100"/>
      <c r="D756" s="105"/>
    </row>
    <row r="757" spans="1:13" x14ac:dyDescent="0.25">
      <c r="C757" s="100"/>
      <c r="D757" s="105"/>
      <c r="E757" s="111"/>
      <c r="F757" s="304" t="s">
        <v>142</v>
      </c>
      <c r="G757" s="305"/>
      <c r="H757" s="306"/>
      <c r="I757" s="304" t="s">
        <v>143</v>
      </c>
      <c r="J757" s="305"/>
      <c r="K757" s="306"/>
      <c r="L757" s="304" t="s">
        <v>144</v>
      </c>
      <c r="M757" s="306"/>
    </row>
    <row r="758" spans="1:13" x14ac:dyDescent="0.25">
      <c r="C758" s="100"/>
      <c r="D758" s="105"/>
      <c r="E758" s="295"/>
      <c r="F758" s="112" t="s">
        <v>145</v>
      </c>
      <c r="G758" s="112" t="s">
        <v>146</v>
      </c>
      <c r="H758" s="113" t="s">
        <v>147</v>
      </c>
      <c r="I758" s="112" t="s">
        <v>145</v>
      </c>
      <c r="J758" s="114" t="s">
        <v>146</v>
      </c>
      <c r="K758" s="113" t="s">
        <v>147</v>
      </c>
      <c r="L758" s="297" t="s">
        <v>148</v>
      </c>
      <c r="M758" s="299" t="s">
        <v>149</v>
      </c>
    </row>
    <row r="759" spans="1:13" x14ac:dyDescent="0.25">
      <c r="C759" s="100"/>
      <c r="D759" s="105"/>
      <c r="E759" s="296"/>
      <c r="F759" s="115" t="s">
        <v>150</v>
      </c>
      <c r="G759" s="115"/>
      <c r="H759" s="116" t="s">
        <v>150</v>
      </c>
      <c r="I759" s="115" t="s">
        <v>150</v>
      </c>
      <c r="J759" s="116"/>
      <c r="K759" s="116" t="s">
        <v>150</v>
      </c>
      <c r="L759" s="298"/>
      <c r="M759" s="300"/>
    </row>
    <row r="760" spans="1:13" x14ac:dyDescent="0.25">
      <c r="A760" s="100" t="str">
        <f>$E750</f>
        <v>GENERAL SERVICE LESS THAN 50 KW SERVICE CLASSIFICATION</v>
      </c>
      <c r="C760" s="117"/>
      <c r="D760" s="118" t="s">
        <v>151</v>
      </c>
      <c r="E760" s="119"/>
      <c r="F760" s="120">
        <v>28.37</v>
      </c>
      <c r="G760" s="121">
        <v>1</v>
      </c>
      <c r="H760" s="122">
        <f>G760*F760</f>
        <v>28.37</v>
      </c>
      <c r="I760" s="123">
        <v>28.37</v>
      </c>
      <c r="J760" s="124">
        <f>G760</f>
        <v>1</v>
      </c>
      <c r="K760" s="122">
        <f>J760*I760</f>
        <v>28.37</v>
      </c>
      <c r="L760" s="125">
        <f t="shared" ref="L760:L781" si="108">K760-H760</f>
        <v>0</v>
      </c>
      <c r="M760" s="126">
        <f>IF(ISERROR(L760/H760), "", L760/H760)</f>
        <v>0</v>
      </c>
    </row>
    <row r="761" spans="1:13" x14ac:dyDescent="0.25">
      <c r="A761" s="100" t="str">
        <f>A760</f>
        <v>GENERAL SERVICE LESS THAN 50 KW SERVICE CLASSIFICATION</v>
      </c>
      <c r="C761" s="117"/>
      <c r="D761" s="118" t="s">
        <v>152</v>
      </c>
      <c r="E761" s="119"/>
      <c r="F761" s="127">
        <v>1.0200000000000001E-2</v>
      </c>
      <c r="G761" s="121">
        <f>IF($E753&gt;0, $E753, $E752)</f>
        <v>15000</v>
      </c>
      <c r="H761" s="122">
        <f t="shared" ref="H761:H773" si="109">G761*F761</f>
        <v>153</v>
      </c>
      <c r="I761" s="128">
        <v>1.0200000000000001E-2</v>
      </c>
      <c r="J761" s="124">
        <f>IF($E753&gt;0, $E753, $E752)</f>
        <v>15000</v>
      </c>
      <c r="K761" s="122">
        <f>J761*I761</f>
        <v>153</v>
      </c>
      <c r="L761" s="125">
        <f t="shared" si="108"/>
        <v>0</v>
      </c>
      <c r="M761" s="126">
        <f t="shared" ref="M761:M771" si="110">IF(ISERROR(L761/H761), "", L761/H761)</f>
        <v>0</v>
      </c>
    </row>
    <row r="762" spans="1:13" x14ac:dyDescent="0.25">
      <c r="A762" s="100" t="str">
        <f t="shared" ref="A762:A803" si="111">A761</f>
        <v>GENERAL SERVICE LESS THAN 50 KW SERVICE CLASSIFICATION</v>
      </c>
      <c r="C762" s="117"/>
      <c r="D762" s="118" t="s">
        <v>153</v>
      </c>
      <c r="E762" s="119"/>
      <c r="F762" s="127"/>
      <c r="G762" s="121">
        <f>IF($E753&gt;0, $E753, $E752)</f>
        <v>15000</v>
      </c>
      <c r="H762" s="122">
        <v>0</v>
      </c>
      <c r="I762" s="128"/>
      <c r="J762" s="124">
        <f>IF($E753&gt;0, $E753, $E752)</f>
        <v>15000</v>
      </c>
      <c r="K762" s="122">
        <v>0</v>
      </c>
      <c r="L762" s="125"/>
      <c r="M762" s="126"/>
    </row>
    <row r="763" spans="1:13" x14ac:dyDescent="0.25">
      <c r="A763" s="100" t="str">
        <f t="shared" si="111"/>
        <v>GENERAL SERVICE LESS THAN 50 KW SERVICE CLASSIFICATION</v>
      </c>
      <c r="C763" s="117"/>
      <c r="D763" s="118" t="s">
        <v>154</v>
      </c>
      <c r="E763" s="119"/>
      <c r="F763" s="127"/>
      <c r="G763" s="121">
        <f>IF($E753&gt;0, $E753, $E752)</f>
        <v>15000</v>
      </c>
      <c r="H763" s="122">
        <v>0</v>
      </c>
      <c r="I763" s="128"/>
      <c r="J763" s="121">
        <f>IF($E753&gt;0, $E753, $E752)</f>
        <v>15000</v>
      </c>
      <c r="K763" s="122">
        <v>0</v>
      </c>
      <c r="L763" s="125">
        <f>K763-H763</f>
        <v>0</v>
      </c>
      <c r="M763" s="126" t="str">
        <f>IF(ISERROR(L763/H763), "", L763/H763)</f>
        <v/>
      </c>
    </row>
    <row r="764" spans="1:13" x14ac:dyDescent="0.25">
      <c r="A764" s="100" t="str">
        <f t="shared" si="111"/>
        <v>GENERAL SERVICE LESS THAN 50 KW SERVICE CLASSIFICATION</v>
      </c>
      <c r="C764" s="117"/>
      <c r="D764" s="129" t="s">
        <v>155</v>
      </c>
      <c r="E764" s="119"/>
      <c r="F764" s="120">
        <v>0</v>
      </c>
      <c r="G764" s="121">
        <v>1</v>
      </c>
      <c r="H764" s="122">
        <f t="shared" si="109"/>
        <v>0</v>
      </c>
      <c r="I764" s="226">
        <f>'Rate Riders'!O9</f>
        <v>5.0258152524611814</v>
      </c>
      <c r="J764" s="124">
        <f>G764</f>
        <v>1</v>
      </c>
      <c r="K764" s="122">
        <f t="shared" ref="K764:K771" si="112">J764*I764</f>
        <v>5.0258152524611814</v>
      </c>
      <c r="L764" s="125">
        <f t="shared" si="108"/>
        <v>5.0258152524611814</v>
      </c>
      <c r="M764" s="126" t="str">
        <f t="shared" si="110"/>
        <v/>
      </c>
    </row>
    <row r="765" spans="1:13" x14ac:dyDescent="0.25">
      <c r="A765" s="100" t="str">
        <f t="shared" si="111"/>
        <v>GENERAL SERVICE LESS THAN 50 KW SERVICE CLASSIFICATION</v>
      </c>
      <c r="C765" s="117"/>
      <c r="D765" s="118" t="s">
        <v>156</v>
      </c>
      <c r="E765" s="119"/>
      <c r="F765" s="127">
        <v>0</v>
      </c>
      <c r="G765" s="121">
        <f>IF($E753&gt;0, $E753, $E752)</f>
        <v>15000</v>
      </c>
      <c r="H765" s="122">
        <f t="shared" si="109"/>
        <v>0</v>
      </c>
      <c r="I765" s="227">
        <f>'Rate Riders'!P9</f>
        <v>1.8069550784315846E-3</v>
      </c>
      <c r="J765" s="124">
        <f>IF($E753&gt;0, $E753, $E752)</f>
        <v>15000</v>
      </c>
      <c r="K765" s="122">
        <f t="shared" si="112"/>
        <v>27.104326176473769</v>
      </c>
      <c r="L765" s="125">
        <f t="shared" si="108"/>
        <v>27.104326176473769</v>
      </c>
      <c r="M765" s="126" t="str">
        <f t="shared" si="110"/>
        <v/>
      </c>
    </row>
    <row r="766" spans="1:13" x14ac:dyDescent="0.25">
      <c r="A766" s="100" t="str">
        <f t="shared" si="111"/>
        <v>GENERAL SERVICE LESS THAN 50 KW SERVICE CLASSIFICATION</v>
      </c>
      <c r="B766" s="130" t="s">
        <v>157</v>
      </c>
      <c r="C766" s="117">
        <f>B42</f>
        <v>13</v>
      </c>
      <c r="D766" s="131" t="s">
        <v>158</v>
      </c>
      <c r="E766" s="132"/>
      <c r="F766" s="133"/>
      <c r="G766" s="134"/>
      <c r="H766" s="135">
        <f>SUM(H760:H765)</f>
        <v>181.37</v>
      </c>
      <c r="I766" s="136"/>
      <c r="J766" s="137"/>
      <c r="K766" s="135">
        <f>SUM(K760:K765)</f>
        <v>213.50014142893494</v>
      </c>
      <c r="L766" s="138">
        <f t="shared" si="108"/>
        <v>32.130141428934934</v>
      </c>
      <c r="M766" s="139">
        <f>IF((H766)=0,"",(L766/H766))</f>
        <v>0.17715245866976309</v>
      </c>
    </row>
    <row r="767" spans="1:13" x14ac:dyDescent="0.25">
      <c r="A767" s="100" t="str">
        <f t="shared" si="111"/>
        <v>GENERAL SERVICE LESS THAN 50 KW SERVICE CLASSIFICATION</v>
      </c>
      <c r="C767" s="117"/>
      <c r="D767" s="140" t="s">
        <v>159</v>
      </c>
      <c r="E767" s="119"/>
      <c r="F767" s="127">
        <f>IF((E752*12&gt;=150000), 0, IF(E751="RPP",(F783*0.65+F784*0.17+F785*0.18),IF(E751="Non-RPP (Retailer)",F786,F787)))</f>
        <v>0</v>
      </c>
      <c r="G767" s="141">
        <f>IF(F767=0, 0, $E752*E754-E752)</f>
        <v>0</v>
      </c>
      <c r="H767" s="122">
        <f>G767*F767</f>
        <v>0</v>
      </c>
      <c r="I767" s="128">
        <v>0</v>
      </c>
      <c r="J767" s="141">
        <f>IF(I767=0, 0, E752*E755-E752)</f>
        <v>0</v>
      </c>
      <c r="K767" s="122">
        <f>J767*I767</f>
        <v>0</v>
      </c>
      <c r="L767" s="125">
        <f>K767-H767</f>
        <v>0</v>
      </c>
      <c r="M767" s="126" t="str">
        <f>IF(ISERROR(L767/H767), "", L767/H767)</f>
        <v/>
      </c>
    </row>
    <row r="768" spans="1:13" ht="25.5" x14ac:dyDescent="0.25">
      <c r="A768" s="100" t="str">
        <f t="shared" si="111"/>
        <v>GENERAL SERVICE LESS THAN 50 KW SERVICE CLASSIFICATION</v>
      </c>
      <c r="C768" s="117"/>
      <c r="D768" s="140" t="s">
        <v>160</v>
      </c>
      <c r="E768" s="119"/>
      <c r="F768" s="127">
        <v>-1.4E-3</v>
      </c>
      <c r="G768" s="142">
        <f>IF($E753&gt;0, $E753, $E752)</f>
        <v>15000</v>
      </c>
      <c r="H768" s="122">
        <f t="shared" si="109"/>
        <v>-21</v>
      </c>
      <c r="I768" s="128">
        <v>-1.4E-3</v>
      </c>
      <c r="J768" s="142">
        <f>IF($E753&gt;0, $E753, $E752)</f>
        <v>15000</v>
      </c>
      <c r="K768" s="122">
        <f t="shared" si="112"/>
        <v>-21</v>
      </c>
      <c r="L768" s="125">
        <f t="shared" si="108"/>
        <v>0</v>
      </c>
      <c r="M768" s="126">
        <f t="shared" si="110"/>
        <v>0</v>
      </c>
    </row>
    <row r="769" spans="1:13" x14ac:dyDescent="0.25">
      <c r="A769" s="100" t="str">
        <f t="shared" si="111"/>
        <v>GENERAL SERVICE LESS THAN 50 KW SERVICE CLASSIFICATION</v>
      </c>
      <c r="C769" s="117"/>
      <c r="D769" s="140" t="s">
        <v>161</v>
      </c>
      <c r="E769" s="119"/>
      <c r="F769" s="127">
        <v>-1E-4</v>
      </c>
      <c r="G769" s="142">
        <f>IF($E753&gt;0, $E753, $E752)</f>
        <v>15000</v>
      </c>
      <c r="H769" s="122">
        <f>G769*F769</f>
        <v>-1.5</v>
      </c>
      <c r="I769" s="128">
        <v>-1E-4</v>
      </c>
      <c r="J769" s="142">
        <f>IF($E753&gt;0, $E753, $E752)</f>
        <v>15000</v>
      </c>
      <c r="K769" s="122">
        <f>J769*I769</f>
        <v>-1.5</v>
      </c>
      <c r="L769" s="125">
        <f t="shared" si="108"/>
        <v>0</v>
      </c>
      <c r="M769" s="126">
        <f t="shared" si="110"/>
        <v>0</v>
      </c>
    </row>
    <row r="770" spans="1:13" x14ac:dyDescent="0.25">
      <c r="A770" s="100" t="str">
        <f t="shared" si="111"/>
        <v>GENERAL SERVICE LESS THAN 50 KW SERVICE CLASSIFICATION</v>
      </c>
      <c r="C770" s="117"/>
      <c r="D770" s="140" t="s">
        <v>162</v>
      </c>
      <c r="E770" s="119"/>
      <c r="F770" s="127">
        <v>0</v>
      </c>
      <c r="G770" s="142">
        <f>E752</f>
        <v>15000</v>
      </c>
      <c r="H770" s="122">
        <f>G770*F770</f>
        <v>0</v>
      </c>
      <c r="I770" s="128">
        <v>0</v>
      </c>
      <c r="J770" s="142">
        <f>E752</f>
        <v>15000</v>
      </c>
      <c r="K770" s="122">
        <f t="shared" si="112"/>
        <v>0</v>
      </c>
      <c r="L770" s="125">
        <f t="shared" si="108"/>
        <v>0</v>
      </c>
      <c r="M770" s="126" t="str">
        <f t="shared" si="110"/>
        <v/>
      </c>
    </row>
    <row r="771" spans="1:13" x14ac:dyDescent="0.25">
      <c r="A771" s="100" t="str">
        <f t="shared" si="111"/>
        <v>GENERAL SERVICE LESS THAN 50 KW SERVICE CLASSIFICATION</v>
      </c>
      <c r="C771" s="117"/>
      <c r="D771" s="143" t="s">
        <v>163</v>
      </c>
      <c r="E771" s="119"/>
      <c r="F771" s="127">
        <v>2.3999999999999998E-3</v>
      </c>
      <c r="G771" s="142">
        <f>IF($E753&gt;0, $E753, $E752)</f>
        <v>15000</v>
      </c>
      <c r="H771" s="122">
        <f t="shared" si="109"/>
        <v>36</v>
      </c>
      <c r="I771" s="128">
        <v>2.3999999999999998E-3</v>
      </c>
      <c r="J771" s="142">
        <f>IF($E753&gt;0, $E753, $E752)</f>
        <v>15000</v>
      </c>
      <c r="K771" s="122">
        <f t="shared" si="112"/>
        <v>36</v>
      </c>
      <c r="L771" s="125">
        <f t="shared" si="108"/>
        <v>0</v>
      </c>
      <c r="M771" s="126">
        <f t="shared" si="110"/>
        <v>0</v>
      </c>
    </row>
    <row r="772" spans="1:13" ht="25.5" x14ac:dyDescent="0.25">
      <c r="A772" s="100" t="str">
        <f t="shared" si="111"/>
        <v>GENERAL SERVICE LESS THAN 50 KW SERVICE CLASSIFICATION</v>
      </c>
      <c r="C772" s="117"/>
      <c r="D772" s="144" t="s">
        <v>164</v>
      </c>
      <c r="E772" s="119"/>
      <c r="F772" s="145">
        <f>IF(OR(ISNUMBER(SEARCH("RESIDENTIAL", E750))=TRUE, ISNUMBER(SEARCH("GENERAL SERVICE LESS THAN 50", E750))=TRUE), SME, 0)</f>
        <v>0.56999999999999995</v>
      </c>
      <c r="G772" s="121">
        <v>1</v>
      </c>
      <c r="H772" s="122">
        <f>G772*F772</f>
        <v>0.56999999999999995</v>
      </c>
      <c r="I772" s="146">
        <v>0.56999999999999995</v>
      </c>
      <c r="J772" s="121">
        <v>1</v>
      </c>
      <c r="K772" s="122">
        <f>J772*I772</f>
        <v>0.56999999999999995</v>
      </c>
      <c r="L772" s="125">
        <f t="shared" si="108"/>
        <v>0</v>
      </c>
      <c r="M772" s="126">
        <f>IF(ISERROR(L772/H772), "", L772/H772)</f>
        <v>0</v>
      </c>
    </row>
    <row r="773" spans="1:13" x14ac:dyDescent="0.25">
      <c r="A773" s="100" t="str">
        <f t="shared" si="111"/>
        <v>GENERAL SERVICE LESS THAN 50 KW SERVICE CLASSIFICATION</v>
      </c>
      <c r="C773" s="117"/>
      <c r="D773" s="143" t="s">
        <v>165</v>
      </c>
      <c r="E773" s="119"/>
      <c r="F773" s="120">
        <v>0</v>
      </c>
      <c r="G773" s="121">
        <v>1</v>
      </c>
      <c r="H773" s="122">
        <f t="shared" si="109"/>
        <v>0</v>
      </c>
      <c r="I773" s="123">
        <v>0</v>
      </c>
      <c r="J773" s="121">
        <v>1</v>
      </c>
      <c r="K773" s="122">
        <f>J773*I773</f>
        <v>0</v>
      </c>
      <c r="L773" s="125">
        <f>K773-H773</f>
        <v>0</v>
      </c>
      <c r="M773" s="126" t="str">
        <f>IF(ISERROR(L773/H773), "", L773/H773)</f>
        <v/>
      </c>
    </row>
    <row r="774" spans="1:13" x14ac:dyDescent="0.25">
      <c r="A774" s="100" t="str">
        <f t="shared" si="111"/>
        <v>GENERAL SERVICE LESS THAN 50 KW SERVICE CLASSIFICATION</v>
      </c>
      <c r="C774" s="117"/>
      <c r="D774" s="143" t="s">
        <v>166</v>
      </c>
      <c r="E774" s="119"/>
      <c r="F774" s="127"/>
      <c r="G774" s="142">
        <f>IF($E753&gt;0, $E753, $E752)</f>
        <v>15000</v>
      </c>
      <c r="H774" s="122">
        <f>G774*F774</f>
        <v>0</v>
      </c>
      <c r="I774" s="128"/>
      <c r="J774" s="142">
        <f>IF($E753&gt;0, $E753, $E752)</f>
        <v>15000</v>
      </c>
      <c r="K774" s="122">
        <f>J774*I774</f>
        <v>0</v>
      </c>
      <c r="L774" s="125">
        <f t="shared" si="108"/>
        <v>0</v>
      </c>
      <c r="M774" s="126" t="str">
        <f>IF(ISERROR(L774/H774), "", L774/H774)</f>
        <v/>
      </c>
    </row>
    <row r="775" spans="1:13" ht="25.5" x14ac:dyDescent="0.25">
      <c r="A775" s="100" t="str">
        <f t="shared" si="111"/>
        <v>GENERAL SERVICE LESS THAN 50 KW SERVICE CLASSIFICATION</v>
      </c>
      <c r="B775" s="105" t="s">
        <v>167</v>
      </c>
      <c r="C775" s="117">
        <f>B42</f>
        <v>13</v>
      </c>
      <c r="D775" s="147" t="s">
        <v>168</v>
      </c>
      <c r="E775" s="148"/>
      <c r="F775" s="149"/>
      <c r="G775" s="150"/>
      <c r="H775" s="151">
        <f>SUM(H766:H774)</f>
        <v>195.44</v>
      </c>
      <c r="I775" s="152"/>
      <c r="J775" s="153"/>
      <c r="K775" s="151">
        <f>SUM(K766:K774)</f>
        <v>227.57014142893493</v>
      </c>
      <c r="L775" s="138">
        <f t="shared" si="108"/>
        <v>32.130141428934934</v>
      </c>
      <c r="M775" s="139">
        <f>IF((H775)=0,"",(L775/H775))</f>
        <v>0.16439900444604449</v>
      </c>
    </row>
    <row r="776" spans="1:13" x14ac:dyDescent="0.25">
      <c r="A776" s="100" t="str">
        <f t="shared" si="111"/>
        <v>GENERAL SERVICE LESS THAN 50 KW SERVICE CLASSIFICATION</v>
      </c>
      <c r="C776" s="117"/>
      <c r="D776" s="154" t="s">
        <v>169</v>
      </c>
      <c r="E776" s="119"/>
      <c r="F776" s="127">
        <v>6.0000000000000001E-3</v>
      </c>
      <c r="G776" s="141">
        <f>IF($E753&gt;0, $E753, $E752*$E754)</f>
        <v>15840</v>
      </c>
      <c r="H776" s="122">
        <f>G776*F776</f>
        <v>95.04</v>
      </c>
      <c r="I776" s="128">
        <v>6.0000000000000001E-3</v>
      </c>
      <c r="J776" s="141">
        <f>IF($E753&gt;0, $E753, $E752*$E755)</f>
        <v>15840</v>
      </c>
      <c r="K776" s="122">
        <f>J776*I776</f>
        <v>95.04</v>
      </c>
      <c r="L776" s="125">
        <f t="shared" si="108"/>
        <v>0</v>
      </c>
      <c r="M776" s="126">
        <f>IF(ISERROR(L776/H776), "", L776/H776)</f>
        <v>0</v>
      </c>
    </row>
    <row r="777" spans="1:13" ht="25.5" x14ac:dyDescent="0.25">
      <c r="A777" s="100" t="str">
        <f t="shared" si="111"/>
        <v>GENERAL SERVICE LESS THAN 50 KW SERVICE CLASSIFICATION</v>
      </c>
      <c r="C777" s="117"/>
      <c r="D777" s="155" t="s">
        <v>170</v>
      </c>
      <c r="E777" s="119"/>
      <c r="F777" s="127">
        <v>5.3E-3</v>
      </c>
      <c r="G777" s="141">
        <f>IF($E753&gt;0, $E753, $E752*$E754)</f>
        <v>15840</v>
      </c>
      <c r="H777" s="122">
        <f>G777*F777</f>
        <v>83.951999999999998</v>
      </c>
      <c r="I777" s="128">
        <v>5.3E-3</v>
      </c>
      <c r="J777" s="141">
        <f>IF($E753&gt;0, $E753, $E752*$E755)</f>
        <v>15840</v>
      </c>
      <c r="K777" s="122">
        <f>J777*I777</f>
        <v>83.951999999999998</v>
      </c>
      <c r="L777" s="125">
        <f t="shared" si="108"/>
        <v>0</v>
      </c>
      <c r="M777" s="126">
        <f>IF(ISERROR(L777/H777), "", L777/H777)</f>
        <v>0</v>
      </c>
    </row>
    <row r="778" spans="1:13" ht="25.5" x14ac:dyDescent="0.25">
      <c r="A778" s="100" t="str">
        <f t="shared" si="111"/>
        <v>GENERAL SERVICE LESS THAN 50 KW SERVICE CLASSIFICATION</v>
      </c>
      <c r="B778" s="105" t="s">
        <v>171</v>
      </c>
      <c r="C778" s="117">
        <f>B42</f>
        <v>13</v>
      </c>
      <c r="D778" s="147" t="s">
        <v>172</v>
      </c>
      <c r="E778" s="132"/>
      <c r="F778" s="149"/>
      <c r="G778" s="150"/>
      <c r="H778" s="151">
        <f>SUM(H775:H777)</f>
        <v>374.43200000000002</v>
      </c>
      <c r="I778" s="152"/>
      <c r="J778" s="137"/>
      <c r="K778" s="151">
        <f>SUM(K775:K777)</f>
        <v>406.56214142893492</v>
      </c>
      <c r="L778" s="138">
        <f t="shared" si="108"/>
        <v>32.130141428934905</v>
      </c>
      <c r="M778" s="139">
        <f>IF((H778)=0,"",(L778/H778))</f>
        <v>8.5810351222478057E-2</v>
      </c>
    </row>
    <row r="779" spans="1:13" ht="25.5" x14ac:dyDescent="0.25">
      <c r="A779" s="100" t="str">
        <f t="shared" si="111"/>
        <v>GENERAL SERVICE LESS THAN 50 KW SERVICE CLASSIFICATION</v>
      </c>
      <c r="C779" s="117"/>
      <c r="D779" s="156" t="s">
        <v>173</v>
      </c>
      <c r="E779" s="119"/>
      <c r="F779" s="127">
        <v>3.6000000000000003E-3</v>
      </c>
      <c r="G779" s="141">
        <f>E752*E754</f>
        <v>15840</v>
      </c>
      <c r="H779" s="157">
        <f t="shared" ref="H779:H785" si="113">G779*F779</f>
        <v>57.024000000000008</v>
      </c>
      <c r="I779" s="128">
        <v>3.6000000000000003E-3</v>
      </c>
      <c r="J779" s="141">
        <f>E752*E755</f>
        <v>15840</v>
      </c>
      <c r="K779" s="157">
        <f t="shared" ref="K779:K785" si="114">J779*I779</f>
        <v>57.024000000000008</v>
      </c>
      <c r="L779" s="125">
        <f t="shared" si="108"/>
        <v>0</v>
      </c>
      <c r="M779" s="126">
        <f t="shared" ref="M779:M787" si="115">IF(ISERROR(L779/H779), "", L779/H779)</f>
        <v>0</v>
      </c>
    </row>
    <row r="780" spans="1:13" ht="25.5" x14ac:dyDescent="0.25">
      <c r="A780" s="100" t="str">
        <f t="shared" si="111"/>
        <v>GENERAL SERVICE LESS THAN 50 KW SERVICE CLASSIFICATION</v>
      </c>
      <c r="C780" s="117"/>
      <c r="D780" s="156" t="s">
        <v>174</v>
      </c>
      <c r="E780" s="119"/>
      <c r="F780" s="127">
        <f>'[1]17. Regulatory Charges'!$D$16</f>
        <v>2.9999999999999997E-4</v>
      </c>
      <c r="G780" s="141">
        <f>E752*E754</f>
        <v>15840</v>
      </c>
      <c r="H780" s="157">
        <f t="shared" si="113"/>
        <v>4.7519999999999998</v>
      </c>
      <c r="I780" s="128">
        <v>2.9999999999999997E-4</v>
      </c>
      <c r="J780" s="141">
        <f>E752*E755</f>
        <v>15840</v>
      </c>
      <c r="K780" s="157">
        <f t="shared" si="114"/>
        <v>4.7519999999999998</v>
      </c>
      <c r="L780" s="125">
        <f t="shared" si="108"/>
        <v>0</v>
      </c>
      <c r="M780" s="126">
        <f t="shared" si="115"/>
        <v>0</v>
      </c>
    </row>
    <row r="781" spans="1:13" x14ac:dyDescent="0.25">
      <c r="A781" s="100" t="str">
        <f t="shared" si="111"/>
        <v>GENERAL SERVICE LESS THAN 50 KW SERVICE CLASSIFICATION</v>
      </c>
      <c r="C781" s="117"/>
      <c r="D781" s="158" t="s">
        <v>175</v>
      </c>
      <c r="E781" s="119"/>
      <c r="F781" s="145">
        <v>0.25</v>
      </c>
      <c r="G781" s="121">
        <v>1</v>
      </c>
      <c r="H781" s="157">
        <f t="shared" si="113"/>
        <v>0.25</v>
      </c>
      <c r="I781" s="146">
        <v>0.25</v>
      </c>
      <c r="J781" s="124">
        <v>1</v>
      </c>
      <c r="K781" s="157">
        <f t="shared" si="114"/>
        <v>0.25</v>
      </c>
      <c r="L781" s="125">
        <f t="shared" si="108"/>
        <v>0</v>
      </c>
      <c r="M781" s="126">
        <f t="shared" si="115"/>
        <v>0</v>
      </c>
    </row>
    <row r="782" spans="1:13" ht="25.5" x14ac:dyDescent="0.25">
      <c r="A782" s="100" t="str">
        <f t="shared" si="111"/>
        <v>GENERAL SERVICE LESS THAN 50 KW SERVICE CLASSIFICATION</v>
      </c>
      <c r="C782" s="117"/>
      <c r="D782" s="156" t="s">
        <v>176</v>
      </c>
      <c r="E782" s="119"/>
      <c r="F782" s="127"/>
      <c r="G782" s="141"/>
      <c r="H782" s="157"/>
      <c r="I782" s="128"/>
      <c r="J782" s="141"/>
      <c r="K782" s="157"/>
      <c r="L782" s="125"/>
      <c r="M782" s="126"/>
    </row>
    <row r="783" spans="1:13" x14ac:dyDescent="0.25">
      <c r="A783" s="100" t="str">
        <f t="shared" si="111"/>
        <v>GENERAL SERVICE LESS THAN 50 KW SERVICE CLASSIFICATION</v>
      </c>
      <c r="B783" s="105" t="s">
        <v>117</v>
      </c>
      <c r="C783" s="117"/>
      <c r="D783" s="159" t="s">
        <v>177</v>
      </c>
      <c r="E783" s="119"/>
      <c r="F783" s="160">
        <f>OffPeak</f>
        <v>6.5000000000000002E-2</v>
      </c>
      <c r="G783" s="161">
        <f>IF(AND(E752*12&gt;=150000),0.65*E752*E754,0.65*E752)</f>
        <v>10296</v>
      </c>
      <c r="H783" s="157">
        <f t="shared" si="113"/>
        <v>669.24</v>
      </c>
      <c r="I783" s="162">
        <v>6.5000000000000002E-2</v>
      </c>
      <c r="J783" s="161">
        <f>IF(AND(E752*12&gt;=150000),0.65*E752*E755,0.65*E752)</f>
        <v>10296</v>
      </c>
      <c r="K783" s="157">
        <f t="shared" si="114"/>
        <v>669.24</v>
      </c>
      <c r="L783" s="125">
        <f>K783-H783</f>
        <v>0</v>
      </c>
      <c r="M783" s="126">
        <f t="shared" si="115"/>
        <v>0</v>
      </c>
    </row>
    <row r="784" spans="1:13" x14ac:dyDescent="0.25">
      <c r="A784" s="100" t="str">
        <f t="shared" si="111"/>
        <v>GENERAL SERVICE LESS THAN 50 KW SERVICE CLASSIFICATION</v>
      </c>
      <c r="B784" s="105" t="s">
        <v>117</v>
      </c>
      <c r="C784" s="117"/>
      <c r="D784" s="159" t="s">
        <v>178</v>
      </c>
      <c r="E784" s="119"/>
      <c r="F784" s="160">
        <f>MidPeak</f>
        <v>9.4E-2</v>
      </c>
      <c r="G784" s="161">
        <f>IF(AND(E752*12&gt;=150000),0.17*E752*E754,0.17*E752)</f>
        <v>2692.8</v>
      </c>
      <c r="H784" s="157">
        <f t="shared" si="113"/>
        <v>253.12320000000003</v>
      </c>
      <c r="I784" s="162">
        <v>9.4E-2</v>
      </c>
      <c r="J784" s="161">
        <f>IF(AND(E752*12&gt;=150000),0.17*E752*E755,0.17*E752)</f>
        <v>2692.8</v>
      </c>
      <c r="K784" s="157">
        <f t="shared" si="114"/>
        <v>253.12320000000003</v>
      </c>
      <c r="L784" s="125">
        <f>K784-H784</f>
        <v>0</v>
      </c>
      <c r="M784" s="126">
        <f t="shared" si="115"/>
        <v>0</v>
      </c>
    </row>
    <row r="785" spans="1:13" ht="15.75" thickBot="1" x14ac:dyDescent="0.3">
      <c r="A785" s="100" t="str">
        <f t="shared" si="111"/>
        <v>GENERAL SERVICE LESS THAN 50 KW SERVICE CLASSIFICATION</v>
      </c>
      <c r="B785" s="105" t="s">
        <v>117</v>
      </c>
      <c r="C785" s="117"/>
      <c r="D785" s="105" t="s">
        <v>179</v>
      </c>
      <c r="E785" s="119"/>
      <c r="F785" s="160">
        <f>OnPeak</f>
        <v>0.13200000000000001</v>
      </c>
      <c r="G785" s="161">
        <f>IF(AND(E752*12&gt;=150000),0.18*E752*E754,0.18*E752)</f>
        <v>2851.2000000000003</v>
      </c>
      <c r="H785" s="157">
        <f t="shared" si="113"/>
        <v>376.35840000000007</v>
      </c>
      <c r="I785" s="162">
        <v>0.13200000000000001</v>
      </c>
      <c r="J785" s="161">
        <f>IF(AND(E752*12&gt;=150000),0.18*E752*E755,0.18*E752)</f>
        <v>2851.2000000000003</v>
      </c>
      <c r="K785" s="157">
        <f t="shared" si="114"/>
        <v>376.35840000000007</v>
      </c>
      <c r="L785" s="125">
        <f>K785-H785</f>
        <v>0</v>
      </c>
      <c r="M785" s="126">
        <f t="shared" si="115"/>
        <v>0</v>
      </c>
    </row>
    <row r="786" spans="1:13" hidden="1" x14ac:dyDescent="0.25">
      <c r="A786" s="100" t="str">
        <f t="shared" si="111"/>
        <v>GENERAL SERVICE LESS THAN 50 KW SERVICE CLASSIFICATION</v>
      </c>
      <c r="B786" s="100" t="s">
        <v>180</v>
      </c>
      <c r="C786" s="117"/>
      <c r="D786" s="159" t="s">
        <v>181</v>
      </c>
      <c r="E786" s="119"/>
      <c r="F786" s="163">
        <v>0.1101</v>
      </c>
      <c r="G786" s="161">
        <f>IF(AND(E752*12&gt;=150000),E752*E754,E752)</f>
        <v>15840</v>
      </c>
      <c r="H786" s="157">
        <f>G786*F786</f>
        <v>1743.9840000000002</v>
      </c>
      <c r="I786" s="164">
        <v>0.1101</v>
      </c>
      <c r="J786" s="161">
        <f>IF(AND(E752*12&gt;=150000),E752*E755,E752)</f>
        <v>15840</v>
      </c>
      <c r="K786" s="157">
        <f>J786*I786</f>
        <v>1743.9840000000002</v>
      </c>
      <c r="L786" s="125">
        <f>K786-H786</f>
        <v>0</v>
      </c>
      <c r="M786" s="126">
        <f t="shared" si="115"/>
        <v>0</v>
      </c>
    </row>
    <row r="787" spans="1:13" ht="15.75" hidden="1" thickBot="1" x14ac:dyDescent="0.3">
      <c r="A787" s="100" t="str">
        <f t="shared" si="111"/>
        <v>GENERAL SERVICE LESS THAN 50 KW SERVICE CLASSIFICATION</v>
      </c>
      <c r="B787" s="100" t="s">
        <v>121</v>
      </c>
      <c r="C787" s="117"/>
      <c r="D787" s="159" t="s">
        <v>182</v>
      </c>
      <c r="E787" s="119"/>
      <c r="F787" s="163">
        <v>0.1101</v>
      </c>
      <c r="G787" s="161">
        <f>IF(AND(E752*12&gt;=150000),E752*E754,E752)</f>
        <v>15840</v>
      </c>
      <c r="H787" s="157">
        <f>G787*F787</f>
        <v>1743.9840000000002</v>
      </c>
      <c r="I787" s="164">
        <v>0.1101</v>
      </c>
      <c r="J787" s="161">
        <f>IF(AND(E752*12&gt;=150000),E752*E755,E752)</f>
        <v>15840</v>
      </c>
      <c r="K787" s="157">
        <f>J787*I787</f>
        <v>1743.9840000000002</v>
      </c>
      <c r="L787" s="125">
        <f>K787-H787</f>
        <v>0</v>
      </c>
      <c r="M787" s="126">
        <f t="shared" si="115"/>
        <v>0</v>
      </c>
    </row>
    <row r="788" spans="1:13" ht="15.75" thickBot="1" x14ac:dyDescent="0.3">
      <c r="A788" s="100" t="str">
        <f t="shared" si="111"/>
        <v>GENERAL SERVICE LESS THAN 50 KW SERVICE CLASSIFICATION</v>
      </c>
      <c r="B788" s="105"/>
      <c r="C788" s="117"/>
      <c r="D788" s="165"/>
      <c r="E788" s="166"/>
      <c r="F788" s="167"/>
      <c r="G788" s="168"/>
      <c r="H788" s="169"/>
      <c r="I788" s="167"/>
      <c r="J788" s="170"/>
      <c r="K788" s="169"/>
      <c r="L788" s="171"/>
      <c r="M788" s="172"/>
    </row>
    <row r="789" spans="1:13" x14ac:dyDescent="0.25">
      <c r="A789" s="100" t="str">
        <f t="shared" si="111"/>
        <v>GENERAL SERVICE LESS THAN 50 KW SERVICE CLASSIFICATION</v>
      </c>
      <c r="B789" s="105" t="s">
        <v>117</v>
      </c>
      <c r="C789" s="117"/>
      <c r="D789" s="173" t="s">
        <v>183</v>
      </c>
      <c r="E789" s="158"/>
      <c r="F789" s="174"/>
      <c r="G789" s="175"/>
      <c r="H789" s="176">
        <f>SUM(H779:H785,H778)</f>
        <v>1735.1796000000002</v>
      </c>
      <c r="I789" s="177"/>
      <c r="J789" s="177"/>
      <c r="K789" s="176">
        <f>SUM(K779:K785,K778)</f>
        <v>1767.309741428935</v>
      </c>
      <c r="L789" s="178">
        <f>K789-H789</f>
        <v>32.130141428934849</v>
      </c>
      <c r="M789" s="179">
        <f>IF((H789)=0,"",(L789/H789))</f>
        <v>1.8516896711403733E-2</v>
      </c>
    </row>
    <row r="790" spans="1:13" x14ac:dyDescent="0.25">
      <c r="A790" s="100" t="str">
        <f t="shared" si="111"/>
        <v>GENERAL SERVICE LESS THAN 50 KW SERVICE CLASSIFICATION</v>
      </c>
      <c r="B790" s="105" t="s">
        <v>117</v>
      </c>
      <c r="C790" s="117"/>
      <c r="D790" s="180" t="s">
        <v>184</v>
      </c>
      <c r="E790" s="158"/>
      <c r="F790" s="174">
        <v>0.13</v>
      </c>
      <c r="G790" s="181"/>
      <c r="H790" s="182">
        <f>H789*F790</f>
        <v>225.57334800000004</v>
      </c>
      <c r="I790" s="183">
        <v>0.13</v>
      </c>
      <c r="J790" s="121"/>
      <c r="K790" s="182">
        <f>K789*I790</f>
        <v>229.75026638576156</v>
      </c>
      <c r="L790" s="184">
        <f>K790-H790</f>
        <v>4.1769183857615246</v>
      </c>
      <c r="M790" s="185">
        <f>IF((H790)=0,"",(L790/H790))</f>
        <v>1.8516896711403708E-2</v>
      </c>
    </row>
    <row r="791" spans="1:13" x14ac:dyDescent="0.25">
      <c r="A791" s="100" t="str">
        <f t="shared" si="111"/>
        <v>GENERAL SERVICE LESS THAN 50 KW SERVICE CLASSIFICATION</v>
      </c>
      <c r="B791" s="105" t="s">
        <v>117</v>
      </c>
      <c r="C791" s="117"/>
      <c r="D791" s="180" t="s">
        <v>185</v>
      </c>
      <c r="E791" s="158"/>
      <c r="F791" s="174">
        <v>0.08</v>
      </c>
      <c r="G791" s="181"/>
      <c r="H791" s="182">
        <f>H789*-F791</f>
        <v>-138.81436800000003</v>
      </c>
      <c r="I791" s="174">
        <v>0.08</v>
      </c>
      <c r="J791" s="121"/>
      <c r="K791" s="182">
        <f>K789*-I791</f>
        <v>-141.38477931431481</v>
      </c>
      <c r="L791" s="184">
        <f>K791-H791</f>
        <v>-2.5704113143147822</v>
      </c>
      <c r="M791" s="185"/>
    </row>
    <row r="792" spans="1:13" ht="15.75" thickBot="1" x14ac:dyDescent="0.3">
      <c r="A792" s="100" t="str">
        <f t="shared" si="111"/>
        <v>GENERAL SERVICE LESS THAN 50 KW SERVICE CLASSIFICATION</v>
      </c>
      <c r="B792" s="105" t="s">
        <v>186</v>
      </c>
      <c r="C792" s="117">
        <f>B42</f>
        <v>13</v>
      </c>
      <c r="D792" s="301" t="s">
        <v>187</v>
      </c>
      <c r="E792" s="301"/>
      <c r="F792" s="186"/>
      <c r="G792" s="187"/>
      <c r="H792" s="188">
        <f>H789+H790+H791</f>
        <v>1821.9385800000002</v>
      </c>
      <c r="I792" s="189"/>
      <c r="J792" s="189"/>
      <c r="K792" s="190">
        <f>K789+K790+K791</f>
        <v>1855.6752285003818</v>
      </c>
      <c r="L792" s="191">
        <f>K792-H792</f>
        <v>33.736648500381534</v>
      </c>
      <c r="M792" s="192">
        <f>IF((H792)=0,"",(L792/H792))</f>
        <v>1.8516896711403701E-2</v>
      </c>
    </row>
    <row r="793" spans="1:13" ht="15.75" hidden="1" thickBot="1" x14ac:dyDescent="0.3">
      <c r="A793" s="100" t="str">
        <f t="shared" si="111"/>
        <v>GENERAL SERVICE LESS THAN 50 KW SERVICE CLASSIFICATION</v>
      </c>
      <c r="B793" s="100" t="s">
        <v>117</v>
      </c>
      <c r="C793" s="117"/>
      <c r="D793" s="165"/>
      <c r="E793" s="166"/>
      <c r="F793" s="167"/>
      <c r="G793" s="168"/>
      <c r="H793" s="169"/>
      <c r="I793" s="167"/>
      <c r="J793" s="170"/>
      <c r="K793" s="169"/>
      <c r="L793" s="171"/>
      <c r="M793" s="172"/>
    </row>
    <row r="794" spans="1:13" hidden="1" x14ac:dyDescent="0.25">
      <c r="A794" s="100" t="str">
        <f t="shared" si="111"/>
        <v>GENERAL SERVICE LESS THAN 50 KW SERVICE CLASSIFICATION</v>
      </c>
      <c r="B794" s="100" t="s">
        <v>180</v>
      </c>
      <c r="C794" s="117"/>
      <c r="D794" s="173" t="s">
        <v>188</v>
      </c>
      <c r="E794" s="158"/>
      <c r="F794" s="174"/>
      <c r="G794" s="175"/>
      <c r="H794" s="176">
        <f>SUM(H786,H779:H782,H778)</f>
        <v>2180.442</v>
      </c>
      <c r="I794" s="177"/>
      <c r="J794" s="177"/>
      <c r="K794" s="176">
        <f>SUM(K786,K779:K782,K778)</f>
        <v>2212.5721414289351</v>
      </c>
      <c r="L794" s="178">
        <f>K794-H794</f>
        <v>32.130141428935076</v>
      </c>
      <c r="M794" s="179">
        <f>IF((H794)=0,"",(L794/H794))</f>
        <v>1.4735609307165737E-2</v>
      </c>
    </row>
    <row r="795" spans="1:13" hidden="1" x14ac:dyDescent="0.25">
      <c r="A795" s="100" t="str">
        <f t="shared" si="111"/>
        <v>GENERAL SERVICE LESS THAN 50 KW SERVICE CLASSIFICATION</v>
      </c>
      <c r="B795" s="100" t="s">
        <v>180</v>
      </c>
      <c r="C795" s="117"/>
      <c r="D795" s="180" t="s">
        <v>184</v>
      </c>
      <c r="E795" s="158"/>
      <c r="F795" s="174">
        <v>0.13</v>
      </c>
      <c r="G795" s="175"/>
      <c r="H795" s="182">
        <f>H794*F795</f>
        <v>283.45746000000003</v>
      </c>
      <c r="I795" s="174">
        <v>0.13</v>
      </c>
      <c r="J795" s="183"/>
      <c r="K795" s="182">
        <f>K794*I795</f>
        <v>287.63437838576158</v>
      </c>
      <c r="L795" s="184">
        <f>K795-H795</f>
        <v>4.1769183857615531</v>
      </c>
      <c r="M795" s="185">
        <f>IF((H795)=0,"",(L795/H795))</f>
        <v>1.4735609307165713E-2</v>
      </c>
    </row>
    <row r="796" spans="1:13" hidden="1" x14ac:dyDescent="0.25">
      <c r="A796" s="100" t="str">
        <f t="shared" si="111"/>
        <v>GENERAL SERVICE LESS THAN 50 KW SERVICE CLASSIFICATION</v>
      </c>
      <c r="B796" s="100" t="s">
        <v>180</v>
      </c>
      <c r="C796" s="117"/>
      <c r="D796" s="180" t="s">
        <v>185</v>
      </c>
      <c r="E796" s="158"/>
      <c r="F796" s="174">
        <v>0.08</v>
      </c>
      <c r="G796" s="175"/>
      <c r="H796" s="182"/>
      <c r="I796" s="174">
        <v>0.08</v>
      </c>
      <c r="J796" s="183"/>
      <c r="K796" s="182"/>
      <c r="L796" s="184"/>
      <c r="M796" s="185"/>
    </row>
    <row r="797" spans="1:13" ht="15.75" hidden="1" thickBot="1" x14ac:dyDescent="0.3">
      <c r="A797" s="100" t="str">
        <f t="shared" si="111"/>
        <v>GENERAL SERVICE LESS THAN 50 KW SERVICE CLASSIFICATION</v>
      </c>
      <c r="B797" s="100" t="s">
        <v>189</v>
      </c>
      <c r="C797" s="117"/>
      <c r="D797" s="301" t="s">
        <v>188</v>
      </c>
      <c r="E797" s="301"/>
      <c r="F797" s="193"/>
      <c r="G797" s="194"/>
      <c r="H797" s="188">
        <f>SUM(H794,H795)</f>
        <v>2463.8994600000001</v>
      </c>
      <c r="I797" s="195"/>
      <c r="J797" s="195"/>
      <c r="K797" s="188">
        <f>SUM(K794,K795)</f>
        <v>2500.2065198146965</v>
      </c>
      <c r="L797" s="196">
        <f>K797-H797</f>
        <v>36.307059814696458</v>
      </c>
      <c r="M797" s="197">
        <f>IF((H797)=0,"",(L797/H797))</f>
        <v>1.4735609307165665E-2</v>
      </c>
    </row>
    <row r="798" spans="1:13" ht="15.75" hidden="1" thickBot="1" x14ac:dyDescent="0.3">
      <c r="A798" s="100" t="str">
        <f t="shared" si="111"/>
        <v>GENERAL SERVICE LESS THAN 50 KW SERVICE CLASSIFICATION</v>
      </c>
      <c r="B798" s="100" t="s">
        <v>180</v>
      </c>
      <c r="C798" s="117"/>
      <c r="D798" s="165"/>
      <c r="E798" s="166"/>
      <c r="F798" s="198"/>
      <c r="G798" s="199"/>
      <c r="H798" s="200"/>
      <c r="I798" s="198"/>
      <c r="J798" s="168"/>
      <c r="K798" s="200"/>
      <c r="L798" s="201"/>
      <c r="M798" s="172"/>
    </row>
    <row r="799" spans="1:13" hidden="1" x14ac:dyDescent="0.25">
      <c r="A799" s="100" t="str">
        <f t="shared" si="111"/>
        <v>GENERAL SERVICE LESS THAN 50 KW SERVICE CLASSIFICATION</v>
      </c>
      <c r="B799" s="100" t="s">
        <v>121</v>
      </c>
      <c r="C799" s="117"/>
      <c r="D799" s="173" t="s">
        <v>190</v>
      </c>
      <c r="E799" s="158"/>
      <c r="F799" s="174"/>
      <c r="G799" s="175"/>
      <c r="H799" s="176">
        <f>SUM(H787,H779:H782,H778)</f>
        <v>2180.442</v>
      </c>
      <c r="I799" s="177"/>
      <c r="J799" s="177"/>
      <c r="K799" s="176">
        <f>SUM(K787,K779:K782,K778)</f>
        <v>2212.5721414289351</v>
      </c>
      <c r="L799" s="178">
        <f>K799-H799</f>
        <v>32.130141428935076</v>
      </c>
      <c r="M799" s="179">
        <f>IF((H799)=0,"",(L799/H799))</f>
        <v>1.4735609307165737E-2</v>
      </c>
    </row>
    <row r="800" spans="1:13" hidden="1" x14ac:dyDescent="0.25">
      <c r="A800" s="100" t="str">
        <f t="shared" si="111"/>
        <v>GENERAL SERVICE LESS THAN 50 KW SERVICE CLASSIFICATION</v>
      </c>
      <c r="B800" s="100" t="s">
        <v>121</v>
      </c>
      <c r="C800" s="117"/>
      <c r="D800" s="180" t="s">
        <v>184</v>
      </c>
      <c r="E800" s="158"/>
      <c r="F800" s="174">
        <v>0.13</v>
      </c>
      <c r="G800" s="175"/>
      <c r="H800" s="182">
        <f>H799*F800</f>
        <v>283.45746000000003</v>
      </c>
      <c r="I800" s="174">
        <v>0.13</v>
      </c>
      <c r="J800" s="183"/>
      <c r="K800" s="182">
        <f>K799*I800</f>
        <v>287.63437838576158</v>
      </c>
      <c r="L800" s="184">
        <f>K800-H800</f>
        <v>4.1769183857615531</v>
      </c>
      <c r="M800" s="185">
        <f>IF((H800)=0,"",(L800/H800))</f>
        <v>1.4735609307165713E-2</v>
      </c>
    </row>
    <row r="801" spans="1:13" hidden="1" x14ac:dyDescent="0.25">
      <c r="A801" s="100" t="str">
        <f t="shared" si="111"/>
        <v>GENERAL SERVICE LESS THAN 50 KW SERVICE CLASSIFICATION</v>
      </c>
      <c r="B801" s="100" t="s">
        <v>121</v>
      </c>
      <c r="C801" s="117"/>
      <c r="D801" s="180" t="s">
        <v>185</v>
      </c>
      <c r="E801" s="158"/>
      <c r="F801" s="174">
        <v>0.08</v>
      </c>
      <c r="G801" s="175"/>
      <c r="H801" s="182"/>
      <c r="I801" s="174">
        <v>0.08</v>
      </c>
      <c r="J801" s="183"/>
      <c r="K801" s="182"/>
      <c r="L801" s="184"/>
      <c r="M801" s="185"/>
    </row>
    <row r="802" spans="1:13" ht="15.75" hidden="1" thickBot="1" x14ac:dyDescent="0.3">
      <c r="A802" s="100" t="str">
        <f t="shared" si="111"/>
        <v>GENERAL SERVICE LESS THAN 50 KW SERVICE CLASSIFICATION</v>
      </c>
      <c r="B802" s="100" t="s">
        <v>191</v>
      </c>
      <c r="C802" s="117"/>
      <c r="D802" s="301" t="s">
        <v>190</v>
      </c>
      <c r="E802" s="301"/>
      <c r="F802" s="193"/>
      <c r="G802" s="194"/>
      <c r="H802" s="188">
        <f>SUM(H799,H800)</f>
        <v>2463.8994600000001</v>
      </c>
      <c r="I802" s="195"/>
      <c r="J802" s="195"/>
      <c r="K802" s="188">
        <f>SUM(K799,K800)</f>
        <v>2500.2065198146965</v>
      </c>
      <c r="L802" s="196">
        <f>K802-H802</f>
        <v>36.307059814696458</v>
      </c>
      <c r="M802" s="197">
        <f>IF((H802)=0,"",(L802/H802))</f>
        <v>1.4735609307165665E-2</v>
      </c>
    </row>
    <row r="803" spans="1:13" ht="15.75" thickBot="1" x14ac:dyDescent="0.3">
      <c r="A803" s="100" t="str">
        <f t="shared" si="111"/>
        <v>GENERAL SERVICE LESS THAN 50 KW SERVICE CLASSIFICATION</v>
      </c>
      <c r="B803" s="100" t="s">
        <v>121</v>
      </c>
      <c r="C803" s="117"/>
      <c r="D803" s="165"/>
      <c r="E803" s="166"/>
      <c r="F803" s="202"/>
      <c r="G803" s="203"/>
      <c r="H803" s="204"/>
      <c r="I803" s="202"/>
      <c r="J803" s="205"/>
      <c r="K803" s="204"/>
      <c r="L803" s="206"/>
      <c r="M803" s="207"/>
    </row>
    <row r="806" spans="1:13" x14ac:dyDescent="0.25">
      <c r="C806" s="100"/>
      <c r="D806" s="101" t="s">
        <v>134</v>
      </c>
      <c r="E806" s="302" t="str">
        <f>D43</f>
        <v>GENERAL SERVICE 50 TO 999 KW SERVICE CLASSIFICATION</v>
      </c>
      <c r="F806" s="302"/>
      <c r="G806" s="302"/>
      <c r="H806" s="302"/>
      <c r="I806" s="302"/>
      <c r="J806" s="302"/>
      <c r="K806" s="100" t="str">
        <f>IF(N43="DEMAND - INTERVAL","RTSR - INTERVAL METERED","")</f>
        <v/>
      </c>
    </row>
    <row r="807" spans="1:13" x14ac:dyDescent="0.25">
      <c r="C807" s="100"/>
      <c r="D807" s="101" t="s">
        <v>135</v>
      </c>
      <c r="E807" s="303" t="str">
        <f>H43</f>
        <v>Non-RPP (Other)</v>
      </c>
      <c r="F807" s="303"/>
      <c r="G807" s="303"/>
      <c r="H807" s="102"/>
      <c r="I807" s="102"/>
    </row>
    <row r="808" spans="1:13" ht="15.75" x14ac:dyDescent="0.25">
      <c r="C808" s="100"/>
      <c r="D808" s="101" t="s">
        <v>136</v>
      </c>
      <c r="E808" s="103">
        <f>K43</f>
        <v>20000</v>
      </c>
      <c r="F808" s="104" t="s">
        <v>137</v>
      </c>
      <c r="G808" s="105"/>
      <c r="J808" s="106"/>
      <c r="K808" s="106"/>
      <c r="L808" s="106"/>
      <c r="M808" s="106"/>
    </row>
    <row r="809" spans="1:13" ht="15.75" x14ac:dyDescent="0.25">
      <c r="C809" s="100"/>
      <c r="D809" s="101" t="s">
        <v>138</v>
      </c>
      <c r="E809" s="103">
        <f>L43</f>
        <v>60</v>
      </c>
      <c r="F809" s="107" t="s">
        <v>139</v>
      </c>
      <c r="G809" s="108"/>
      <c r="H809" s="109"/>
      <c r="I809" s="109"/>
      <c r="J809" s="109"/>
    </row>
    <row r="810" spans="1:13" x14ac:dyDescent="0.25">
      <c r="C810" s="100"/>
      <c r="D810" s="101" t="s">
        <v>140</v>
      </c>
      <c r="E810" s="110">
        <f>I43</f>
        <v>1.056</v>
      </c>
    </row>
    <row r="811" spans="1:13" x14ac:dyDescent="0.25">
      <c r="C811" s="100"/>
      <c r="D811" s="101" t="s">
        <v>141</v>
      </c>
      <c r="E811" s="110">
        <f>J43</f>
        <v>1.056</v>
      </c>
    </row>
    <row r="812" spans="1:13" x14ac:dyDescent="0.25">
      <c r="C812" s="100"/>
      <c r="D812" s="105"/>
    </row>
    <row r="813" spans="1:13" x14ac:dyDescent="0.25">
      <c r="C813" s="100"/>
      <c r="D813" s="105"/>
      <c r="E813" s="111"/>
      <c r="F813" s="304" t="s">
        <v>142</v>
      </c>
      <c r="G813" s="305"/>
      <c r="H813" s="306"/>
      <c r="I813" s="304" t="s">
        <v>143</v>
      </c>
      <c r="J813" s="305"/>
      <c r="K813" s="306"/>
      <c r="L813" s="304" t="s">
        <v>144</v>
      </c>
      <c r="M813" s="306"/>
    </row>
    <row r="814" spans="1:13" x14ac:dyDescent="0.25">
      <c r="C814" s="100"/>
      <c r="D814" s="105"/>
      <c r="E814" s="295"/>
      <c r="F814" s="112" t="s">
        <v>145</v>
      </c>
      <c r="G814" s="112" t="s">
        <v>146</v>
      </c>
      <c r="H814" s="113" t="s">
        <v>147</v>
      </c>
      <c r="I814" s="112" t="s">
        <v>145</v>
      </c>
      <c r="J814" s="114" t="s">
        <v>146</v>
      </c>
      <c r="K814" s="113" t="s">
        <v>147</v>
      </c>
      <c r="L814" s="297" t="s">
        <v>148</v>
      </c>
      <c r="M814" s="299" t="s">
        <v>149</v>
      </c>
    </row>
    <row r="815" spans="1:13" x14ac:dyDescent="0.25">
      <c r="C815" s="100"/>
      <c r="D815" s="105"/>
      <c r="E815" s="296"/>
      <c r="F815" s="115" t="s">
        <v>150</v>
      </c>
      <c r="G815" s="115"/>
      <c r="H815" s="116" t="s">
        <v>150</v>
      </c>
      <c r="I815" s="115" t="s">
        <v>150</v>
      </c>
      <c r="J815" s="116"/>
      <c r="K815" s="116" t="s">
        <v>150</v>
      </c>
      <c r="L815" s="298"/>
      <c r="M815" s="300"/>
    </row>
    <row r="816" spans="1:13" x14ac:dyDescent="0.25">
      <c r="A816" s="100" t="str">
        <f>$E806</f>
        <v>GENERAL SERVICE 50 TO 999 KW SERVICE CLASSIFICATION</v>
      </c>
      <c r="C816" s="117"/>
      <c r="D816" s="118" t="s">
        <v>151</v>
      </c>
      <c r="E816" s="119"/>
      <c r="F816" s="120">
        <v>86.83</v>
      </c>
      <c r="G816" s="121">
        <v>1</v>
      </c>
      <c r="H816" s="122">
        <f>G816*F816</f>
        <v>86.83</v>
      </c>
      <c r="I816" s="123">
        <v>86.83</v>
      </c>
      <c r="J816" s="124">
        <f>G816</f>
        <v>1</v>
      </c>
      <c r="K816" s="122">
        <f>J816*I816</f>
        <v>86.83</v>
      </c>
      <c r="L816" s="125">
        <f t="shared" ref="L816:L837" si="116">K816-H816</f>
        <v>0</v>
      </c>
      <c r="M816" s="126">
        <f>IF(ISERROR(L816/H816), "", L816/H816)</f>
        <v>0</v>
      </c>
    </row>
    <row r="817" spans="1:13" x14ac:dyDescent="0.25">
      <c r="A817" s="100" t="str">
        <f>A816</f>
        <v>GENERAL SERVICE 50 TO 999 KW SERVICE CLASSIFICATION</v>
      </c>
      <c r="C817" s="117"/>
      <c r="D817" s="118" t="s">
        <v>152</v>
      </c>
      <c r="E817" s="119"/>
      <c r="F817" s="127">
        <v>3.8580000000000001</v>
      </c>
      <c r="G817" s="121">
        <f>IF($E809&gt;0, $E809, $E808)</f>
        <v>60</v>
      </c>
      <c r="H817" s="122">
        <f t="shared" ref="H817:H829" si="117">G817*F817</f>
        <v>231.48000000000002</v>
      </c>
      <c r="I817" s="128">
        <v>3.8580000000000001</v>
      </c>
      <c r="J817" s="124">
        <f>IF($E809&gt;0, $E809, $E808)</f>
        <v>60</v>
      </c>
      <c r="K817" s="122">
        <f>J817*I817</f>
        <v>231.48000000000002</v>
      </c>
      <c r="L817" s="125">
        <f t="shared" si="116"/>
        <v>0</v>
      </c>
      <c r="M817" s="126">
        <f t="shared" ref="M817:M827" si="118">IF(ISERROR(L817/H817), "", L817/H817)</f>
        <v>0</v>
      </c>
    </row>
    <row r="818" spans="1:13" x14ac:dyDescent="0.25">
      <c r="A818" s="100" t="str">
        <f t="shared" ref="A818:A859" si="119">A817</f>
        <v>GENERAL SERVICE 50 TO 999 KW SERVICE CLASSIFICATION</v>
      </c>
      <c r="C818" s="117"/>
      <c r="D818" s="118" t="s">
        <v>153</v>
      </c>
      <c r="E818" s="119"/>
      <c r="F818" s="127"/>
      <c r="G818" s="121">
        <f>IF($E809&gt;0, $E809, $E808)</f>
        <v>60</v>
      </c>
      <c r="H818" s="122">
        <v>0</v>
      </c>
      <c r="I818" s="128"/>
      <c r="J818" s="124">
        <f>IF($E809&gt;0, $E809, $E808)</f>
        <v>60</v>
      </c>
      <c r="K818" s="122">
        <v>0</v>
      </c>
      <c r="L818" s="125"/>
      <c r="M818" s="126"/>
    </row>
    <row r="819" spans="1:13" x14ac:dyDescent="0.25">
      <c r="A819" s="100" t="str">
        <f t="shared" si="119"/>
        <v>GENERAL SERVICE 50 TO 999 KW SERVICE CLASSIFICATION</v>
      </c>
      <c r="C819" s="117"/>
      <c r="D819" s="118" t="s">
        <v>154</v>
      </c>
      <c r="E819" s="119"/>
      <c r="F819" s="127"/>
      <c r="G819" s="121">
        <f>IF($E809&gt;0, $E809, $E808)</f>
        <v>60</v>
      </c>
      <c r="H819" s="122">
        <v>0</v>
      </c>
      <c r="I819" s="128"/>
      <c r="J819" s="121">
        <f>IF($E809&gt;0, $E809, $E808)</f>
        <v>60</v>
      </c>
      <c r="K819" s="122">
        <v>0</v>
      </c>
      <c r="L819" s="125">
        <f>K819-H819</f>
        <v>0</v>
      </c>
      <c r="M819" s="126" t="str">
        <f>IF(ISERROR(L819/H819), "", L819/H819)</f>
        <v/>
      </c>
    </row>
    <row r="820" spans="1:13" x14ac:dyDescent="0.25">
      <c r="A820" s="100" t="str">
        <f t="shared" si="119"/>
        <v>GENERAL SERVICE 50 TO 999 KW SERVICE CLASSIFICATION</v>
      </c>
      <c r="C820" s="117"/>
      <c r="D820" s="129" t="s">
        <v>155</v>
      </c>
      <c r="E820" s="119"/>
      <c r="F820" s="120">
        <v>0</v>
      </c>
      <c r="G820" s="121">
        <v>1</v>
      </c>
      <c r="H820" s="122">
        <f t="shared" si="117"/>
        <v>0</v>
      </c>
      <c r="I820" s="226">
        <f>'Rate Riders'!O10</f>
        <v>15.382147986295536</v>
      </c>
      <c r="J820" s="124">
        <f>G820</f>
        <v>1</v>
      </c>
      <c r="K820" s="122">
        <f t="shared" ref="K820:K827" si="120">J820*I820</f>
        <v>15.382147986295536</v>
      </c>
      <c r="L820" s="125">
        <f t="shared" si="116"/>
        <v>15.382147986295536</v>
      </c>
      <c r="M820" s="126" t="str">
        <f t="shared" si="118"/>
        <v/>
      </c>
    </row>
    <row r="821" spans="1:13" x14ac:dyDescent="0.25">
      <c r="A821" s="100" t="str">
        <f t="shared" si="119"/>
        <v>GENERAL SERVICE 50 TO 999 KW SERVICE CLASSIFICATION</v>
      </c>
      <c r="C821" s="117"/>
      <c r="D821" s="118" t="s">
        <v>156</v>
      </c>
      <c r="E821" s="119"/>
      <c r="F821" s="127">
        <v>0</v>
      </c>
      <c r="G821" s="121">
        <f>IF($E809&gt;0, $E809, $E808)</f>
        <v>60</v>
      </c>
      <c r="H821" s="122">
        <f t="shared" si="117"/>
        <v>0</v>
      </c>
      <c r="I821" s="227">
        <f>'Rate Riders'!Q10</f>
        <v>0.68345418554794635</v>
      </c>
      <c r="J821" s="124">
        <f>IF($E809&gt;0, $E809, $E808)</f>
        <v>60</v>
      </c>
      <c r="K821" s="122">
        <f t="shared" si="120"/>
        <v>41.007251132876782</v>
      </c>
      <c r="L821" s="125">
        <f t="shared" si="116"/>
        <v>41.007251132876782</v>
      </c>
      <c r="M821" s="126" t="str">
        <f t="shared" si="118"/>
        <v/>
      </c>
    </row>
    <row r="822" spans="1:13" x14ac:dyDescent="0.25">
      <c r="A822" s="100" t="str">
        <f t="shared" si="119"/>
        <v>GENERAL SERVICE 50 TO 999 KW SERVICE CLASSIFICATION</v>
      </c>
      <c r="B822" s="130" t="s">
        <v>157</v>
      </c>
      <c r="C822" s="117">
        <f>B43</f>
        <v>14</v>
      </c>
      <c r="D822" s="131" t="s">
        <v>158</v>
      </c>
      <c r="E822" s="132"/>
      <c r="F822" s="133"/>
      <c r="G822" s="134"/>
      <c r="H822" s="135">
        <f>SUM(H816:H821)</f>
        <v>318.31</v>
      </c>
      <c r="I822" s="136"/>
      <c r="J822" s="137"/>
      <c r="K822" s="135">
        <f>SUM(K816:K821)</f>
        <v>374.69939911917231</v>
      </c>
      <c r="L822" s="138">
        <f t="shared" si="116"/>
        <v>56.38939911917231</v>
      </c>
      <c r="M822" s="139">
        <f>IF((H822)=0,"",(L822/H822))</f>
        <v>0.17715245866976315</v>
      </c>
    </row>
    <row r="823" spans="1:13" x14ac:dyDescent="0.25">
      <c r="A823" s="100" t="str">
        <f t="shared" si="119"/>
        <v>GENERAL SERVICE 50 TO 999 KW SERVICE CLASSIFICATION</v>
      </c>
      <c r="C823" s="117"/>
      <c r="D823" s="140" t="s">
        <v>159</v>
      </c>
      <c r="E823" s="119"/>
      <c r="F823" s="127">
        <f>IF((E808*12&gt;=150000), 0, IF(E807="RPP",(F839*0.65+F840*0.17+F841*0.18),IF(E807="Non-RPP (Retailer)",F842,F843)))</f>
        <v>0</v>
      </c>
      <c r="G823" s="141">
        <f>IF(F823=0, 0, $E808*E810-E808)</f>
        <v>0</v>
      </c>
      <c r="H823" s="122">
        <f>G823*F823</f>
        <v>0</v>
      </c>
      <c r="I823" s="128">
        <v>0</v>
      </c>
      <c r="J823" s="141">
        <f>IF(I823=0, 0, E808*E811-E808)</f>
        <v>0</v>
      </c>
      <c r="K823" s="122">
        <f>J823*I823</f>
        <v>0</v>
      </c>
      <c r="L823" s="125">
        <f>K823-H823</f>
        <v>0</v>
      </c>
      <c r="M823" s="126" t="str">
        <f>IF(ISERROR(L823/H823), "", L823/H823)</f>
        <v/>
      </c>
    </row>
    <row r="824" spans="1:13" ht="25.5" x14ac:dyDescent="0.25">
      <c r="A824" s="100" t="str">
        <f t="shared" si="119"/>
        <v>GENERAL SERVICE 50 TO 999 KW SERVICE CLASSIFICATION</v>
      </c>
      <c r="C824" s="117"/>
      <c r="D824" s="140" t="s">
        <v>160</v>
      </c>
      <c r="E824" s="119"/>
      <c r="F824" s="127">
        <v>-0.70650000000000002</v>
      </c>
      <c r="G824" s="142">
        <f>IF($E809&gt;0, $E809, $E808)</f>
        <v>60</v>
      </c>
      <c r="H824" s="122">
        <f t="shared" si="117"/>
        <v>-42.39</v>
      </c>
      <c r="I824" s="128">
        <v>-0.70650000000000002</v>
      </c>
      <c r="J824" s="142">
        <f>IF($E809&gt;0, $E809, $E808)</f>
        <v>60</v>
      </c>
      <c r="K824" s="122">
        <f t="shared" si="120"/>
        <v>-42.39</v>
      </c>
      <c r="L824" s="125">
        <f t="shared" si="116"/>
        <v>0</v>
      </c>
      <c r="M824" s="126">
        <f t="shared" si="118"/>
        <v>0</v>
      </c>
    </row>
    <row r="825" spans="1:13" x14ac:dyDescent="0.25">
      <c r="A825" s="100" t="str">
        <f t="shared" si="119"/>
        <v>GENERAL SERVICE 50 TO 999 KW SERVICE CLASSIFICATION</v>
      </c>
      <c r="C825" s="117"/>
      <c r="D825" s="140" t="s">
        <v>161</v>
      </c>
      <c r="E825" s="119"/>
      <c r="F825" s="127">
        <v>-2.76E-2</v>
      </c>
      <c r="G825" s="142">
        <f>IF($E809&gt;0, $E809, $E808)</f>
        <v>60</v>
      </c>
      <c r="H825" s="122">
        <f>G825*F825</f>
        <v>-1.6559999999999999</v>
      </c>
      <c r="I825" s="128">
        <v>-2.76E-2</v>
      </c>
      <c r="J825" s="142">
        <f>IF($E809&gt;0, $E809, $E808)</f>
        <v>60</v>
      </c>
      <c r="K825" s="122">
        <f>J825*I825</f>
        <v>-1.6559999999999999</v>
      </c>
      <c r="L825" s="125">
        <f t="shared" si="116"/>
        <v>0</v>
      </c>
      <c r="M825" s="126">
        <f t="shared" si="118"/>
        <v>0</v>
      </c>
    </row>
    <row r="826" spans="1:13" x14ac:dyDescent="0.25">
      <c r="A826" s="100" t="str">
        <f t="shared" si="119"/>
        <v>GENERAL SERVICE 50 TO 999 KW SERVICE CLASSIFICATION</v>
      </c>
      <c r="C826" s="117"/>
      <c r="D826" s="140" t="s">
        <v>162</v>
      </c>
      <c r="E826" s="119"/>
      <c r="F826" s="127">
        <v>-1E-3</v>
      </c>
      <c r="G826" s="142">
        <f>E808</f>
        <v>20000</v>
      </c>
      <c r="H826" s="122">
        <f>G826*F826</f>
        <v>-20</v>
      </c>
      <c r="I826" s="128">
        <v>-1E-3</v>
      </c>
      <c r="J826" s="142">
        <f>E808</f>
        <v>20000</v>
      </c>
      <c r="K826" s="122">
        <f t="shared" si="120"/>
        <v>-20</v>
      </c>
      <c r="L826" s="125">
        <f t="shared" si="116"/>
        <v>0</v>
      </c>
      <c r="M826" s="126">
        <f t="shared" si="118"/>
        <v>0</v>
      </c>
    </row>
    <row r="827" spans="1:13" x14ac:dyDescent="0.25">
      <c r="A827" s="100" t="str">
        <f t="shared" si="119"/>
        <v>GENERAL SERVICE 50 TO 999 KW SERVICE CLASSIFICATION</v>
      </c>
      <c r="C827" s="117"/>
      <c r="D827" s="143" t="s">
        <v>163</v>
      </c>
      <c r="E827" s="119"/>
      <c r="F827" s="127">
        <v>1.0483</v>
      </c>
      <c r="G827" s="142">
        <f>IF($E809&gt;0, $E809, $E808)</f>
        <v>60</v>
      </c>
      <c r="H827" s="122">
        <f t="shared" si="117"/>
        <v>62.898000000000003</v>
      </c>
      <c r="I827" s="128">
        <v>1.0483</v>
      </c>
      <c r="J827" s="142">
        <f>IF($E809&gt;0, $E809, $E808)</f>
        <v>60</v>
      </c>
      <c r="K827" s="122">
        <f t="shared" si="120"/>
        <v>62.898000000000003</v>
      </c>
      <c r="L827" s="125">
        <f t="shared" si="116"/>
        <v>0</v>
      </c>
      <c r="M827" s="126">
        <f t="shared" si="118"/>
        <v>0</v>
      </c>
    </row>
    <row r="828" spans="1:13" ht="25.5" x14ac:dyDescent="0.25">
      <c r="A828" s="100" t="str">
        <f t="shared" si="119"/>
        <v>GENERAL SERVICE 50 TO 999 KW SERVICE CLASSIFICATION</v>
      </c>
      <c r="C828" s="117"/>
      <c r="D828" s="144" t="s">
        <v>164</v>
      </c>
      <c r="E828" s="119"/>
      <c r="F828" s="145">
        <f>IF(OR(ISNUMBER(SEARCH("RESIDENTIAL", E806))=TRUE, ISNUMBER(SEARCH("GENERAL SERVICE LESS THAN 50", E806))=TRUE), SME, 0)</f>
        <v>0</v>
      </c>
      <c r="G828" s="121">
        <v>1</v>
      </c>
      <c r="H828" s="122">
        <f>G828*F828</f>
        <v>0</v>
      </c>
      <c r="I828" s="146">
        <v>0</v>
      </c>
      <c r="J828" s="121">
        <v>1</v>
      </c>
      <c r="K828" s="122">
        <f>J828*I828</f>
        <v>0</v>
      </c>
      <c r="L828" s="125">
        <f t="shared" si="116"/>
        <v>0</v>
      </c>
      <c r="M828" s="126" t="str">
        <f>IF(ISERROR(L828/H828), "", L828/H828)</f>
        <v/>
      </c>
    </row>
    <row r="829" spans="1:13" x14ac:dyDescent="0.25">
      <c r="A829" s="100" t="str">
        <f t="shared" si="119"/>
        <v>GENERAL SERVICE 50 TO 999 KW SERVICE CLASSIFICATION</v>
      </c>
      <c r="C829" s="117"/>
      <c r="D829" s="143" t="s">
        <v>165</v>
      </c>
      <c r="E829" s="119"/>
      <c r="F829" s="120">
        <v>0</v>
      </c>
      <c r="G829" s="121">
        <v>1</v>
      </c>
      <c r="H829" s="122">
        <f t="shared" si="117"/>
        <v>0</v>
      </c>
      <c r="I829" s="123">
        <v>0</v>
      </c>
      <c r="J829" s="121">
        <v>1</v>
      </c>
      <c r="K829" s="122">
        <f>J829*I829</f>
        <v>0</v>
      </c>
      <c r="L829" s="125">
        <f>K829-H829</f>
        <v>0</v>
      </c>
      <c r="M829" s="126" t="str">
        <f>IF(ISERROR(L829/H829), "", L829/H829)</f>
        <v/>
      </c>
    </row>
    <row r="830" spans="1:13" x14ac:dyDescent="0.25">
      <c r="A830" s="100" t="str">
        <f t="shared" si="119"/>
        <v>GENERAL SERVICE 50 TO 999 KW SERVICE CLASSIFICATION</v>
      </c>
      <c r="C830" s="117"/>
      <c r="D830" s="143" t="s">
        <v>166</v>
      </c>
      <c r="E830" s="119"/>
      <c r="F830" s="127"/>
      <c r="G830" s="142">
        <f>IF($E809&gt;0, $E809, $E808)</f>
        <v>60</v>
      </c>
      <c r="H830" s="122">
        <f>G830*F830</f>
        <v>0</v>
      </c>
      <c r="I830" s="128"/>
      <c r="J830" s="142">
        <f>IF($E809&gt;0, $E809, $E808)</f>
        <v>60</v>
      </c>
      <c r="K830" s="122">
        <f>J830*I830</f>
        <v>0</v>
      </c>
      <c r="L830" s="125">
        <f t="shared" si="116"/>
        <v>0</v>
      </c>
      <c r="M830" s="126" t="str">
        <f>IF(ISERROR(L830/H830), "", L830/H830)</f>
        <v/>
      </c>
    </row>
    <row r="831" spans="1:13" ht="25.5" x14ac:dyDescent="0.25">
      <c r="A831" s="100" t="str">
        <f t="shared" si="119"/>
        <v>GENERAL SERVICE 50 TO 999 KW SERVICE CLASSIFICATION</v>
      </c>
      <c r="B831" s="105" t="s">
        <v>167</v>
      </c>
      <c r="C831" s="117">
        <f>B43</f>
        <v>14</v>
      </c>
      <c r="D831" s="147" t="s">
        <v>168</v>
      </c>
      <c r="E831" s="148"/>
      <c r="F831" s="149"/>
      <c r="G831" s="150"/>
      <c r="H831" s="151">
        <f>SUM(H822:H830)</f>
        <v>317.16200000000003</v>
      </c>
      <c r="I831" s="152"/>
      <c r="J831" s="153"/>
      <c r="K831" s="151">
        <f>SUM(K822:K830)</f>
        <v>373.55139911917234</v>
      </c>
      <c r="L831" s="138">
        <f t="shared" si="116"/>
        <v>56.38939911917231</v>
      </c>
      <c r="M831" s="139">
        <f>IF((H831)=0,"",(L831/H831))</f>
        <v>0.17779367994643844</v>
      </c>
    </row>
    <row r="832" spans="1:13" x14ac:dyDescent="0.25">
      <c r="A832" s="100" t="str">
        <f t="shared" si="119"/>
        <v>GENERAL SERVICE 50 TO 999 KW SERVICE CLASSIFICATION</v>
      </c>
      <c r="C832" s="117"/>
      <c r="D832" s="154" t="s">
        <v>169</v>
      </c>
      <c r="E832" s="119"/>
      <c r="F832" s="127">
        <v>2.6217000000000001</v>
      </c>
      <c r="G832" s="141">
        <f>IF($E809&gt;0, $E809, $E808*$E810)</f>
        <v>60</v>
      </c>
      <c r="H832" s="122">
        <f>G832*F832</f>
        <v>157.30200000000002</v>
      </c>
      <c r="I832" s="128">
        <v>2.6217000000000001</v>
      </c>
      <c r="J832" s="141">
        <f>IF($E809&gt;0, $E809, $E808*$E811)</f>
        <v>60</v>
      </c>
      <c r="K832" s="122">
        <f>J832*I832</f>
        <v>157.30200000000002</v>
      </c>
      <c r="L832" s="125">
        <f t="shared" si="116"/>
        <v>0</v>
      </c>
      <c r="M832" s="126">
        <f>IF(ISERROR(L832/H832), "", L832/H832)</f>
        <v>0</v>
      </c>
    </row>
    <row r="833" spans="1:13" ht="25.5" x14ac:dyDescent="0.25">
      <c r="A833" s="100" t="str">
        <f t="shared" si="119"/>
        <v>GENERAL SERVICE 50 TO 999 KW SERVICE CLASSIFICATION</v>
      </c>
      <c r="C833" s="117"/>
      <c r="D833" s="155" t="s">
        <v>170</v>
      </c>
      <c r="E833" s="119"/>
      <c r="F833" s="127">
        <v>2.2145999999999999</v>
      </c>
      <c r="G833" s="141">
        <f>IF($E809&gt;0, $E809, $E808*$E810)</f>
        <v>60</v>
      </c>
      <c r="H833" s="122">
        <f>G833*F833</f>
        <v>132.876</v>
      </c>
      <c r="I833" s="128">
        <v>2.2145999999999999</v>
      </c>
      <c r="J833" s="141">
        <f>IF($E809&gt;0, $E809, $E808*$E811)</f>
        <v>60</v>
      </c>
      <c r="K833" s="122">
        <f>J833*I833</f>
        <v>132.876</v>
      </c>
      <c r="L833" s="125">
        <f t="shared" si="116"/>
        <v>0</v>
      </c>
      <c r="M833" s="126">
        <f>IF(ISERROR(L833/H833), "", L833/H833)</f>
        <v>0</v>
      </c>
    </row>
    <row r="834" spans="1:13" ht="25.5" x14ac:dyDescent="0.25">
      <c r="A834" s="100" t="str">
        <f t="shared" si="119"/>
        <v>GENERAL SERVICE 50 TO 999 KW SERVICE CLASSIFICATION</v>
      </c>
      <c r="B834" s="105" t="s">
        <v>171</v>
      </c>
      <c r="C834" s="117">
        <f>B43</f>
        <v>14</v>
      </c>
      <c r="D834" s="147" t="s">
        <v>172</v>
      </c>
      <c r="E834" s="132"/>
      <c r="F834" s="149"/>
      <c r="G834" s="150"/>
      <c r="H834" s="151">
        <f>SUM(H831:H833)</f>
        <v>607.34</v>
      </c>
      <c r="I834" s="152"/>
      <c r="J834" s="137"/>
      <c r="K834" s="151">
        <f>SUM(K831:K833)</f>
        <v>663.72939911917229</v>
      </c>
      <c r="L834" s="138">
        <f t="shared" si="116"/>
        <v>56.389399119172253</v>
      </c>
      <c r="M834" s="139">
        <f>IF((H834)=0,"",(L834/H834))</f>
        <v>9.2846509564942614E-2</v>
      </c>
    </row>
    <row r="835" spans="1:13" ht="25.5" x14ac:dyDescent="0.25">
      <c r="A835" s="100" t="str">
        <f t="shared" si="119"/>
        <v>GENERAL SERVICE 50 TO 999 KW SERVICE CLASSIFICATION</v>
      </c>
      <c r="C835" s="117"/>
      <c r="D835" s="156" t="s">
        <v>173</v>
      </c>
      <c r="E835" s="119"/>
      <c r="F835" s="127">
        <v>3.6000000000000003E-3</v>
      </c>
      <c r="G835" s="141">
        <f>E808*E810</f>
        <v>21120</v>
      </c>
      <c r="H835" s="157">
        <f t="shared" ref="H835:H841" si="121">G835*F835</f>
        <v>76.032000000000011</v>
      </c>
      <c r="I835" s="128">
        <v>3.6000000000000003E-3</v>
      </c>
      <c r="J835" s="141">
        <f>E808*E811</f>
        <v>21120</v>
      </c>
      <c r="K835" s="157">
        <f t="shared" ref="K835:K841" si="122">J835*I835</f>
        <v>76.032000000000011</v>
      </c>
      <c r="L835" s="125">
        <f t="shared" si="116"/>
        <v>0</v>
      </c>
      <c r="M835" s="126">
        <f t="shared" ref="M835:M843" si="123">IF(ISERROR(L835/H835), "", L835/H835)</f>
        <v>0</v>
      </c>
    </row>
    <row r="836" spans="1:13" ht="25.5" x14ac:dyDescent="0.25">
      <c r="A836" s="100" t="str">
        <f t="shared" si="119"/>
        <v>GENERAL SERVICE 50 TO 999 KW SERVICE CLASSIFICATION</v>
      </c>
      <c r="C836" s="117"/>
      <c r="D836" s="156" t="s">
        <v>174</v>
      </c>
      <c r="E836" s="119"/>
      <c r="F836" s="127">
        <f>'[1]17. Regulatory Charges'!$D$16</f>
        <v>2.9999999999999997E-4</v>
      </c>
      <c r="G836" s="141">
        <f>E808*E810</f>
        <v>21120</v>
      </c>
      <c r="H836" s="157">
        <f t="shared" si="121"/>
        <v>6.3359999999999994</v>
      </c>
      <c r="I836" s="128">
        <v>2.9999999999999997E-4</v>
      </c>
      <c r="J836" s="141">
        <f>E808*E811</f>
        <v>21120</v>
      </c>
      <c r="K836" s="157">
        <f t="shared" si="122"/>
        <v>6.3359999999999994</v>
      </c>
      <c r="L836" s="125">
        <f t="shared" si="116"/>
        <v>0</v>
      </c>
      <c r="M836" s="126">
        <f t="shared" si="123"/>
        <v>0</v>
      </c>
    </row>
    <row r="837" spans="1:13" x14ac:dyDescent="0.25">
      <c r="A837" s="100" t="str">
        <f t="shared" si="119"/>
        <v>GENERAL SERVICE 50 TO 999 KW SERVICE CLASSIFICATION</v>
      </c>
      <c r="C837" s="117"/>
      <c r="D837" s="158" t="s">
        <v>175</v>
      </c>
      <c r="E837" s="119"/>
      <c r="F837" s="145">
        <v>0.25</v>
      </c>
      <c r="G837" s="121">
        <v>1</v>
      </c>
      <c r="H837" s="157">
        <f t="shared" si="121"/>
        <v>0.25</v>
      </c>
      <c r="I837" s="146">
        <v>0.25</v>
      </c>
      <c r="J837" s="124">
        <v>1</v>
      </c>
      <c r="K837" s="157">
        <f t="shared" si="122"/>
        <v>0.25</v>
      </c>
      <c r="L837" s="125">
        <f t="shared" si="116"/>
        <v>0</v>
      </c>
      <c r="M837" s="126">
        <f t="shared" si="123"/>
        <v>0</v>
      </c>
    </row>
    <row r="838" spans="1:13" ht="25.5" x14ac:dyDescent="0.25">
      <c r="A838" s="100" t="str">
        <f t="shared" si="119"/>
        <v>GENERAL SERVICE 50 TO 999 KW SERVICE CLASSIFICATION</v>
      </c>
      <c r="C838" s="117"/>
      <c r="D838" s="156" t="s">
        <v>176</v>
      </c>
      <c r="E838" s="119"/>
      <c r="F838" s="127"/>
      <c r="G838" s="141"/>
      <c r="H838" s="157"/>
      <c r="I838" s="128"/>
      <c r="J838" s="141"/>
      <c r="K838" s="157"/>
      <c r="L838" s="125"/>
      <c r="M838" s="126"/>
    </row>
    <row r="839" spans="1:13" hidden="1" x14ac:dyDescent="0.25">
      <c r="A839" s="100" t="str">
        <f t="shared" si="119"/>
        <v>GENERAL SERVICE 50 TO 999 KW SERVICE CLASSIFICATION</v>
      </c>
      <c r="B839" s="105" t="s">
        <v>117</v>
      </c>
      <c r="C839" s="117"/>
      <c r="D839" s="159" t="s">
        <v>177</v>
      </c>
      <c r="E839" s="119"/>
      <c r="F839" s="160">
        <f>OffPeak</f>
        <v>6.5000000000000002E-2</v>
      </c>
      <c r="G839" s="161">
        <f>IF(AND(E808*12&gt;=150000),0.65*E808*E810,0.65*E808)</f>
        <v>13728</v>
      </c>
      <c r="H839" s="157">
        <f t="shared" si="121"/>
        <v>892.32</v>
      </c>
      <c r="I839" s="162">
        <v>6.5000000000000002E-2</v>
      </c>
      <c r="J839" s="161">
        <f>IF(AND(E808*12&gt;=150000),0.65*E808*E811,0.65*E808)</f>
        <v>13728</v>
      </c>
      <c r="K839" s="157">
        <f t="shared" si="122"/>
        <v>892.32</v>
      </c>
      <c r="L839" s="125">
        <f>K839-H839</f>
        <v>0</v>
      </c>
      <c r="M839" s="126">
        <f t="shared" si="123"/>
        <v>0</v>
      </c>
    </row>
    <row r="840" spans="1:13" hidden="1" x14ac:dyDescent="0.25">
      <c r="A840" s="100" t="str">
        <f t="shared" si="119"/>
        <v>GENERAL SERVICE 50 TO 999 KW SERVICE CLASSIFICATION</v>
      </c>
      <c r="B840" s="105" t="s">
        <v>117</v>
      </c>
      <c r="C840" s="117"/>
      <c r="D840" s="159" t="s">
        <v>178</v>
      </c>
      <c r="E840" s="119"/>
      <c r="F840" s="160">
        <f>MidPeak</f>
        <v>9.4E-2</v>
      </c>
      <c r="G840" s="161">
        <f>IF(AND(E808*12&gt;=150000),0.17*E808*E810,0.17*E808)</f>
        <v>3590.4000000000005</v>
      </c>
      <c r="H840" s="157">
        <f t="shared" si="121"/>
        <v>337.49760000000003</v>
      </c>
      <c r="I840" s="162">
        <v>9.4E-2</v>
      </c>
      <c r="J840" s="161">
        <f>IF(AND(E808*12&gt;=150000),0.17*E808*E811,0.17*E808)</f>
        <v>3590.4000000000005</v>
      </c>
      <c r="K840" s="157">
        <f t="shared" si="122"/>
        <v>337.49760000000003</v>
      </c>
      <c r="L840" s="125">
        <f>K840-H840</f>
        <v>0</v>
      </c>
      <c r="M840" s="126">
        <f t="shared" si="123"/>
        <v>0</v>
      </c>
    </row>
    <row r="841" spans="1:13" hidden="1" x14ac:dyDescent="0.25">
      <c r="A841" s="100" t="str">
        <f t="shared" si="119"/>
        <v>GENERAL SERVICE 50 TO 999 KW SERVICE CLASSIFICATION</v>
      </c>
      <c r="B841" s="105" t="s">
        <v>117</v>
      </c>
      <c r="C841" s="117"/>
      <c r="D841" s="105" t="s">
        <v>179</v>
      </c>
      <c r="E841" s="119"/>
      <c r="F841" s="160">
        <f>OnPeak</f>
        <v>0.13200000000000001</v>
      </c>
      <c r="G841" s="161">
        <f>IF(AND(E808*12&gt;=150000),0.18*E808*E810,0.18*E808)</f>
        <v>3801.6000000000004</v>
      </c>
      <c r="H841" s="157">
        <f t="shared" si="121"/>
        <v>501.8112000000001</v>
      </c>
      <c r="I841" s="162">
        <v>0.13200000000000001</v>
      </c>
      <c r="J841" s="161">
        <f>IF(AND(E808*12&gt;=150000),0.18*E808*E811,0.18*E808)</f>
        <v>3801.6000000000004</v>
      </c>
      <c r="K841" s="157">
        <f t="shared" si="122"/>
        <v>501.8112000000001</v>
      </c>
      <c r="L841" s="125">
        <f>K841-H841</f>
        <v>0</v>
      </c>
      <c r="M841" s="126">
        <f t="shared" si="123"/>
        <v>0</v>
      </c>
    </row>
    <row r="842" spans="1:13" hidden="1" x14ac:dyDescent="0.25">
      <c r="A842" s="100" t="str">
        <f t="shared" si="119"/>
        <v>GENERAL SERVICE 50 TO 999 KW SERVICE CLASSIFICATION</v>
      </c>
      <c r="B842" s="100" t="s">
        <v>180</v>
      </c>
      <c r="C842" s="117"/>
      <c r="D842" s="159" t="s">
        <v>181</v>
      </c>
      <c r="E842" s="119"/>
      <c r="F842" s="163">
        <v>0.1101</v>
      </c>
      <c r="G842" s="161">
        <f>IF(AND(E808*12&gt;=150000),E808*E810,E808)</f>
        <v>21120</v>
      </c>
      <c r="H842" s="157">
        <f>G842*F842</f>
        <v>2325.3119999999999</v>
      </c>
      <c r="I842" s="164">
        <v>0.1101</v>
      </c>
      <c r="J842" s="161">
        <f>IF(AND(E808*12&gt;=150000),E808*E811,E808)</f>
        <v>21120</v>
      </c>
      <c r="K842" s="157">
        <f>J842*I842</f>
        <v>2325.3119999999999</v>
      </c>
      <c r="L842" s="125">
        <f>K842-H842</f>
        <v>0</v>
      </c>
      <c r="M842" s="126">
        <f t="shared" si="123"/>
        <v>0</v>
      </c>
    </row>
    <row r="843" spans="1:13" ht="15.75" thickBot="1" x14ac:dyDescent="0.3">
      <c r="A843" s="100" t="str">
        <f t="shared" si="119"/>
        <v>GENERAL SERVICE 50 TO 999 KW SERVICE CLASSIFICATION</v>
      </c>
      <c r="B843" s="100" t="s">
        <v>121</v>
      </c>
      <c r="C843" s="117"/>
      <c r="D843" s="159" t="s">
        <v>182</v>
      </c>
      <c r="E843" s="119"/>
      <c r="F843" s="163">
        <v>0.1101</v>
      </c>
      <c r="G843" s="161">
        <f>IF(AND(E808*12&gt;=150000),E808*E810,E808)</f>
        <v>21120</v>
      </c>
      <c r="H843" s="157">
        <f>G843*F843</f>
        <v>2325.3119999999999</v>
      </c>
      <c r="I843" s="164">
        <v>0.1101</v>
      </c>
      <c r="J843" s="161">
        <f>IF(AND(E808*12&gt;=150000),E808*E811,E808)</f>
        <v>21120</v>
      </c>
      <c r="K843" s="157">
        <f>J843*I843</f>
        <v>2325.3119999999999</v>
      </c>
      <c r="L843" s="125">
        <f>K843-H843</f>
        <v>0</v>
      </c>
      <c r="M843" s="126">
        <f t="shared" si="123"/>
        <v>0</v>
      </c>
    </row>
    <row r="844" spans="1:13" ht="15.75" thickBot="1" x14ac:dyDescent="0.3">
      <c r="A844" s="100" t="str">
        <f t="shared" si="119"/>
        <v>GENERAL SERVICE 50 TO 999 KW SERVICE CLASSIFICATION</v>
      </c>
      <c r="B844" s="105"/>
      <c r="C844" s="117"/>
      <c r="D844" s="165"/>
      <c r="E844" s="166"/>
      <c r="F844" s="167"/>
      <c r="G844" s="168"/>
      <c r="H844" s="169"/>
      <c r="I844" s="167"/>
      <c r="J844" s="170"/>
      <c r="K844" s="169"/>
      <c r="L844" s="171"/>
      <c r="M844" s="172"/>
    </row>
    <row r="845" spans="1:13" hidden="1" x14ac:dyDescent="0.25">
      <c r="A845" s="100" t="str">
        <f t="shared" si="119"/>
        <v>GENERAL SERVICE 50 TO 999 KW SERVICE CLASSIFICATION</v>
      </c>
      <c r="B845" s="105" t="s">
        <v>117</v>
      </c>
      <c r="C845" s="117"/>
      <c r="D845" s="173" t="s">
        <v>183</v>
      </c>
      <c r="E845" s="158"/>
      <c r="F845" s="174"/>
      <c r="G845" s="175"/>
      <c r="H845" s="176">
        <f>SUM(H835:H841,H834)</f>
        <v>2421.5868000000005</v>
      </c>
      <c r="I845" s="177"/>
      <c r="J845" s="177"/>
      <c r="K845" s="176">
        <f>SUM(K835:K841,K834)</f>
        <v>2477.9761991191726</v>
      </c>
      <c r="L845" s="178">
        <f>K845-H845</f>
        <v>56.38939911917214</v>
      </c>
      <c r="M845" s="179">
        <f>IF((H845)=0,"",(L845/H845))</f>
        <v>2.3286135817709334E-2</v>
      </c>
    </row>
    <row r="846" spans="1:13" hidden="1" x14ac:dyDescent="0.25">
      <c r="A846" s="100" t="str">
        <f t="shared" si="119"/>
        <v>GENERAL SERVICE 50 TO 999 KW SERVICE CLASSIFICATION</v>
      </c>
      <c r="B846" s="105" t="s">
        <v>117</v>
      </c>
      <c r="C846" s="117"/>
      <c r="D846" s="180" t="s">
        <v>184</v>
      </c>
      <c r="E846" s="158"/>
      <c r="F846" s="174">
        <v>0.13</v>
      </c>
      <c r="G846" s="181"/>
      <c r="H846" s="182">
        <f>H845*F846</f>
        <v>314.80628400000006</v>
      </c>
      <c r="I846" s="183">
        <v>0.13</v>
      </c>
      <c r="J846" s="121"/>
      <c r="K846" s="182">
        <f>K845*I846</f>
        <v>322.13690588549247</v>
      </c>
      <c r="L846" s="184">
        <f>K846-H846</f>
        <v>7.3306218854924055</v>
      </c>
      <c r="M846" s="185">
        <f>IF((H846)=0,"",(L846/H846))</f>
        <v>2.328613581770942E-2</v>
      </c>
    </row>
    <row r="847" spans="1:13" hidden="1" x14ac:dyDescent="0.25">
      <c r="A847" s="100" t="str">
        <f t="shared" si="119"/>
        <v>GENERAL SERVICE 50 TO 999 KW SERVICE CLASSIFICATION</v>
      </c>
      <c r="B847" s="105" t="s">
        <v>117</v>
      </c>
      <c r="C847" s="117"/>
      <c r="D847" s="180" t="s">
        <v>185</v>
      </c>
      <c r="E847" s="158"/>
      <c r="F847" s="174">
        <v>0.08</v>
      </c>
      <c r="G847" s="181"/>
      <c r="H847" s="182">
        <v>0</v>
      </c>
      <c r="I847" s="174">
        <v>0.08</v>
      </c>
      <c r="J847" s="121"/>
      <c r="K847" s="182">
        <v>0</v>
      </c>
      <c r="L847" s="184">
        <f>K847-H847</f>
        <v>0</v>
      </c>
      <c r="M847" s="185"/>
    </row>
    <row r="848" spans="1:13" ht="15.75" hidden="1" thickBot="1" x14ac:dyDescent="0.3">
      <c r="A848" s="100" t="str">
        <f t="shared" si="119"/>
        <v>GENERAL SERVICE 50 TO 999 KW SERVICE CLASSIFICATION</v>
      </c>
      <c r="B848" s="105" t="s">
        <v>186</v>
      </c>
      <c r="C848" s="117"/>
      <c r="D848" s="301" t="s">
        <v>187</v>
      </c>
      <c r="E848" s="301"/>
      <c r="F848" s="186"/>
      <c r="G848" s="187"/>
      <c r="H848" s="188">
        <f>H845+H846+H847</f>
        <v>2736.3930840000007</v>
      </c>
      <c r="I848" s="189"/>
      <c r="J848" s="189"/>
      <c r="K848" s="190">
        <f>K845+K846+K847</f>
        <v>2800.1131050046652</v>
      </c>
      <c r="L848" s="191">
        <f>K848-H848</f>
        <v>63.720021004664432</v>
      </c>
      <c r="M848" s="192">
        <f>IF((H848)=0,"",(L848/H848))</f>
        <v>2.3286135817709299E-2</v>
      </c>
    </row>
    <row r="849" spans="1:13" ht="15.75" hidden="1" thickBot="1" x14ac:dyDescent="0.3">
      <c r="A849" s="100" t="str">
        <f t="shared" si="119"/>
        <v>GENERAL SERVICE 50 TO 999 KW SERVICE CLASSIFICATION</v>
      </c>
      <c r="B849" s="100" t="s">
        <v>117</v>
      </c>
      <c r="C849" s="117"/>
      <c r="D849" s="165"/>
      <c r="E849" s="166"/>
      <c r="F849" s="167"/>
      <c r="G849" s="168"/>
      <c r="H849" s="169"/>
      <c r="I849" s="167"/>
      <c r="J849" s="170"/>
      <c r="K849" s="169"/>
      <c r="L849" s="171"/>
      <c r="M849" s="172"/>
    </row>
    <row r="850" spans="1:13" hidden="1" x14ac:dyDescent="0.25">
      <c r="A850" s="100" t="str">
        <f t="shared" si="119"/>
        <v>GENERAL SERVICE 50 TO 999 KW SERVICE CLASSIFICATION</v>
      </c>
      <c r="B850" s="100" t="s">
        <v>180</v>
      </c>
      <c r="C850" s="117"/>
      <c r="D850" s="173" t="s">
        <v>188</v>
      </c>
      <c r="E850" s="158"/>
      <c r="F850" s="174"/>
      <c r="G850" s="175"/>
      <c r="H850" s="176">
        <f>SUM(H842,H835:H838,H834)</f>
        <v>3015.27</v>
      </c>
      <c r="I850" s="177"/>
      <c r="J850" s="177"/>
      <c r="K850" s="176">
        <f>SUM(K842,K835:K838,K834)</f>
        <v>3071.6593991191721</v>
      </c>
      <c r="L850" s="178">
        <f>K850-H850</f>
        <v>56.38939911917214</v>
      </c>
      <c r="M850" s="179">
        <f>IF((H850)=0,"",(L850/H850))</f>
        <v>1.8701276873769893E-2</v>
      </c>
    </row>
    <row r="851" spans="1:13" hidden="1" x14ac:dyDescent="0.25">
      <c r="A851" s="100" t="str">
        <f t="shared" si="119"/>
        <v>GENERAL SERVICE 50 TO 999 KW SERVICE CLASSIFICATION</v>
      </c>
      <c r="B851" s="100" t="s">
        <v>180</v>
      </c>
      <c r="C851" s="117"/>
      <c r="D851" s="180" t="s">
        <v>184</v>
      </c>
      <c r="E851" s="158"/>
      <c r="F851" s="174">
        <v>0.13</v>
      </c>
      <c r="G851" s="175"/>
      <c r="H851" s="182">
        <f>H850*F851</f>
        <v>391.98509999999999</v>
      </c>
      <c r="I851" s="174">
        <v>0.13</v>
      </c>
      <c r="J851" s="183"/>
      <c r="K851" s="182">
        <f>K850*I851</f>
        <v>399.31572188549239</v>
      </c>
      <c r="L851" s="184">
        <f>K851-H851</f>
        <v>7.3306218854924055</v>
      </c>
      <c r="M851" s="185">
        <f>IF((H851)=0,"",(L851/H851))</f>
        <v>1.8701276873769962E-2</v>
      </c>
    </row>
    <row r="852" spans="1:13" hidden="1" x14ac:dyDescent="0.25">
      <c r="A852" s="100" t="str">
        <f t="shared" si="119"/>
        <v>GENERAL SERVICE 50 TO 999 KW SERVICE CLASSIFICATION</v>
      </c>
      <c r="B852" s="100" t="s">
        <v>180</v>
      </c>
      <c r="C852" s="117"/>
      <c r="D852" s="180" t="s">
        <v>185</v>
      </c>
      <c r="E852" s="158"/>
      <c r="F852" s="174">
        <v>0.08</v>
      </c>
      <c r="G852" s="175"/>
      <c r="H852" s="182">
        <v>0</v>
      </c>
      <c r="I852" s="174">
        <v>0.08</v>
      </c>
      <c r="J852" s="183"/>
      <c r="K852" s="182">
        <v>0</v>
      </c>
      <c r="L852" s="184"/>
      <c r="M852" s="185"/>
    </row>
    <row r="853" spans="1:13" ht="15.75" hidden="1" thickBot="1" x14ac:dyDescent="0.3">
      <c r="A853" s="100" t="str">
        <f t="shared" si="119"/>
        <v>GENERAL SERVICE 50 TO 999 KW SERVICE CLASSIFICATION</v>
      </c>
      <c r="B853" s="100" t="s">
        <v>189</v>
      </c>
      <c r="C853" s="117"/>
      <c r="D853" s="301" t="s">
        <v>188</v>
      </c>
      <c r="E853" s="301"/>
      <c r="F853" s="193"/>
      <c r="G853" s="194"/>
      <c r="H853" s="188">
        <f>SUM(H850,H851)</f>
        <v>3407.2550999999999</v>
      </c>
      <c r="I853" s="195"/>
      <c r="J853" s="195"/>
      <c r="K853" s="188">
        <f>SUM(K850,K851)</f>
        <v>3470.9751210046643</v>
      </c>
      <c r="L853" s="196">
        <f>K853-H853</f>
        <v>63.720021004664432</v>
      </c>
      <c r="M853" s="197">
        <f>IF((H853)=0,"",(L853/H853))</f>
        <v>1.8701276873769868E-2</v>
      </c>
    </row>
    <row r="854" spans="1:13" ht="15.75" hidden="1" thickBot="1" x14ac:dyDescent="0.3">
      <c r="A854" s="100" t="str">
        <f t="shared" si="119"/>
        <v>GENERAL SERVICE 50 TO 999 KW SERVICE CLASSIFICATION</v>
      </c>
      <c r="B854" s="100" t="s">
        <v>180</v>
      </c>
      <c r="C854" s="117"/>
      <c r="D854" s="165"/>
      <c r="E854" s="166"/>
      <c r="F854" s="198"/>
      <c r="G854" s="199"/>
      <c r="H854" s="200"/>
      <c r="I854" s="198"/>
      <c r="J854" s="168"/>
      <c r="K854" s="200"/>
      <c r="L854" s="201"/>
      <c r="M854" s="172"/>
    </row>
    <row r="855" spans="1:13" x14ac:dyDescent="0.25">
      <c r="A855" s="100" t="str">
        <f t="shared" si="119"/>
        <v>GENERAL SERVICE 50 TO 999 KW SERVICE CLASSIFICATION</v>
      </c>
      <c r="B855" s="100" t="s">
        <v>121</v>
      </c>
      <c r="C855" s="117"/>
      <c r="D855" s="173" t="s">
        <v>190</v>
      </c>
      <c r="E855" s="158"/>
      <c r="F855" s="174"/>
      <c r="G855" s="175"/>
      <c r="H855" s="176">
        <f>SUM(H843,H835:H838,H834)</f>
        <v>3015.27</v>
      </c>
      <c r="I855" s="177"/>
      <c r="J855" s="177"/>
      <c r="K855" s="176">
        <f>SUM(K843,K835:K838,K834)</f>
        <v>3071.6593991191721</v>
      </c>
      <c r="L855" s="178">
        <f>K855-H855</f>
        <v>56.38939911917214</v>
      </c>
      <c r="M855" s="179">
        <f>IF((H855)=0,"",(L855/H855))</f>
        <v>1.8701276873769893E-2</v>
      </c>
    </row>
    <row r="856" spans="1:13" x14ac:dyDescent="0.25">
      <c r="A856" s="100" t="str">
        <f t="shared" si="119"/>
        <v>GENERAL SERVICE 50 TO 999 KW SERVICE CLASSIFICATION</v>
      </c>
      <c r="B856" s="100" t="s">
        <v>121</v>
      </c>
      <c r="C856" s="117"/>
      <c r="D856" s="180" t="s">
        <v>184</v>
      </c>
      <c r="E856" s="158"/>
      <c r="F856" s="174">
        <v>0.13</v>
      </c>
      <c r="G856" s="175"/>
      <c r="H856" s="182">
        <f>H855*F856</f>
        <v>391.98509999999999</v>
      </c>
      <c r="I856" s="174">
        <v>0.13</v>
      </c>
      <c r="J856" s="183"/>
      <c r="K856" s="182">
        <f>K855*I856</f>
        <v>399.31572188549239</v>
      </c>
      <c r="L856" s="184">
        <f>K856-H856</f>
        <v>7.3306218854924055</v>
      </c>
      <c r="M856" s="185">
        <f>IF((H856)=0,"",(L856/H856))</f>
        <v>1.8701276873769962E-2</v>
      </c>
    </row>
    <row r="857" spans="1:13" x14ac:dyDescent="0.25">
      <c r="A857" s="100" t="str">
        <f t="shared" si="119"/>
        <v>GENERAL SERVICE 50 TO 999 KW SERVICE CLASSIFICATION</v>
      </c>
      <c r="B857" s="100" t="s">
        <v>121</v>
      </c>
      <c r="C857" s="117"/>
      <c r="D857" s="180" t="s">
        <v>185</v>
      </c>
      <c r="E857" s="158"/>
      <c r="F857" s="174">
        <v>0.08</v>
      </c>
      <c r="G857" s="175"/>
      <c r="H857" s="182">
        <v>0</v>
      </c>
      <c r="I857" s="174">
        <v>0.08</v>
      </c>
      <c r="J857" s="183"/>
      <c r="K857" s="182">
        <v>0</v>
      </c>
      <c r="L857" s="184"/>
      <c r="M857" s="185"/>
    </row>
    <row r="858" spans="1:13" ht="15.75" thickBot="1" x14ac:dyDescent="0.3">
      <c r="A858" s="100" t="str">
        <f t="shared" si="119"/>
        <v>GENERAL SERVICE 50 TO 999 KW SERVICE CLASSIFICATION</v>
      </c>
      <c r="B858" s="100" t="s">
        <v>191</v>
      </c>
      <c r="C858" s="117">
        <f>B43</f>
        <v>14</v>
      </c>
      <c r="D858" s="301" t="s">
        <v>190</v>
      </c>
      <c r="E858" s="301"/>
      <c r="F858" s="193"/>
      <c r="G858" s="194"/>
      <c r="H858" s="188">
        <f>SUM(H855,H856)</f>
        <v>3407.2550999999999</v>
      </c>
      <c r="I858" s="195"/>
      <c r="J858" s="195"/>
      <c r="K858" s="188">
        <f>SUM(K855,K856)</f>
        <v>3470.9751210046643</v>
      </c>
      <c r="L858" s="196">
        <f>K858-H858</f>
        <v>63.720021004664432</v>
      </c>
      <c r="M858" s="197">
        <f>IF((H858)=0,"",(L858/H858))</f>
        <v>1.8701276873769868E-2</v>
      </c>
    </row>
    <row r="859" spans="1:13" ht="15.75" thickBot="1" x14ac:dyDescent="0.3">
      <c r="A859" s="100" t="str">
        <f t="shared" si="119"/>
        <v>GENERAL SERVICE 50 TO 999 KW SERVICE CLASSIFICATION</v>
      </c>
      <c r="B859" s="100" t="s">
        <v>121</v>
      </c>
      <c r="C859" s="117"/>
      <c r="D859" s="165"/>
      <c r="E859" s="166"/>
      <c r="F859" s="202"/>
      <c r="G859" s="203"/>
      <c r="H859" s="204"/>
      <c r="I859" s="202"/>
      <c r="J859" s="205"/>
      <c r="K859" s="204"/>
      <c r="L859" s="206"/>
      <c r="M859" s="207"/>
    </row>
    <row r="862" spans="1:13" x14ac:dyDescent="0.25">
      <c r="C862" s="100"/>
      <c r="D862" s="101" t="s">
        <v>134</v>
      </c>
      <c r="E862" s="302" t="str">
        <f>D44</f>
        <v>GENERAL SERVICE 50 TO 999 KW SERVICE CLASSIFICATION</v>
      </c>
      <c r="F862" s="302"/>
      <c r="G862" s="302"/>
      <c r="H862" s="302"/>
      <c r="I862" s="302"/>
      <c r="J862" s="302"/>
      <c r="K862" s="100" t="str">
        <f>IF(N44="DEMAND - INTERVAL","RTSR - INTERVAL METERED","")</f>
        <v/>
      </c>
    </row>
    <row r="863" spans="1:13" x14ac:dyDescent="0.25">
      <c r="C863" s="100"/>
      <c r="D863" s="101" t="s">
        <v>135</v>
      </c>
      <c r="E863" s="303" t="str">
        <f>H44</f>
        <v>Non-RPP (Other)</v>
      </c>
      <c r="F863" s="303"/>
      <c r="G863" s="303"/>
      <c r="H863" s="102"/>
      <c r="I863" s="102"/>
    </row>
    <row r="864" spans="1:13" ht="15.75" x14ac:dyDescent="0.25">
      <c r="C864" s="100"/>
      <c r="D864" s="101" t="s">
        <v>136</v>
      </c>
      <c r="E864" s="103">
        <f>K44</f>
        <v>500000</v>
      </c>
      <c r="F864" s="104" t="s">
        <v>137</v>
      </c>
      <c r="G864" s="105"/>
      <c r="J864" s="106"/>
      <c r="K864" s="106"/>
      <c r="L864" s="106"/>
      <c r="M864" s="106"/>
    </row>
    <row r="865" spans="1:13" ht="15.75" x14ac:dyDescent="0.25">
      <c r="C865" s="100"/>
      <c r="D865" s="101" t="s">
        <v>138</v>
      </c>
      <c r="E865" s="103">
        <f>L44</f>
        <v>750</v>
      </c>
      <c r="F865" s="107" t="s">
        <v>139</v>
      </c>
      <c r="G865" s="108"/>
      <c r="H865" s="109"/>
      <c r="I865" s="109"/>
      <c r="J865" s="109"/>
    </row>
    <row r="866" spans="1:13" x14ac:dyDescent="0.25">
      <c r="C866" s="100"/>
      <c r="D866" s="101" t="s">
        <v>140</v>
      </c>
      <c r="E866" s="110">
        <f>I44</f>
        <v>1.056</v>
      </c>
    </row>
    <row r="867" spans="1:13" x14ac:dyDescent="0.25">
      <c r="C867" s="100"/>
      <c r="D867" s="101" t="s">
        <v>141</v>
      </c>
      <c r="E867" s="110">
        <f>J44</f>
        <v>1.056</v>
      </c>
    </row>
    <row r="868" spans="1:13" x14ac:dyDescent="0.25">
      <c r="C868" s="100"/>
      <c r="D868" s="105"/>
    </row>
    <row r="869" spans="1:13" x14ac:dyDescent="0.25">
      <c r="C869" s="100"/>
      <c r="D869" s="105"/>
      <c r="E869" s="111"/>
      <c r="F869" s="304" t="s">
        <v>142</v>
      </c>
      <c r="G869" s="305"/>
      <c r="H869" s="306"/>
      <c r="I869" s="304" t="s">
        <v>143</v>
      </c>
      <c r="J869" s="305"/>
      <c r="K869" s="306"/>
      <c r="L869" s="304" t="s">
        <v>144</v>
      </c>
      <c r="M869" s="306"/>
    </row>
    <row r="870" spans="1:13" x14ac:dyDescent="0.25">
      <c r="C870" s="100"/>
      <c r="D870" s="105"/>
      <c r="E870" s="295"/>
      <c r="F870" s="112" t="s">
        <v>145</v>
      </c>
      <c r="G870" s="112" t="s">
        <v>146</v>
      </c>
      <c r="H870" s="113" t="s">
        <v>147</v>
      </c>
      <c r="I870" s="112" t="s">
        <v>145</v>
      </c>
      <c r="J870" s="114" t="s">
        <v>146</v>
      </c>
      <c r="K870" s="113" t="s">
        <v>147</v>
      </c>
      <c r="L870" s="297" t="s">
        <v>148</v>
      </c>
      <c r="M870" s="299" t="s">
        <v>149</v>
      </c>
    </row>
    <row r="871" spans="1:13" x14ac:dyDescent="0.25">
      <c r="C871" s="100"/>
      <c r="D871" s="105"/>
      <c r="E871" s="296"/>
      <c r="F871" s="115" t="s">
        <v>150</v>
      </c>
      <c r="G871" s="115"/>
      <c r="H871" s="116" t="s">
        <v>150</v>
      </c>
      <c r="I871" s="115" t="s">
        <v>150</v>
      </c>
      <c r="J871" s="116"/>
      <c r="K871" s="116" t="s">
        <v>150</v>
      </c>
      <c r="L871" s="298"/>
      <c r="M871" s="300"/>
    </row>
    <row r="872" spans="1:13" x14ac:dyDescent="0.25">
      <c r="A872" s="100" t="str">
        <f>$E862</f>
        <v>GENERAL SERVICE 50 TO 999 KW SERVICE CLASSIFICATION</v>
      </c>
      <c r="C872" s="117"/>
      <c r="D872" s="118" t="s">
        <v>151</v>
      </c>
      <c r="E872" s="119"/>
      <c r="F872" s="120">
        <v>86.83</v>
      </c>
      <c r="G872" s="121">
        <v>1</v>
      </c>
      <c r="H872" s="122">
        <f>G872*F872</f>
        <v>86.83</v>
      </c>
      <c r="I872" s="123">
        <v>86.83</v>
      </c>
      <c r="J872" s="124">
        <f>G872</f>
        <v>1</v>
      </c>
      <c r="K872" s="122">
        <f>J872*I872</f>
        <v>86.83</v>
      </c>
      <c r="L872" s="125">
        <f t="shared" ref="L872:L893" si="124">K872-H872</f>
        <v>0</v>
      </c>
      <c r="M872" s="126">
        <f>IF(ISERROR(L872/H872), "", L872/H872)</f>
        <v>0</v>
      </c>
    </row>
    <row r="873" spans="1:13" x14ac:dyDescent="0.25">
      <c r="A873" s="100" t="str">
        <f>A872</f>
        <v>GENERAL SERVICE 50 TO 999 KW SERVICE CLASSIFICATION</v>
      </c>
      <c r="C873" s="117"/>
      <c r="D873" s="118" t="s">
        <v>152</v>
      </c>
      <c r="E873" s="119"/>
      <c r="F873" s="127">
        <v>3.8580000000000001</v>
      </c>
      <c r="G873" s="121">
        <f>IF($E865&gt;0, $E865, $E864)</f>
        <v>750</v>
      </c>
      <c r="H873" s="122">
        <f t="shared" ref="H873:H885" si="125">G873*F873</f>
        <v>2893.5</v>
      </c>
      <c r="I873" s="128">
        <v>3.8580000000000001</v>
      </c>
      <c r="J873" s="124">
        <f>IF($E865&gt;0, $E865, $E864)</f>
        <v>750</v>
      </c>
      <c r="K873" s="122">
        <f>J873*I873</f>
        <v>2893.5</v>
      </c>
      <c r="L873" s="125">
        <f t="shared" si="124"/>
        <v>0</v>
      </c>
      <c r="M873" s="126">
        <f t="shared" ref="M873:M883" si="126">IF(ISERROR(L873/H873), "", L873/H873)</f>
        <v>0</v>
      </c>
    </row>
    <row r="874" spans="1:13" x14ac:dyDescent="0.25">
      <c r="A874" s="100" t="str">
        <f t="shared" ref="A874:A915" si="127">A873</f>
        <v>GENERAL SERVICE 50 TO 999 KW SERVICE CLASSIFICATION</v>
      </c>
      <c r="C874" s="117"/>
      <c r="D874" s="118" t="s">
        <v>153</v>
      </c>
      <c r="E874" s="119"/>
      <c r="F874" s="127"/>
      <c r="G874" s="121">
        <f>IF($E865&gt;0, $E865, $E864)</f>
        <v>750</v>
      </c>
      <c r="H874" s="122">
        <v>0</v>
      </c>
      <c r="I874" s="128"/>
      <c r="J874" s="124">
        <f>IF($E865&gt;0, $E865, $E864)</f>
        <v>750</v>
      </c>
      <c r="K874" s="122">
        <v>0</v>
      </c>
      <c r="L874" s="125"/>
      <c r="M874" s="126"/>
    </row>
    <row r="875" spans="1:13" x14ac:dyDescent="0.25">
      <c r="A875" s="100" t="str">
        <f t="shared" si="127"/>
        <v>GENERAL SERVICE 50 TO 999 KW SERVICE CLASSIFICATION</v>
      </c>
      <c r="C875" s="117"/>
      <c r="D875" s="118" t="s">
        <v>154</v>
      </c>
      <c r="E875" s="119"/>
      <c r="F875" s="127"/>
      <c r="G875" s="121">
        <f>IF($E865&gt;0, $E865, $E864)</f>
        <v>750</v>
      </c>
      <c r="H875" s="122">
        <v>0</v>
      </c>
      <c r="I875" s="128"/>
      <c r="J875" s="121">
        <f>IF($E865&gt;0, $E865, $E864)</f>
        <v>750</v>
      </c>
      <c r="K875" s="122">
        <v>0</v>
      </c>
      <c r="L875" s="125">
        <f>K875-H875</f>
        <v>0</v>
      </c>
      <c r="M875" s="126" t="str">
        <f>IF(ISERROR(L875/H875), "", L875/H875)</f>
        <v/>
      </c>
    </row>
    <row r="876" spans="1:13" x14ac:dyDescent="0.25">
      <c r="A876" s="100" t="str">
        <f t="shared" si="127"/>
        <v>GENERAL SERVICE 50 TO 999 KW SERVICE CLASSIFICATION</v>
      </c>
      <c r="C876" s="117"/>
      <c r="D876" s="129" t="s">
        <v>155</v>
      </c>
      <c r="E876" s="119"/>
      <c r="F876" s="120">
        <v>0</v>
      </c>
      <c r="G876" s="121">
        <v>1</v>
      </c>
      <c r="H876" s="122">
        <f t="shared" si="125"/>
        <v>0</v>
      </c>
      <c r="I876" s="226">
        <f>'Rate Riders'!O10</f>
        <v>15.382147986295536</v>
      </c>
      <c r="J876" s="124">
        <f>G876</f>
        <v>1</v>
      </c>
      <c r="K876" s="122">
        <f t="shared" ref="K876:K883" si="128">J876*I876</f>
        <v>15.382147986295536</v>
      </c>
      <c r="L876" s="125">
        <f t="shared" si="124"/>
        <v>15.382147986295536</v>
      </c>
      <c r="M876" s="126" t="str">
        <f t="shared" si="126"/>
        <v/>
      </c>
    </row>
    <row r="877" spans="1:13" x14ac:dyDescent="0.25">
      <c r="A877" s="100" t="str">
        <f t="shared" si="127"/>
        <v>GENERAL SERVICE 50 TO 999 KW SERVICE CLASSIFICATION</v>
      </c>
      <c r="C877" s="117"/>
      <c r="D877" s="118" t="s">
        <v>156</v>
      </c>
      <c r="E877" s="119"/>
      <c r="F877" s="127">
        <v>0</v>
      </c>
      <c r="G877" s="121">
        <f>IF($E865&gt;0, $E865, $E864)</f>
        <v>750</v>
      </c>
      <c r="H877" s="122">
        <f t="shared" si="125"/>
        <v>0</v>
      </c>
      <c r="I877" s="227">
        <f>'Rate Riders'!Q10</f>
        <v>0.68345418554794635</v>
      </c>
      <c r="J877" s="124">
        <f>IF($E865&gt;0, $E865, $E864)</f>
        <v>750</v>
      </c>
      <c r="K877" s="122">
        <f t="shared" si="128"/>
        <v>512.59063916095977</v>
      </c>
      <c r="L877" s="125">
        <f t="shared" si="124"/>
        <v>512.59063916095977</v>
      </c>
      <c r="M877" s="126" t="str">
        <f t="shared" si="126"/>
        <v/>
      </c>
    </row>
    <row r="878" spans="1:13" x14ac:dyDescent="0.25">
      <c r="A878" s="100" t="str">
        <f t="shared" si="127"/>
        <v>GENERAL SERVICE 50 TO 999 KW SERVICE CLASSIFICATION</v>
      </c>
      <c r="B878" s="130" t="s">
        <v>157</v>
      </c>
      <c r="C878" s="117">
        <f>B44</f>
        <v>15</v>
      </c>
      <c r="D878" s="131" t="s">
        <v>158</v>
      </c>
      <c r="E878" s="132"/>
      <c r="F878" s="133"/>
      <c r="G878" s="134"/>
      <c r="H878" s="135">
        <f>SUM(H872:H877)</f>
        <v>2980.33</v>
      </c>
      <c r="I878" s="136"/>
      <c r="J878" s="137"/>
      <c r="K878" s="135">
        <f>SUM(K872:K877)</f>
        <v>3508.302787147255</v>
      </c>
      <c r="L878" s="138">
        <f t="shared" si="124"/>
        <v>527.97278714725508</v>
      </c>
      <c r="M878" s="139">
        <f>IF((H878)=0,"",(L878/H878))</f>
        <v>0.17715245866976312</v>
      </c>
    </row>
    <row r="879" spans="1:13" x14ac:dyDescent="0.25">
      <c r="A879" s="100" t="str">
        <f t="shared" si="127"/>
        <v>GENERAL SERVICE 50 TO 999 KW SERVICE CLASSIFICATION</v>
      </c>
      <c r="C879" s="117"/>
      <c r="D879" s="140" t="s">
        <v>159</v>
      </c>
      <c r="E879" s="119"/>
      <c r="F879" s="127">
        <f>IF((E864*12&gt;=150000), 0, IF(E863="RPP",(F895*0.65+F896*0.17+F897*0.18),IF(E863="Non-RPP (Retailer)",F898,F899)))</f>
        <v>0</v>
      </c>
      <c r="G879" s="141">
        <f>IF(F879=0, 0, $E864*E866-E864)</f>
        <v>0</v>
      </c>
      <c r="H879" s="122">
        <f>G879*F879</f>
        <v>0</v>
      </c>
      <c r="I879" s="128">
        <v>0</v>
      </c>
      <c r="J879" s="141">
        <f>IF(I879=0, 0, E864*E867-E864)</f>
        <v>0</v>
      </c>
      <c r="K879" s="122">
        <f>J879*I879</f>
        <v>0</v>
      </c>
      <c r="L879" s="125">
        <f>K879-H879</f>
        <v>0</v>
      </c>
      <c r="M879" s="126" t="str">
        <f>IF(ISERROR(L879/H879), "", L879/H879)</f>
        <v/>
      </c>
    </row>
    <row r="880" spans="1:13" ht="25.5" x14ac:dyDescent="0.25">
      <c r="A880" s="100" t="str">
        <f t="shared" si="127"/>
        <v>GENERAL SERVICE 50 TO 999 KW SERVICE CLASSIFICATION</v>
      </c>
      <c r="C880" s="117"/>
      <c r="D880" s="140" t="s">
        <v>160</v>
      </c>
      <c r="E880" s="119"/>
      <c r="F880" s="127">
        <v>-0.70650000000000002</v>
      </c>
      <c r="G880" s="142">
        <f>IF($E865&gt;0, $E865, $E864)</f>
        <v>750</v>
      </c>
      <c r="H880" s="122">
        <f t="shared" si="125"/>
        <v>-529.875</v>
      </c>
      <c r="I880" s="128">
        <v>-0.70650000000000002</v>
      </c>
      <c r="J880" s="142">
        <f>IF($E865&gt;0, $E865, $E864)</f>
        <v>750</v>
      </c>
      <c r="K880" s="122">
        <f t="shared" si="128"/>
        <v>-529.875</v>
      </c>
      <c r="L880" s="125">
        <f t="shared" si="124"/>
        <v>0</v>
      </c>
      <c r="M880" s="126">
        <f t="shared" si="126"/>
        <v>0</v>
      </c>
    </row>
    <row r="881" spans="1:13" x14ac:dyDescent="0.25">
      <c r="A881" s="100" t="str">
        <f t="shared" si="127"/>
        <v>GENERAL SERVICE 50 TO 999 KW SERVICE CLASSIFICATION</v>
      </c>
      <c r="C881" s="117"/>
      <c r="D881" s="140" t="s">
        <v>161</v>
      </c>
      <c r="E881" s="119"/>
      <c r="F881" s="127">
        <v>-2.76E-2</v>
      </c>
      <c r="G881" s="142">
        <f>IF($E865&gt;0, $E865, $E864)</f>
        <v>750</v>
      </c>
      <c r="H881" s="122">
        <f>G881*F881</f>
        <v>-20.7</v>
      </c>
      <c r="I881" s="128">
        <v>-2.76E-2</v>
      </c>
      <c r="J881" s="142">
        <f>IF($E865&gt;0, $E865, $E864)</f>
        <v>750</v>
      </c>
      <c r="K881" s="122">
        <f>J881*I881</f>
        <v>-20.7</v>
      </c>
      <c r="L881" s="125">
        <f t="shared" si="124"/>
        <v>0</v>
      </c>
      <c r="M881" s="126">
        <f t="shared" si="126"/>
        <v>0</v>
      </c>
    </row>
    <row r="882" spans="1:13" x14ac:dyDescent="0.25">
      <c r="A882" s="100" t="str">
        <f t="shared" si="127"/>
        <v>GENERAL SERVICE 50 TO 999 KW SERVICE CLASSIFICATION</v>
      </c>
      <c r="C882" s="117"/>
      <c r="D882" s="140" t="s">
        <v>162</v>
      </c>
      <c r="E882" s="119"/>
      <c r="F882" s="127">
        <v>-1E-3</v>
      </c>
      <c r="G882" s="142">
        <f>E864</f>
        <v>500000</v>
      </c>
      <c r="H882" s="122">
        <f>G882*F882</f>
        <v>-500</v>
      </c>
      <c r="I882" s="128">
        <v>-1E-3</v>
      </c>
      <c r="J882" s="142">
        <f>E864</f>
        <v>500000</v>
      </c>
      <c r="K882" s="122">
        <f t="shared" si="128"/>
        <v>-500</v>
      </c>
      <c r="L882" s="125">
        <f t="shared" si="124"/>
        <v>0</v>
      </c>
      <c r="M882" s="126">
        <f t="shared" si="126"/>
        <v>0</v>
      </c>
    </row>
    <row r="883" spans="1:13" x14ac:dyDescent="0.25">
      <c r="A883" s="100" t="str">
        <f t="shared" si="127"/>
        <v>GENERAL SERVICE 50 TO 999 KW SERVICE CLASSIFICATION</v>
      </c>
      <c r="C883" s="117"/>
      <c r="D883" s="143" t="s">
        <v>163</v>
      </c>
      <c r="E883" s="119"/>
      <c r="F883" s="127">
        <v>1.0483</v>
      </c>
      <c r="G883" s="142">
        <f>IF($E865&gt;0, $E865, $E864)</f>
        <v>750</v>
      </c>
      <c r="H883" s="122">
        <f t="shared" si="125"/>
        <v>786.22500000000002</v>
      </c>
      <c r="I883" s="128">
        <v>1.0483</v>
      </c>
      <c r="J883" s="142">
        <f>IF($E865&gt;0, $E865, $E864)</f>
        <v>750</v>
      </c>
      <c r="K883" s="122">
        <f t="shared" si="128"/>
        <v>786.22500000000002</v>
      </c>
      <c r="L883" s="125">
        <f t="shared" si="124"/>
        <v>0</v>
      </c>
      <c r="M883" s="126">
        <f t="shared" si="126"/>
        <v>0</v>
      </c>
    </row>
    <row r="884" spans="1:13" ht="25.5" x14ac:dyDescent="0.25">
      <c r="A884" s="100" t="str">
        <f t="shared" si="127"/>
        <v>GENERAL SERVICE 50 TO 999 KW SERVICE CLASSIFICATION</v>
      </c>
      <c r="C884" s="117"/>
      <c r="D884" s="144" t="s">
        <v>164</v>
      </c>
      <c r="E884" s="119"/>
      <c r="F884" s="145">
        <f>IF(OR(ISNUMBER(SEARCH("RESIDENTIAL", E862))=TRUE, ISNUMBER(SEARCH("GENERAL SERVICE LESS THAN 50", E862))=TRUE), SME, 0)</f>
        <v>0</v>
      </c>
      <c r="G884" s="121">
        <v>1</v>
      </c>
      <c r="H884" s="122">
        <f>G884*F884</f>
        <v>0</v>
      </c>
      <c r="I884" s="146">
        <v>0</v>
      </c>
      <c r="J884" s="121">
        <v>1</v>
      </c>
      <c r="K884" s="122">
        <f>J884*I884</f>
        <v>0</v>
      </c>
      <c r="L884" s="125">
        <f t="shared" si="124"/>
        <v>0</v>
      </c>
      <c r="M884" s="126" t="str">
        <f>IF(ISERROR(L884/H884), "", L884/H884)</f>
        <v/>
      </c>
    </row>
    <row r="885" spans="1:13" x14ac:dyDescent="0.25">
      <c r="A885" s="100" t="str">
        <f t="shared" si="127"/>
        <v>GENERAL SERVICE 50 TO 999 KW SERVICE CLASSIFICATION</v>
      </c>
      <c r="C885" s="117"/>
      <c r="D885" s="143" t="s">
        <v>165</v>
      </c>
      <c r="E885" s="119"/>
      <c r="F885" s="120">
        <v>0</v>
      </c>
      <c r="G885" s="121">
        <v>1</v>
      </c>
      <c r="H885" s="122">
        <f t="shared" si="125"/>
        <v>0</v>
      </c>
      <c r="I885" s="123">
        <v>0</v>
      </c>
      <c r="J885" s="121">
        <v>1</v>
      </c>
      <c r="K885" s="122">
        <f>J885*I885</f>
        <v>0</v>
      </c>
      <c r="L885" s="125">
        <f>K885-H885</f>
        <v>0</v>
      </c>
      <c r="M885" s="126" t="str">
        <f>IF(ISERROR(L885/H885), "", L885/H885)</f>
        <v/>
      </c>
    </row>
    <row r="886" spans="1:13" x14ac:dyDescent="0.25">
      <c r="A886" s="100" t="str">
        <f t="shared" si="127"/>
        <v>GENERAL SERVICE 50 TO 999 KW SERVICE CLASSIFICATION</v>
      </c>
      <c r="C886" s="117"/>
      <c r="D886" s="143" t="s">
        <v>166</v>
      </c>
      <c r="E886" s="119"/>
      <c r="F886" s="127"/>
      <c r="G886" s="142">
        <f>IF($E865&gt;0, $E865, $E864)</f>
        <v>750</v>
      </c>
      <c r="H886" s="122">
        <f>G886*F886</f>
        <v>0</v>
      </c>
      <c r="I886" s="128"/>
      <c r="J886" s="142">
        <f>IF($E865&gt;0, $E865, $E864)</f>
        <v>750</v>
      </c>
      <c r="K886" s="122">
        <f>J886*I886</f>
        <v>0</v>
      </c>
      <c r="L886" s="125">
        <f t="shared" si="124"/>
        <v>0</v>
      </c>
      <c r="M886" s="126" t="str">
        <f>IF(ISERROR(L886/H886), "", L886/H886)</f>
        <v/>
      </c>
    </row>
    <row r="887" spans="1:13" ht="25.5" x14ac:dyDescent="0.25">
      <c r="A887" s="100" t="str">
        <f t="shared" si="127"/>
        <v>GENERAL SERVICE 50 TO 999 KW SERVICE CLASSIFICATION</v>
      </c>
      <c r="B887" s="105" t="s">
        <v>167</v>
      </c>
      <c r="C887" s="117">
        <f>B44</f>
        <v>15</v>
      </c>
      <c r="D887" s="147" t="s">
        <v>168</v>
      </c>
      <c r="E887" s="148"/>
      <c r="F887" s="149"/>
      <c r="G887" s="150"/>
      <c r="H887" s="151">
        <f>SUM(H878:H886)</f>
        <v>2715.98</v>
      </c>
      <c r="I887" s="152"/>
      <c r="J887" s="153"/>
      <c r="K887" s="151">
        <f>SUM(K878:K886)</f>
        <v>3243.9527871472551</v>
      </c>
      <c r="L887" s="138">
        <f t="shared" si="124"/>
        <v>527.97278714725508</v>
      </c>
      <c r="M887" s="139">
        <f>IF((H887)=0,"",(L887/H887))</f>
        <v>0.19439494662967144</v>
      </c>
    </row>
    <row r="888" spans="1:13" x14ac:dyDescent="0.25">
      <c r="A888" s="100" t="str">
        <f t="shared" si="127"/>
        <v>GENERAL SERVICE 50 TO 999 KW SERVICE CLASSIFICATION</v>
      </c>
      <c r="C888" s="117"/>
      <c r="D888" s="154" t="s">
        <v>169</v>
      </c>
      <c r="E888" s="119"/>
      <c r="F888" s="127">
        <v>2.6217000000000001</v>
      </c>
      <c r="G888" s="141">
        <f>IF($E865&gt;0, $E865, $E864*$E866)</f>
        <v>750</v>
      </c>
      <c r="H888" s="122">
        <f>G888*F888</f>
        <v>1966.2750000000001</v>
      </c>
      <c r="I888" s="128">
        <v>2.6217000000000001</v>
      </c>
      <c r="J888" s="141">
        <f>IF($E865&gt;0, $E865, $E864*$E867)</f>
        <v>750</v>
      </c>
      <c r="K888" s="122">
        <f>J888*I888</f>
        <v>1966.2750000000001</v>
      </c>
      <c r="L888" s="125">
        <f t="shared" si="124"/>
        <v>0</v>
      </c>
      <c r="M888" s="126">
        <f>IF(ISERROR(L888/H888), "", L888/H888)</f>
        <v>0</v>
      </c>
    </row>
    <row r="889" spans="1:13" ht="25.5" x14ac:dyDescent="0.25">
      <c r="A889" s="100" t="str">
        <f t="shared" si="127"/>
        <v>GENERAL SERVICE 50 TO 999 KW SERVICE CLASSIFICATION</v>
      </c>
      <c r="C889" s="117"/>
      <c r="D889" s="155" t="s">
        <v>170</v>
      </c>
      <c r="E889" s="119"/>
      <c r="F889" s="127">
        <v>2.2145999999999999</v>
      </c>
      <c r="G889" s="141">
        <f>IF($E865&gt;0, $E865, $E864*$E866)</f>
        <v>750</v>
      </c>
      <c r="H889" s="122">
        <f>G889*F889</f>
        <v>1660.9499999999998</v>
      </c>
      <c r="I889" s="128">
        <v>2.2145999999999999</v>
      </c>
      <c r="J889" s="141">
        <f>IF($E865&gt;0, $E865, $E864*$E867)</f>
        <v>750</v>
      </c>
      <c r="K889" s="122">
        <f>J889*I889</f>
        <v>1660.9499999999998</v>
      </c>
      <c r="L889" s="125">
        <f t="shared" si="124"/>
        <v>0</v>
      </c>
      <c r="M889" s="126">
        <f>IF(ISERROR(L889/H889), "", L889/H889)</f>
        <v>0</v>
      </c>
    </row>
    <row r="890" spans="1:13" ht="25.5" x14ac:dyDescent="0.25">
      <c r="A890" s="100" t="str">
        <f t="shared" si="127"/>
        <v>GENERAL SERVICE 50 TO 999 KW SERVICE CLASSIFICATION</v>
      </c>
      <c r="B890" s="105" t="s">
        <v>171</v>
      </c>
      <c r="C890" s="117">
        <f>B44</f>
        <v>15</v>
      </c>
      <c r="D890" s="147" t="s">
        <v>172</v>
      </c>
      <c r="E890" s="132"/>
      <c r="F890" s="149"/>
      <c r="G890" s="150"/>
      <c r="H890" s="151">
        <f>SUM(H887:H889)</f>
        <v>6343.2049999999999</v>
      </c>
      <c r="I890" s="152"/>
      <c r="J890" s="137"/>
      <c r="K890" s="151">
        <f>SUM(K887:K889)</f>
        <v>6871.177787147255</v>
      </c>
      <c r="L890" s="138">
        <f t="shared" si="124"/>
        <v>527.97278714725508</v>
      </c>
      <c r="M890" s="139">
        <f>IF((H890)=0,"",(L890/H890))</f>
        <v>8.3234388159811185E-2</v>
      </c>
    </row>
    <row r="891" spans="1:13" ht="25.5" x14ac:dyDescent="0.25">
      <c r="A891" s="100" t="str">
        <f t="shared" si="127"/>
        <v>GENERAL SERVICE 50 TO 999 KW SERVICE CLASSIFICATION</v>
      </c>
      <c r="C891" s="117"/>
      <c r="D891" s="156" t="s">
        <v>173</v>
      </c>
      <c r="E891" s="119"/>
      <c r="F891" s="127">
        <v>3.6000000000000003E-3</v>
      </c>
      <c r="G891" s="141">
        <f>E864*E866</f>
        <v>528000</v>
      </c>
      <c r="H891" s="157">
        <f t="shared" ref="H891:H897" si="129">G891*F891</f>
        <v>1900.8000000000002</v>
      </c>
      <c r="I891" s="128">
        <v>3.6000000000000003E-3</v>
      </c>
      <c r="J891" s="141">
        <f>E864*E867</f>
        <v>528000</v>
      </c>
      <c r="K891" s="157">
        <f t="shared" ref="K891:K897" si="130">J891*I891</f>
        <v>1900.8000000000002</v>
      </c>
      <c r="L891" s="125">
        <f t="shared" si="124"/>
        <v>0</v>
      </c>
      <c r="M891" s="126">
        <f t="shared" ref="M891:M899" si="131">IF(ISERROR(L891/H891), "", L891/H891)</f>
        <v>0</v>
      </c>
    </row>
    <row r="892" spans="1:13" ht="25.5" x14ac:dyDescent="0.25">
      <c r="A892" s="100" t="str">
        <f t="shared" si="127"/>
        <v>GENERAL SERVICE 50 TO 999 KW SERVICE CLASSIFICATION</v>
      </c>
      <c r="C892" s="117"/>
      <c r="D892" s="156" t="s">
        <v>174</v>
      </c>
      <c r="E892" s="119"/>
      <c r="F892" s="127">
        <f>'[1]17. Regulatory Charges'!$D$16</f>
        <v>2.9999999999999997E-4</v>
      </c>
      <c r="G892" s="141">
        <f>E864*E866</f>
        <v>528000</v>
      </c>
      <c r="H892" s="157">
        <f t="shared" si="129"/>
        <v>158.39999999999998</v>
      </c>
      <c r="I892" s="128">
        <v>2.9999999999999997E-4</v>
      </c>
      <c r="J892" s="141">
        <f>E864*E867</f>
        <v>528000</v>
      </c>
      <c r="K892" s="157">
        <f t="shared" si="130"/>
        <v>158.39999999999998</v>
      </c>
      <c r="L892" s="125">
        <f t="shared" si="124"/>
        <v>0</v>
      </c>
      <c r="M892" s="126">
        <f t="shared" si="131"/>
        <v>0</v>
      </c>
    </row>
    <row r="893" spans="1:13" x14ac:dyDescent="0.25">
      <c r="A893" s="100" t="str">
        <f t="shared" si="127"/>
        <v>GENERAL SERVICE 50 TO 999 KW SERVICE CLASSIFICATION</v>
      </c>
      <c r="C893" s="117"/>
      <c r="D893" s="158" t="s">
        <v>175</v>
      </c>
      <c r="E893" s="119"/>
      <c r="F893" s="145">
        <v>0.25</v>
      </c>
      <c r="G893" s="121">
        <v>1</v>
      </c>
      <c r="H893" s="157">
        <f t="shared" si="129"/>
        <v>0.25</v>
      </c>
      <c r="I893" s="146">
        <v>0.25</v>
      </c>
      <c r="J893" s="124">
        <v>1</v>
      </c>
      <c r="K893" s="157">
        <f t="shared" si="130"/>
        <v>0.25</v>
      </c>
      <c r="L893" s="125">
        <f t="shared" si="124"/>
        <v>0</v>
      </c>
      <c r="M893" s="126">
        <f t="shared" si="131"/>
        <v>0</v>
      </c>
    </row>
    <row r="894" spans="1:13" ht="25.5" x14ac:dyDescent="0.25">
      <c r="A894" s="100" t="str">
        <f t="shared" si="127"/>
        <v>GENERAL SERVICE 50 TO 999 KW SERVICE CLASSIFICATION</v>
      </c>
      <c r="C894" s="117"/>
      <c r="D894" s="156" t="s">
        <v>176</v>
      </c>
      <c r="E894" s="119"/>
      <c r="F894" s="127"/>
      <c r="G894" s="141"/>
      <c r="H894" s="157"/>
      <c r="I894" s="128"/>
      <c r="J894" s="141"/>
      <c r="K894" s="157"/>
      <c r="L894" s="125"/>
      <c r="M894" s="126"/>
    </row>
    <row r="895" spans="1:13" hidden="1" x14ac:dyDescent="0.25">
      <c r="A895" s="100" t="str">
        <f t="shared" si="127"/>
        <v>GENERAL SERVICE 50 TO 999 KW SERVICE CLASSIFICATION</v>
      </c>
      <c r="B895" s="105" t="s">
        <v>117</v>
      </c>
      <c r="C895" s="117"/>
      <c r="D895" s="159" t="s">
        <v>177</v>
      </c>
      <c r="E895" s="119"/>
      <c r="F895" s="160">
        <f>OffPeak</f>
        <v>6.5000000000000002E-2</v>
      </c>
      <c r="G895" s="161">
        <f>IF(AND(E864*12&gt;=150000),0.65*E864*E866,0.65*E864)</f>
        <v>343200</v>
      </c>
      <c r="H895" s="157">
        <f t="shared" si="129"/>
        <v>22308</v>
      </c>
      <c r="I895" s="162">
        <v>6.5000000000000002E-2</v>
      </c>
      <c r="J895" s="161">
        <f>IF(AND(E864*12&gt;=150000),0.65*E864*E867,0.65*E864)</f>
        <v>343200</v>
      </c>
      <c r="K895" s="157">
        <f t="shared" si="130"/>
        <v>22308</v>
      </c>
      <c r="L895" s="125">
        <f>K895-H895</f>
        <v>0</v>
      </c>
      <c r="M895" s="126">
        <f t="shared" si="131"/>
        <v>0</v>
      </c>
    </row>
    <row r="896" spans="1:13" hidden="1" x14ac:dyDescent="0.25">
      <c r="A896" s="100" t="str">
        <f t="shared" si="127"/>
        <v>GENERAL SERVICE 50 TO 999 KW SERVICE CLASSIFICATION</v>
      </c>
      <c r="B896" s="105" t="s">
        <v>117</v>
      </c>
      <c r="C896" s="117"/>
      <c r="D896" s="159" t="s">
        <v>178</v>
      </c>
      <c r="E896" s="119"/>
      <c r="F896" s="160">
        <f>MidPeak</f>
        <v>9.4E-2</v>
      </c>
      <c r="G896" s="161">
        <f>IF(AND(E864*12&gt;=150000),0.17*E864*E866,0.17*E864)</f>
        <v>89760</v>
      </c>
      <c r="H896" s="157">
        <f t="shared" si="129"/>
        <v>8437.44</v>
      </c>
      <c r="I896" s="162">
        <v>9.4E-2</v>
      </c>
      <c r="J896" s="161">
        <f>IF(AND(E864*12&gt;=150000),0.17*E864*E867,0.17*E864)</f>
        <v>89760</v>
      </c>
      <c r="K896" s="157">
        <f t="shared" si="130"/>
        <v>8437.44</v>
      </c>
      <c r="L896" s="125">
        <f>K896-H896</f>
        <v>0</v>
      </c>
      <c r="M896" s="126">
        <f t="shared" si="131"/>
        <v>0</v>
      </c>
    </row>
    <row r="897" spans="1:13" hidden="1" x14ac:dyDescent="0.25">
      <c r="A897" s="100" t="str">
        <f t="shared" si="127"/>
        <v>GENERAL SERVICE 50 TO 999 KW SERVICE CLASSIFICATION</v>
      </c>
      <c r="B897" s="105" t="s">
        <v>117</v>
      </c>
      <c r="C897" s="117"/>
      <c r="D897" s="105" t="s">
        <v>179</v>
      </c>
      <c r="E897" s="119"/>
      <c r="F897" s="160">
        <f>OnPeak</f>
        <v>0.13200000000000001</v>
      </c>
      <c r="G897" s="161">
        <f>IF(AND(E864*12&gt;=150000),0.18*E864*E866,0.18*E864)</f>
        <v>95040</v>
      </c>
      <c r="H897" s="157">
        <f t="shared" si="129"/>
        <v>12545.28</v>
      </c>
      <c r="I897" s="162">
        <v>0.13200000000000001</v>
      </c>
      <c r="J897" s="161">
        <f>IF(AND(E864*12&gt;=150000),0.18*E864*E867,0.18*E864)</f>
        <v>95040</v>
      </c>
      <c r="K897" s="157">
        <f t="shared" si="130"/>
        <v>12545.28</v>
      </c>
      <c r="L897" s="125">
        <f>K897-H897</f>
        <v>0</v>
      </c>
      <c r="M897" s="126">
        <f t="shared" si="131"/>
        <v>0</v>
      </c>
    </row>
    <row r="898" spans="1:13" hidden="1" x14ac:dyDescent="0.25">
      <c r="A898" s="100" t="str">
        <f t="shared" si="127"/>
        <v>GENERAL SERVICE 50 TO 999 KW SERVICE CLASSIFICATION</v>
      </c>
      <c r="B898" s="100" t="s">
        <v>180</v>
      </c>
      <c r="C898" s="117"/>
      <c r="D898" s="159" t="s">
        <v>181</v>
      </c>
      <c r="E898" s="119"/>
      <c r="F898" s="163">
        <v>0.1101</v>
      </c>
      <c r="G898" s="161">
        <f>IF(AND(E864*12&gt;=150000),E864*E866,E864)</f>
        <v>528000</v>
      </c>
      <c r="H898" s="157">
        <f>G898*F898</f>
        <v>58132.800000000003</v>
      </c>
      <c r="I898" s="164">
        <v>0.1101</v>
      </c>
      <c r="J898" s="161">
        <f>IF(AND(E864*12&gt;=150000),E864*E867,E864)</f>
        <v>528000</v>
      </c>
      <c r="K898" s="157">
        <f>J898*I898</f>
        <v>58132.800000000003</v>
      </c>
      <c r="L898" s="125">
        <f>K898-H898</f>
        <v>0</v>
      </c>
      <c r="M898" s="126">
        <f t="shared" si="131"/>
        <v>0</v>
      </c>
    </row>
    <row r="899" spans="1:13" ht="15.75" thickBot="1" x14ac:dyDescent="0.3">
      <c r="A899" s="100" t="str">
        <f t="shared" si="127"/>
        <v>GENERAL SERVICE 50 TO 999 KW SERVICE CLASSIFICATION</v>
      </c>
      <c r="B899" s="100" t="s">
        <v>121</v>
      </c>
      <c r="C899" s="117"/>
      <c r="D899" s="159" t="s">
        <v>182</v>
      </c>
      <c r="E899" s="119"/>
      <c r="F899" s="163">
        <v>0.1101</v>
      </c>
      <c r="G899" s="161">
        <f>IF(AND(E864*12&gt;=150000),E864*E866,E864)</f>
        <v>528000</v>
      </c>
      <c r="H899" s="157">
        <f>G899*F899</f>
        <v>58132.800000000003</v>
      </c>
      <c r="I899" s="164">
        <v>0.1101</v>
      </c>
      <c r="J899" s="161">
        <f>IF(AND(E864*12&gt;=150000),E864*E867,E864)</f>
        <v>528000</v>
      </c>
      <c r="K899" s="157">
        <f>J899*I899</f>
        <v>58132.800000000003</v>
      </c>
      <c r="L899" s="125">
        <f>K899-H899</f>
        <v>0</v>
      </c>
      <c r="M899" s="126">
        <f t="shared" si="131"/>
        <v>0</v>
      </c>
    </row>
    <row r="900" spans="1:13" ht="15.75" thickBot="1" x14ac:dyDescent="0.3">
      <c r="A900" s="100" t="str">
        <f t="shared" si="127"/>
        <v>GENERAL SERVICE 50 TO 999 KW SERVICE CLASSIFICATION</v>
      </c>
      <c r="B900" s="105"/>
      <c r="C900" s="117"/>
      <c r="D900" s="165"/>
      <c r="E900" s="166"/>
      <c r="F900" s="167"/>
      <c r="G900" s="168"/>
      <c r="H900" s="169"/>
      <c r="I900" s="167"/>
      <c r="J900" s="170"/>
      <c r="K900" s="169"/>
      <c r="L900" s="171"/>
      <c r="M900" s="172"/>
    </row>
    <row r="901" spans="1:13" hidden="1" x14ac:dyDescent="0.25">
      <c r="A901" s="100" t="str">
        <f t="shared" si="127"/>
        <v>GENERAL SERVICE 50 TO 999 KW SERVICE CLASSIFICATION</v>
      </c>
      <c r="B901" s="105" t="s">
        <v>117</v>
      </c>
      <c r="C901" s="117"/>
      <c r="D901" s="173" t="s">
        <v>183</v>
      </c>
      <c r="E901" s="158"/>
      <c r="F901" s="174"/>
      <c r="G901" s="175"/>
      <c r="H901" s="176">
        <f>SUM(H891:H897,H890)</f>
        <v>51693.375</v>
      </c>
      <c r="I901" s="177"/>
      <c r="J901" s="177"/>
      <c r="K901" s="176">
        <f>SUM(K891:K897,K890)</f>
        <v>52221.347787147257</v>
      </c>
      <c r="L901" s="178">
        <f>K901-H901</f>
        <v>527.97278714725689</v>
      </c>
      <c r="M901" s="179">
        <f>IF((H901)=0,"",(L901/H901))</f>
        <v>1.0213548392753556E-2</v>
      </c>
    </row>
    <row r="902" spans="1:13" hidden="1" x14ac:dyDescent="0.25">
      <c r="A902" s="100" t="str">
        <f t="shared" si="127"/>
        <v>GENERAL SERVICE 50 TO 999 KW SERVICE CLASSIFICATION</v>
      </c>
      <c r="B902" s="105" t="s">
        <v>117</v>
      </c>
      <c r="C902" s="117"/>
      <c r="D902" s="180" t="s">
        <v>184</v>
      </c>
      <c r="E902" s="158"/>
      <c r="F902" s="174">
        <v>0.13</v>
      </c>
      <c r="G902" s="181"/>
      <c r="H902" s="182">
        <f>H901*F902</f>
        <v>6720.1387500000001</v>
      </c>
      <c r="I902" s="183">
        <v>0.13</v>
      </c>
      <c r="J902" s="121"/>
      <c r="K902" s="182">
        <f>K901*I902</f>
        <v>6788.7752123291439</v>
      </c>
      <c r="L902" s="184">
        <f>K902-H902</f>
        <v>68.636462329143797</v>
      </c>
      <c r="M902" s="185">
        <f>IF((H902)=0,"",(L902/H902))</f>
        <v>1.0213548392753615E-2</v>
      </c>
    </row>
    <row r="903" spans="1:13" hidden="1" x14ac:dyDescent="0.25">
      <c r="A903" s="100" t="str">
        <f t="shared" si="127"/>
        <v>GENERAL SERVICE 50 TO 999 KW SERVICE CLASSIFICATION</v>
      </c>
      <c r="B903" s="105" t="s">
        <v>117</v>
      </c>
      <c r="C903" s="117"/>
      <c r="D903" s="180" t="s">
        <v>185</v>
      </c>
      <c r="E903" s="158"/>
      <c r="F903" s="174">
        <v>0.08</v>
      </c>
      <c r="G903" s="181"/>
      <c r="H903" s="182">
        <v>0</v>
      </c>
      <c r="I903" s="174">
        <v>0.08</v>
      </c>
      <c r="J903" s="121"/>
      <c r="K903" s="182">
        <v>0</v>
      </c>
      <c r="L903" s="184">
        <f>K903-H903</f>
        <v>0</v>
      </c>
      <c r="M903" s="185"/>
    </row>
    <row r="904" spans="1:13" ht="15.75" hidden="1" thickBot="1" x14ac:dyDescent="0.3">
      <c r="A904" s="100" t="str">
        <f t="shared" si="127"/>
        <v>GENERAL SERVICE 50 TO 999 KW SERVICE CLASSIFICATION</v>
      </c>
      <c r="B904" s="105" t="s">
        <v>186</v>
      </c>
      <c r="C904" s="117"/>
      <c r="D904" s="301" t="s">
        <v>187</v>
      </c>
      <c r="E904" s="301"/>
      <c r="F904" s="186"/>
      <c r="G904" s="187"/>
      <c r="H904" s="188">
        <f>H901+H902+H903</f>
        <v>58413.513749999998</v>
      </c>
      <c r="I904" s="189"/>
      <c r="J904" s="189"/>
      <c r="K904" s="190">
        <f>K901+K902+K903</f>
        <v>59010.1229994764</v>
      </c>
      <c r="L904" s="191">
        <f>K904-H904</f>
        <v>596.6092494764016</v>
      </c>
      <c r="M904" s="192">
        <f>IF((H904)=0,"",(L904/H904))</f>
        <v>1.0213548392753579E-2</v>
      </c>
    </row>
    <row r="905" spans="1:13" ht="15.75" hidden="1" thickBot="1" x14ac:dyDescent="0.3">
      <c r="A905" s="100" t="str">
        <f t="shared" si="127"/>
        <v>GENERAL SERVICE 50 TO 999 KW SERVICE CLASSIFICATION</v>
      </c>
      <c r="B905" s="100" t="s">
        <v>117</v>
      </c>
      <c r="C905" s="117"/>
      <c r="D905" s="165"/>
      <c r="E905" s="166"/>
      <c r="F905" s="167"/>
      <c r="G905" s="168"/>
      <c r="H905" s="169"/>
      <c r="I905" s="167"/>
      <c r="J905" s="170"/>
      <c r="K905" s="169"/>
      <c r="L905" s="171"/>
      <c r="M905" s="172"/>
    </row>
    <row r="906" spans="1:13" hidden="1" x14ac:dyDescent="0.25">
      <c r="A906" s="100" t="str">
        <f t="shared" si="127"/>
        <v>GENERAL SERVICE 50 TO 999 KW SERVICE CLASSIFICATION</v>
      </c>
      <c r="B906" s="100" t="s">
        <v>180</v>
      </c>
      <c r="C906" s="117"/>
      <c r="D906" s="173" t="s">
        <v>188</v>
      </c>
      <c r="E906" s="158"/>
      <c r="F906" s="174"/>
      <c r="G906" s="175"/>
      <c r="H906" s="176">
        <f>SUM(H898,H891:H894,H890)</f>
        <v>66535.455000000002</v>
      </c>
      <c r="I906" s="177"/>
      <c r="J906" s="177"/>
      <c r="K906" s="176">
        <f>SUM(K898,K891:K894,K890)</f>
        <v>67063.427787147259</v>
      </c>
      <c r="L906" s="178">
        <f>K906-H906</f>
        <v>527.97278714725689</v>
      </c>
      <c r="M906" s="179">
        <f>IF((H906)=0,"",(L906/H906))</f>
        <v>7.9352096885375902E-3</v>
      </c>
    </row>
    <row r="907" spans="1:13" hidden="1" x14ac:dyDescent="0.25">
      <c r="A907" s="100" t="str">
        <f t="shared" si="127"/>
        <v>GENERAL SERVICE 50 TO 999 KW SERVICE CLASSIFICATION</v>
      </c>
      <c r="B907" s="100" t="s">
        <v>180</v>
      </c>
      <c r="C907" s="117"/>
      <c r="D907" s="180" t="s">
        <v>184</v>
      </c>
      <c r="E907" s="158"/>
      <c r="F907" s="174">
        <v>0.13</v>
      </c>
      <c r="G907" s="175"/>
      <c r="H907" s="182">
        <f>H906*F907</f>
        <v>8649.6091500000002</v>
      </c>
      <c r="I907" s="174">
        <v>0.13</v>
      </c>
      <c r="J907" s="183"/>
      <c r="K907" s="182">
        <f>K906*I907</f>
        <v>8718.2456123291431</v>
      </c>
      <c r="L907" s="184">
        <f>K907-H907</f>
        <v>68.636462329142887</v>
      </c>
      <c r="M907" s="185">
        <f>IF((H907)=0,"",(L907/H907))</f>
        <v>7.9352096885375312E-3</v>
      </c>
    </row>
    <row r="908" spans="1:13" hidden="1" x14ac:dyDescent="0.25">
      <c r="A908" s="100" t="str">
        <f t="shared" si="127"/>
        <v>GENERAL SERVICE 50 TO 999 KW SERVICE CLASSIFICATION</v>
      </c>
      <c r="B908" s="100" t="s">
        <v>180</v>
      </c>
      <c r="C908" s="117"/>
      <c r="D908" s="180" t="s">
        <v>185</v>
      </c>
      <c r="E908" s="158"/>
      <c r="F908" s="174">
        <v>0.08</v>
      </c>
      <c r="G908" s="175"/>
      <c r="H908" s="182">
        <v>0</v>
      </c>
      <c r="I908" s="174">
        <v>0.08</v>
      </c>
      <c r="J908" s="183"/>
      <c r="K908" s="182">
        <v>0</v>
      </c>
      <c r="L908" s="184"/>
      <c r="M908" s="185"/>
    </row>
    <row r="909" spans="1:13" ht="15.75" hidden="1" thickBot="1" x14ac:dyDescent="0.3">
      <c r="A909" s="100" t="str">
        <f t="shared" si="127"/>
        <v>GENERAL SERVICE 50 TO 999 KW SERVICE CLASSIFICATION</v>
      </c>
      <c r="B909" s="100" t="s">
        <v>189</v>
      </c>
      <c r="C909" s="117"/>
      <c r="D909" s="301" t="s">
        <v>188</v>
      </c>
      <c r="E909" s="301"/>
      <c r="F909" s="193"/>
      <c r="G909" s="194"/>
      <c r="H909" s="188">
        <f>SUM(H906,H907)</f>
        <v>75185.064150000006</v>
      </c>
      <c r="I909" s="195"/>
      <c r="J909" s="195"/>
      <c r="K909" s="188">
        <f>SUM(K906,K907)</f>
        <v>75781.673399476407</v>
      </c>
      <c r="L909" s="196">
        <f>K909-H909</f>
        <v>596.6092494764016</v>
      </c>
      <c r="M909" s="197">
        <f>IF((H909)=0,"",(L909/H909))</f>
        <v>7.9352096885376075E-3</v>
      </c>
    </row>
    <row r="910" spans="1:13" ht="15.75" hidden="1" thickBot="1" x14ac:dyDescent="0.3">
      <c r="A910" s="100" t="str">
        <f t="shared" si="127"/>
        <v>GENERAL SERVICE 50 TO 999 KW SERVICE CLASSIFICATION</v>
      </c>
      <c r="B910" s="100" t="s">
        <v>180</v>
      </c>
      <c r="C910" s="117"/>
      <c r="D910" s="165"/>
      <c r="E910" s="166"/>
      <c r="F910" s="198"/>
      <c r="G910" s="199"/>
      <c r="H910" s="200"/>
      <c r="I910" s="198"/>
      <c r="J910" s="168"/>
      <c r="K910" s="200"/>
      <c r="L910" s="201"/>
      <c r="M910" s="172"/>
    </row>
    <row r="911" spans="1:13" x14ac:dyDescent="0.25">
      <c r="A911" s="100" t="str">
        <f t="shared" si="127"/>
        <v>GENERAL SERVICE 50 TO 999 KW SERVICE CLASSIFICATION</v>
      </c>
      <c r="B911" s="100" t="s">
        <v>121</v>
      </c>
      <c r="C911" s="117"/>
      <c r="D911" s="173" t="s">
        <v>190</v>
      </c>
      <c r="E911" s="158"/>
      <c r="F911" s="174"/>
      <c r="G911" s="175"/>
      <c r="H911" s="176">
        <f>SUM(H899,H891:H894,H890)</f>
        <v>66535.455000000002</v>
      </c>
      <c r="I911" s="177"/>
      <c r="J911" s="177"/>
      <c r="K911" s="176">
        <f>SUM(K899,K891:K894,K890)</f>
        <v>67063.427787147259</v>
      </c>
      <c r="L911" s="178">
        <f>K911-H911</f>
        <v>527.97278714725689</v>
      </c>
      <c r="M911" s="179">
        <f>IF((H911)=0,"",(L911/H911))</f>
        <v>7.9352096885375902E-3</v>
      </c>
    </row>
    <row r="912" spans="1:13" x14ac:dyDescent="0.25">
      <c r="A912" s="100" t="str">
        <f t="shared" si="127"/>
        <v>GENERAL SERVICE 50 TO 999 KW SERVICE CLASSIFICATION</v>
      </c>
      <c r="B912" s="100" t="s">
        <v>121</v>
      </c>
      <c r="C912" s="117"/>
      <c r="D912" s="180" t="s">
        <v>184</v>
      </c>
      <c r="E912" s="158"/>
      <c r="F912" s="174">
        <v>0.13</v>
      </c>
      <c r="G912" s="175"/>
      <c r="H912" s="182">
        <f>H911*F912</f>
        <v>8649.6091500000002</v>
      </c>
      <c r="I912" s="174">
        <v>0.13</v>
      </c>
      <c r="J912" s="183"/>
      <c r="K912" s="182">
        <f>K911*I912</f>
        <v>8718.2456123291431</v>
      </c>
      <c r="L912" s="184">
        <f>K912-H912</f>
        <v>68.636462329142887</v>
      </c>
      <c r="M912" s="185">
        <f>IF((H912)=0,"",(L912/H912))</f>
        <v>7.9352096885375312E-3</v>
      </c>
    </row>
    <row r="913" spans="1:13" x14ac:dyDescent="0.25">
      <c r="A913" s="100" t="str">
        <f t="shared" si="127"/>
        <v>GENERAL SERVICE 50 TO 999 KW SERVICE CLASSIFICATION</v>
      </c>
      <c r="B913" s="100" t="s">
        <v>121</v>
      </c>
      <c r="C913" s="117"/>
      <c r="D913" s="180" t="s">
        <v>185</v>
      </c>
      <c r="E913" s="158"/>
      <c r="F913" s="174">
        <v>0.08</v>
      </c>
      <c r="G913" s="175"/>
      <c r="H913" s="182">
        <v>0</v>
      </c>
      <c r="I913" s="174">
        <v>0.08</v>
      </c>
      <c r="J913" s="183"/>
      <c r="K913" s="182">
        <v>0</v>
      </c>
      <c r="L913" s="184"/>
      <c r="M913" s="185"/>
    </row>
    <row r="914" spans="1:13" ht="15.75" thickBot="1" x14ac:dyDescent="0.3">
      <c r="A914" s="100" t="str">
        <f t="shared" si="127"/>
        <v>GENERAL SERVICE 50 TO 999 KW SERVICE CLASSIFICATION</v>
      </c>
      <c r="B914" s="100" t="s">
        <v>191</v>
      </c>
      <c r="C914" s="117">
        <f>B44</f>
        <v>15</v>
      </c>
      <c r="D914" s="301" t="s">
        <v>190</v>
      </c>
      <c r="E914" s="301"/>
      <c r="F914" s="193"/>
      <c r="G914" s="194"/>
      <c r="H914" s="188">
        <f>SUM(H911,H912)</f>
        <v>75185.064150000006</v>
      </c>
      <c r="I914" s="195"/>
      <c r="J914" s="195"/>
      <c r="K914" s="188">
        <f>SUM(K911,K912)</f>
        <v>75781.673399476407</v>
      </c>
      <c r="L914" s="196">
        <f>K914-H914</f>
        <v>596.6092494764016</v>
      </c>
      <c r="M914" s="197">
        <f>IF((H914)=0,"",(L914/H914))</f>
        <v>7.9352096885376075E-3</v>
      </c>
    </row>
    <row r="915" spans="1:13" ht="15.75" thickBot="1" x14ac:dyDescent="0.3">
      <c r="A915" s="100" t="str">
        <f t="shared" si="127"/>
        <v>GENERAL SERVICE 50 TO 999 KW SERVICE CLASSIFICATION</v>
      </c>
      <c r="B915" s="100" t="s">
        <v>121</v>
      </c>
      <c r="C915" s="117"/>
      <c r="D915" s="165"/>
      <c r="E915" s="166"/>
      <c r="F915" s="202"/>
      <c r="G915" s="203"/>
      <c r="H915" s="204"/>
      <c r="I915" s="202"/>
      <c r="J915" s="205"/>
      <c r="K915" s="204"/>
      <c r="L915" s="206"/>
      <c r="M915" s="207"/>
    </row>
    <row r="918" spans="1:13" x14ac:dyDescent="0.25">
      <c r="C918" s="100"/>
      <c r="D918" s="101" t="s">
        <v>134</v>
      </c>
      <c r="E918" s="302" t="str">
        <f>D45</f>
        <v>GENERAL SERVICE 1,000 TO 4,999 KW SERVICE CLASSIFICATION</v>
      </c>
      <c r="F918" s="302"/>
      <c r="G918" s="302"/>
      <c r="H918" s="302"/>
      <c r="I918" s="302"/>
      <c r="J918" s="302"/>
      <c r="K918" s="100" t="str">
        <f>IF(N45="DEMAND - INTERVAL","RTSR - INTERVAL METERED","")</f>
        <v/>
      </c>
    </row>
    <row r="919" spans="1:13" x14ac:dyDescent="0.25">
      <c r="C919" s="100"/>
      <c r="D919" s="101" t="s">
        <v>135</v>
      </c>
      <c r="E919" s="303" t="str">
        <f>H45</f>
        <v>Non-RPP (Other)</v>
      </c>
      <c r="F919" s="303"/>
      <c r="G919" s="303"/>
      <c r="H919" s="102"/>
      <c r="I919" s="102"/>
    </row>
    <row r="920" spans="1:13" ht="15.75" x14ac:dyDescent="0.25">
      <c r="C920" s="100"/>
      <c r="D920" s="101" t="s">
        <v>136</v>
      </c>
      <c r="E920" s="103">
        <f>K45</f>
        <v>1000000</v>
      </c>
      <c r="F920" s="104" t="s">
        <v>137</v>
      </c>
      <c r="G920" s="105"/>
      <c r="J920" s="106"/>
      <c r="K920" s="106"/>
      <c r="L920" s="106"/>
      <c r="M920" s="106"/>
    </row>
    <row r="921" spans="1:13" ht="15.75" x14ac:dyDescent="0.25">
      <c r="C921" s="100"/>
      <c r="D921" s="101" t="s">
        <v>138</v>
      </c>
      <c r="E921" s="103">
        <f>L45</f>
        <v>2000</v>
      </c>
      <c r="F921" s="107" t="s">
        <v>139</v>
      </c>
      <c r="G921" s="108"/>
      <c r="H921" s="109"/>
      <c r="I921" s="109"/>
      <c r="J921" s="109"/>
    </row>
    <row r="922" spans="1:13" x14ac:dyDescent="0.25">
      <c r="C922" s="100"/>
      <c r="D922" s="101" t="s">
        <v>140</v>
      </c>
      <c r="E922" s="110">
        <f>I45</f>
        <v>1.056</v>
      </c>
    </row>
    <row r="923" spans="1:13" x14ac:dyDescent="0.25">
      <c r="C923" s="100"/>
      <c r="D923" s="101" t="s">
        <v>141</v>
      </c>
      <c r="E923" s="110">
        <f>J45</f>
        <v>1.056</v>
      </c>
    </row>
    <row r="924" spans="1:13" x14ac:dyDescent="0.25">
      <c r="C924" s="100"/>
      <c r="D924" s="105"/>
    </row>
    <row r="925" spans="1:13" x14ac:dyDescent="0.25">
      <c r="C925" s="100"/>
      <c r="D925" s="105"/>
      <c r="E925" s="111"/>
      <c r="F925" s="304" t="s">
        <v>142</v>
      </c>
      <c r="G925" s="305"/>
      <c r="H925" s="306"/>
      <c r="I925" s="304" t="s">
        <v>143</v>
      </c>
      <c r="J925" s="305"/>
      <c r="K925" s="306"/>
      <c r="L925" s="304" t="s">
        <v>144</v>
      </c>
      <c r="M925" s="306"/>
    </row>
    <row r="926" spans="1:13" x14ac:dyDescent="0.25">
      <c r="C926" s="100"/>
      <c r="D926" s="105"/>
      <c r="E926" s="295"/>
      <c r="F926" s="112" t="s">
        <v>145</v>
      </c>
      <c r="G926" s="112" t="s">
        <v>146</v>
      </c>
      <c r="H926" s="113" t="s">
        <v>147</v>
      </c>
      <c r="I926" s="112" t="s">
        <v>145</v>
      </c>
      <c r="J926" s="114" t="s">
        <v>146</v>
      </c>
      <c r="K926" s="113" t="s">
        <v>147</v>
      </c>
      <c r="L926" s="297" t="s">
        <v>148</v>
      </c>
      <c r="M926" s="299" t="s">
        <v>149</v>
      </c>
    </row>
    <row r="927" spans="1:13" x14ac:dyDescent="0.25">
      <c r="C927" s="100"/>
      <c r="D927" s="105"/>
      <c r="E927" s="296"/>
      <c r="F927" s="115" t="s">
        <v>150</v>
      </c>
      <c r="G927" s="115"/>
      <c r="H927" s="116" t="s">
        <v>150</v>
      </c>
      <c r="I927" s="115" t="s">
        <v>150</v>
      </c>
      <c r="J927" s="116"/>
      <c r="K927" s="116" t="s">
        <v>150</v>
      </c>
      <c r="L927" s="298"/>
      <c r="M927" s="300"/>
    </row>
    <row r="928" spans="1:13" x14ac:dyDescent="0.25">
      <c r="A928" s="100" t="str">
        <f>$E918</f>
        <v>GENERAL SERVICE 1,000 TO 4,999 KW SERVICE CLASSIFICATION</v>
      </c>
      <c r="C928" s="117"/>
      <c r="D928" s="118" t="s">
        <v>151</v>
      </c>
      <c r="E928" s="119"/>
      <c r="F928" s="120">
        <v>185.55</v>
      </c>
      <c r="G928" s="121">
        <v>1</v>
      </c>
      <c r="H928" s="122">
        <f>G928*F928</f>
        <v>185.55</v>
      </c>
      <c r="I928" s="123">
        <v>185.55</v>
      </c>
      <c r="J928" s="124">
        <f>G928</f>
        <v>1</v>
      </c>
      <c r="K928" s="122">
        <f>J928*I928</f>
        <v>185.55</v>
      </c>
      <c r="L928" s="125">
        <f t="shared" ref="L928:L949" si="132">K928-H928</f>
        <v>0</v>
      </c>
      <c r="M928" s="126">
        <f>IF(ISERROR(L928/H928), "", L928/H928)</f>
        <v>0</v>
      </c>
    </row>
    <row r="929" spans="1:13" x14ac:dyDescent="0.25">
      <c r="A929" s="100" t="str">
        <f>A928</f>
        <v>GENERAL SERVICE 1,000 TO 4,999 KW SERVICE CLASSIFICATION</v>
      </c>
      <c r="C929" s="117"/>
      <c r="D929" s="118" t="s">
        <v>152</v>
      </c>
      <c r="E929" s="119"/>
      <c r="F929" s="127">
        <v>3.4704999999999999</v>
      </c>
      <c r="G929" s="121">
        <f>IF($E921&gt;0, $E921, $E920)</f>
        <v>2000</v>
      </c>
      <c r="H929" s="122">
        <f t="shared" ref="H929:H941" si="133">G929*F929</f>
        <v>6941</v>
      </c>
      <c r="I929" s="128">
        <v>3.4704999999999999</v>
      </c>
      <c r="J929" s="124">
        <f>IF($E921&gt;0, $E921, $E920)</f>
        <v>2000</v>
      </c>
      <c r="K929" s="122">
        <f>J929*I929</f>
        <v>6941</v>
      </c>
      <c r="L929" s="125">
        <f t="shared" si="132"/>
        <v>0</v>
      </c>
      <c r="M929" s="126">
        <f t="shared" ref="M929:M939" si="134">IF(ISERROR(L929/H929), "", L929/H929)</f>
        <v>0</v>
      </c>
    </row>
    <row r="930" spans="1:13" x14ac:dyDescent="0.25">
      <c r="A930" s="100" t="str">
        <f t="shared" ref="A930:A971" si="135">A929</f>
        <v>GENERAL SERVICE 1,000 TO 4,999 KW SERVICE CLASSIFICATION</v>
      </c>
      <c r="C930" s="117"/>
      <c r="D930" s="118" t="s">
        <v>153</v>
      </c>
      <c r="E930" s="119"/>
      <c r="F930" s="127"/>
      <c r="G930" s="121">
        <f>IF($E921&gt;0, $E921, $E920)</f>
        <v>2000</v>
      </c>
      <c r="H930" s="122">
        <v>0</v>
      </c>
      <c r="I930" s="128"/>
      <c r="J930" s="124">
        <f>IF($E921&gt;0, $E921, $E920)</f>
        <v>2000</v>
      </c>
      <c r="K930" s="122">
        <v>0</v>
      </c>
      <c r="L930" s="125"/>
      <c r="M930" s="126"/>
    </row>
    <row r="931" spans="1:13" x14ac:dyDescent="0.25">
      <c r="A931" s="100" t="str">
        <f t="shared" si="135"/>
        <v>GENERAL SERVICE 1,000 TO 4,999 KW SERVICE CLASSIFICATION</v>
      </c>
      <c r="C931" s="117"/>
      <c r="D931" s="118" t="s">
        <v>154</v>
      </c>
      <c r="E931" s="119"/>
      <c r="F931" s="127"/>
      <c r="G931" s="121">
        <f>IF($E921&gt;0, $E921, $E920)</f>
        <v>2000</v>
      </c>
      <c r="H931" s="122">
        <v>0</v>
      </c>
      <c r="I931" s="128"/>
      <c r="J931" s="121">
        <f>IF($E921&gt;0, $E921, $E920)</f>
        <v>2000</v>
      </c>
      <c r="K931" s="122">
        <v>0</v>
      </c>
      <c r="L931" s="125">
        <f>K931-H931</f>
        <v>0</v>
      </c>
      <c r="M931" s="126" t="str">
        <f>IF(ISERROR(L931/H931), "", L931/H931)</f>
        <v/>
      </c>
    </row>
    <row r="932" spans="1:13" x14ac:dyDescent="0.25">
      <c r="A932" s="100" t="str">
        <f t="shared" si="135"/>
        <v>GENERAL SERVICE 1,000 TO 4,999 KW SERVICE CLASSIFICATION</v>
      </c>
      <c r="C932" s="117"/>
      <c r="D932" s="129" t="s">
        <v>155</v>
      </c>
      <c r="E932" s="119"/>
      <c r="F932" s="120">
        <v>0</v>
      </c>
      <c r="G932" s="121">
        <v>1</v>
      </c>
      <c r="H932" s="122">
        <f t="shared" si="133"/>
        <v>0</v>
      </c>
      <c r="I932" s="226">
        <f>'Rate Riders'!O11</f>
        <v>32.87063870617456</v>
      </c>
      <c r="J932" s="124">
        <f>G932</f>
        <v>1</v>
      </c>
      <c r="K932" s="122">
        <f t="shared" ref="K932:K939" si="136">J932*I932</f>
        <v>32.87063870617456</v>
      </c>
      <c r="L932" s="125">
        <f t="shared" si="132"/>
        <v>32.87063870617456</v>
      </c>
      <c r="M932" s="126" t="str">
        <f t="shared" si="134"/>
        <v/>
      </c>
    </row>
    <row r="933" spans="1:13" x14ac:dyDescent="0.25">
      <c r="A933" s="100" t="str">
        <f t="shared" si="135"/>
        <v>GENERAL SERVICE 1,000 TO 4,999 KW SERVICE CLASSIFICATION</v>
      </c>
      <c r="C933" s="117"/>
      <c r="D933" s="118" t="s">
        <v>156</v>
      </c>
      <c r="E933" s="119"/>
      <c r="F933" s="127">
        <v>0</v>
      </c>
      <c r="G933" s="121">
        <f>IF($E921&gt;0, $E921, $E920)</f>
        <v>2000</v>
      </c>
      <c r="H933" s="122">
        <f t="shared" si="133"/>
        <v>0</v>
      </c>
      <c r="I933" s="227">
        <f>'Rate Riders'!Q11</f>
        <v>0.61480760781341304</v>
      </c>
      <c r="J933" s="124">
        <f>IF($E921&gt;0, $E921, $E920)</f>
        <v>2000</v>
      </c>
      <c r="K933" s="122">
        <f t="shared" si="136"/>
        <v>1229.6152156268261</v>
      </c>
      <c r="L933" s="125">
        <f t="shared" si="132"/>
        <v>1229.6152156268261</v>
      </c>
      <c r="M933" s="126" t="str">
        <f t="shared" si="134"/>
        <v/>
      </c>
    </row>
    <row r="934" spans="1:13" x14ac:dyDescent="0.25">
      <c r="A934" s="100" t="str">
        <f t="shared" si="135"/>
        <v>GENERAL SERVICE 1,000 TO 4,999 KW SERVICE CLASSIFICATION</v>
      </c>
      <c r="B934" s="130" t="s">
        <v>157</v>
      </c>
      <c r="C934" s="117">
        <f>B45</f>
        <v>16</v>
      </c>
      <c r="D934" s="131" t="s">
        <v>158</v>
      </c>
      <c r="E934" s="132"/>
      <c r="F934" s="133"/>
      <c r="G934" s="134"/>
      <c r="H934" s="135">
        <f>SUM(H928:H933)</f>
        <v>7126.55</v>
      </c>
      <c r="I934" s="136"/>
      <c r="J934" s="137"/>
      <c r="K934" s="135">
        <f>SUM(K928:K933)</f>
        <v>8389.0358543330003</v>
      </c>
      <c r="L934" s="138">
        <f t="shared" si="132"/>
        <v>1262.4858543330001</v>
      </c>
      <c r="M934" s="139">
        <f>IF((H934)=0,"",(L934/H934))</f>
        <v>0.17715245866976309</v>
      </c>
    </row>
    <row r="935" spans="1:13" x14ac:dyDescent="0.25">
      <c r="A935" s="100" t="str">
        <f t="shared" si="135"/>
        <v>GENERAL SERVICE 1,000 TO 4,999 KW SERVICE CLASSIFICATION</v>
      </c>
      <c r="C935" s="117"/>
      <c r="D935" s="140" t="s">
        <v>159</v>
      </c>
      <c r="E935" s="119"/>
      <c r="F935" s="127">
        <f>IF((E920*12&gt;=150000), 0, IF(E919="RPP",(F951*0.65+F952*0.17+F953*0.18),IF(E919="Non-RPP (Retailer)",F954,F955)))</f>
        <v>0</v>
      </c>
      <c r="G935" s="141">
        <f>IF(F935=0, 0, $E920*E922-E920)</f>
        <v>0</v>
      </c>
      <c r="H935" s="122">
        <f>G935*F935</f>
        <v>0</v>
      </c>
      <c r="I935" s="128">
        <v>0</v>
      </c>
      <c r="J935" s="141">
        <f>IF(I935=0, 0, E920*E923-E920)</f>
        <v>0</v>
      </c>
      <c r="K935" s="122">
        <f>J935*I935</f>
        <v>0</v>
      </c>
      <c r="L935" s="125">
        <f>K935-H935</f>
        <v>0</v>
      </c>
      <c r="M935" s="126" t="str">
        <f>IF(ISERROR(L935/H935), "", L935/H935)</f>
        <v/>
      </c>
    </row>
    <row r="936" spans="1:13" ht="25.5" x14ac:dyDescent="0.25">
      <c r="A936" s="100" t="str">
        <f t="shared" si="135"/>
        <v>GENERAL SERVICE 1,000 TO 4,999 KW SERVICE CLASSIFICATION</v>
      </c>
      <c r="C936" s="117"/>
      <c r="D936" s="140" t="s">
        <v>160</v>
      </c>
      <c r="E936" s="119"/>
      <c r="F936" s="127">
        <v>-0.93979999999999997</v>
      </c>
      <c r="G936" s="142">
        <f>IF($E921&gt;0, $E921, $E920)</f>
        <v>2000</v>
      </c>
      <c r="H936" s="122">
        <f t="shared" si="133"/>
        <v>-1879.6</v>
      </c>
      <c r="I936" s="128">
        <v>-0.93979999999999997</v>
      </c>
      <c r="J936" s="142">
        <f>IF($E921&gt;0, $E921, $E920)</f>
        <v>2000</v>
      </c>
      <c r="K936" s="122">
        <f t="shared" si="136"/>
        <v>-1879.6</v>
      </c>
      <c r="L936" s="125">
        <f t="shared" si="132"/>
        <v>0</v>
      </c>
      <c r="M936" s="126">
        <f t="shared" si="134"/>
        <v>0</v>
      </c>
    </row>
    <row r="937" spans="1:13" x14ac:dyDescent="0.25">
      <c r="A937" s="100" t="str">
        <f t="shared" si="135"/>
        <v>GENERAL SERVICE 1,000 TO 4,999 KW SERVICE CLASSIFICATION</v>
      </c>
      <c r="C937" s="117"/>
      <c r="D937" s="140" t="s">
        <v>161</v>
      </c>
      <c r="E937" s="119"/>
      <c r="F937" s="127">
        <v>-3.4099999999999998E-2</v>
      </c>
      <c r="G937" s="142">
        <f>IF($E921&gt;0, $E921, $E920)</f>
        <v>2000</v>
      </c>
      <c r="H937" s="122">
        <f>G937*F937</f>
        <v>-68.2</v>
      </c>
      <c r="I937" s="128">
        <v>-3.4099999999999998E-2</v>
      </c>
      <c r="J937" s="142">
        <f>IF($E921&gt;0, $E921, $E920)</f>
        <v>2000</v>
      </c>
      <c r="K937" s="122">
        <f>J937*I937</f>
        <v>-68.2</v>
      </c>
      <c r="L937" s="125">
        <f t="shared" si="132"/>
        <v>0</v>
      </c>
      <c r="M937" s="126">
        <f t="shared" si="134"/>
        <v>0</v>
      </c>
    </row>
    <row r="938" spans="1:13" x14ac:dyDescent="0.25">
      <c r="A938" s="100" t="str">
        <f t="shared" si="135"/>
        <v>GENERAL SERVICE 1,000 TO 4,999 KW SERVICE CLASSIFICATION</v>
      </c>
      <c r="C938" s="117"/>
      <c r="D938" s="140" t="s">
        <v>162</v>
      </c>
      <c r="E938" s="119"/>
      <c r="F938" s="127">
        <v>-1E-3</v>
      </c>
      <c r="G938" s="142">
        <f>E920</f>
        <v>1000000</v>
      </c>
      <c r="H938" s="122">
        <f>G938*F938</f>
        <v>-1000</v>
      </c>
      <c r="I938" s="128">
        <v>-1E-3</v>
      </c>
      <c r="J938" s="142">
        <f>E920</f>
        <v>1000000</v>
      </c>
      <c r="K938" s="122">
        <f t="shared" si="136"/>
        <v>-1000</v>
      </c>
      <c r="L938" s="125">
        <f t="shared" si="132"/>
        <v>0</v>
      </c>
      <c r="M938" s="126">
        <f t="shared" si="134"/>
        <v>0</v>
      </c>
    </row>
    <row r="939" spans="1:13" x14ac:dyDescent="0.25">
      <c r="A939" s="100" t="str">
        <f t="shared" si="135"/>
        <v>GENERAL SERVICE 1,000 TO 4,999 KW SERVICE CLASSIFICATION</v>
      </c>
      <c r="C939" s="117"/>
      <c r="D939" s="143" t="s">
        <v>163</v>
      </c>
      <c r="E939" s="119"/>
      <c r="F939" s="127">
        <v>1.0483</v>
      </c>
      <c r="G939" s="142">
        <f>IF($E921&gt;0, $E921, $E920)</f>
        <v>2000</v>
      </c>
      <c r="H939" s="122">
        <f t="shared" si="133"/>
        <v>2096.6</v>
      </c>
      <c r="I939" s="128">
        <v>1.0483</v>
      </c>
      <c r="J939" s="142">
        <f>IF($E921&gt;0, $E921, $E920)</f>
        <v>2000</v>
      </c>
      <c r="K939" s="122">
        <f t="shared" si="136"/>
        <v>2096.6</v>
      </c>
      <c r="L939" s="125">
        <f t="shared" si="132"/>
        <v>0</v>
      </c>
      <c r="M939" s="126">
        <f t="shared" si="134"/>
        <v>0</v>
      </c>
    </row>
    <row r="940" spans="1:13" ht="25.5" x14ac:dyDescent="0.25">
      <c r="A940" s="100" t="str">
        <f t="shared" si="135"/>
        <v>GENERAL SERVICE 1,000 TO 4,999 KW SERVICE CLASSIFICATION</v>
      </c>
      <c r="C940" s="117"/>
      <c r="D940" s="144" t="s">
        <v>164</v>
      </c>
      <c r="E940" s="119"/>
      <c r="F940" s="145">
        <f>IF(OR(ISNUMBER(SEARCH("RESIDENTIAL", E918))=TRUE, ISNUMBER(SEARCH("GENERAL SERVICE LESS THAN 50", E918))=TRUE), SME, 0)</f>
        <v>0</v>
      </c>
      <c r="G940" s="121">
        <v>1</v>
      </c>
      <c r="H940" s="122">
        <f>G940*F940</f>
        <v>0</v>
      </c>
      <c r="I940" s="146">
        <v>0</v>
      </c>
      <c r="J940" s="121">
        <v>1</v>
      </c>
      <c r="K940" s="122">
        <f>J940*I940</f>
        <v>0</v>
      </c>
      <c r="L940" s="125">
        <f t="shared" si="132"/>
        <v>0</v>
      </c>
      <c r="M940" s="126" t="str">
        <f>IF(ISERROR(L940/H940), "", L940/H940)</f>
        <v/>
      </c>
    </row>
    <row r="941" spans="1:13" x14ac:dyDescent="0.25">
      <c r="A941" s="100" t="str">
        <f t="shared" si="135"/>
        <v>GENERAL SERVICE 1,000 TO 4,999 KW SERVICE CLASSIFICATION</v>
      </c>
      <c r="C941" s="117"/>
      <c r="D941" s="143" t="s">
        <v>165</v>
      </c>
      <c r="E941" s="119"/>
      <c r="F941" s="120">
        <v>0</v>
      </c>
      <c r="G941" s="121">
        <v>1</v>
      </c>
      <c r="H941" s="122">
        <f t="shared" si="133"/>
        <v>0</v>
      </c>
      <c r="I941" s="123">
        <v>0</v>
      </c>
      <c r="J941" s="121">
        <v>1</v>
      </c>
      <c r="K941" s="122">
        <f>J941*I941</f>
        <v>0</v>
      </c>
      <c r="L941" s="125">
        <f>K941-H941</f>
        <v>0</v>
      </c>
      <c r="M941" s="126" t="str">
        <f>IF(ISERROR(L941/H941), "", L941/H941)</f>
        <v/>
      </c>
    </row>
    <row r="942" spans="1:13" x14ac:dyDescent="0.25">
      <c r="A942" s="100" t="str">
        <f t="shared" si="135"/>
        <v>GENERAL SERVICE 1,000 TO 4,999 KW SERVICE CLASSIFICATION</v>
      </c>
      <c r="C942" s="117"/>
      <c r="D942" s="143" t="s">
        <v>166</v>
      </c>
      <c r="E942" s="119"/>
      <c r="F942" s="127"/>
      <c r="G942" s="142">
        <f>IF($E921&gt;0, $E921, $E920)</f>
        <v>2000</v>
      </c>
      <c r="H942" s="122">
        <f>G942*F942</f>
        <v>0</v>
      </c>
      <c r="I942" s="128"/>
      <c r="J942" s="142">
        <f>IF($E921&gt;0, $E921, $E920)</f>
        <v>2000</v>
      </c>
      <c r="K942" s="122">
        <f>J942*I942</f>
        <v>0</v>
      </c>
      <c r="L942" s="125">
        <f t="shared" si="132"/>
        <v>0</v>
      </c>
      <c r="M942" s="126" t="str">
        <f>IF(ISERROR(L942/H942), "", L942/H942)</f>
        <v/>
      </c>
    </row>
    <row r="943" spans="1:13" ht="25.5" x14ac:dyDescent="0.25">
      <c r="A943" s="100" t="str">
        <f t="shared" si="135"/>
        <v>GENERAL SERVICE 1,000 TO 4,999 KW SERVICE CLASSIFICATION</v>
      </c>
      <c r="B943" s="105" t="s">
        <v>167</v>
      </c>
      <c r="C943" s="117">
        <f>B45</f>
        <v>16</v>
      </c>
      <c r="D943" s="147" t="s">
        <v>168</v>
      </c>
      <c r="E943" s="148"/>
      <c r="F943" s="149"/>
      <c r="G943" s="150"/>
      <c r="H943" s="151">
        <f>SUM(H934:H942)</f>
        <v>6275.35</v>
      </c>
      <c r="I943" s="152"/>
      <c r="J943" s="153"/>
      <c r="K943" s="151">
        <f>SUM(K934:K942)</f>
        <v>7537.8358543329996</v>
      </c>
      <c r="L943" s="138">
        <f t="shared" si="132"/>
        <v>1262.4858543329992</v>
      </c>
      <c r="M943" s="139">
        <f>IF((H943)=0,"",(L943/H943))</f>
        <v>0.20118174354147564</v>
      </c>
    </row>
    <row r="944" spans="1:13" x14ac:dyDescent="0.25">
      <c r="A944" s="100" t="str">
        <f t="shared" si="135"/>
        <v>GENERAL SERVICE 1,000 TO 4,999 KW SERVICE CLASSIFICATION</v>
      </c>
      <c r="C944" s="117"/>
      <c r="D944" s="154" t="s">
        <v>169</v>
      </c>
      <c r="E944" s="119"/>
      <c r="F944" s="127">
        <v>2.6217000000000001</v>
      </c>
      <c r="G944" s="141">
        <f>IF($E921&gt;0, $E921, $E920*$E922)</f>
        <v>2000</v>
      </c>
      <c r="H944" s="122">
        <f>G944*F944</f>
        <v>5243.4000000000005</v>
      </c>
      <c r="I944" s="128">
        <v>2.6217000000000001</v>
      </c>
      <c r="J944" s="141">
        <f>IF($E921&gt;0, $E921, $E920*$E923)</f>
        <v>2000</v>
      </c>
      <c r="K944" s="122">
        <f>J944*I944</f>
        <v>5243.4000000000005</v>
      </c>
      <c r="L944" s="125">
        <f t="shared" si="132"/>
        <v>0</v>
      </c>
      <c r="M944" s="126">
        <f>IF(ISERROR(L944/H944), "", L944/H944)</f>
        <v>0</v>
      </c>
    </row>
    <row r="945" spans="1:13" ht="25.5" x14ac:dyDescent="0.25">
      <c r="A945" s="100" t="str">
        <f t="shared" si="135"/>
        <v>GENERAL SERVICE 1,000 TO 4,999 KW SERVICE CLASSIFICATION</v>
      </c>
      <c r="C945" s="117"/>
      <c r="D945" s="155" t="s">
        <v>170</v>
      </c>
      <c r="E945" s="119"/>
      <c r="F945" s="127">
        <v>2.2145999999999999</v>
      </c>
      <c r="G945" s="141">
        <f>IF($E921&gt;0, $E921, $E920*$E922)</f>
        <v>2000</v>
      </c>
      <c r="H945" s="122">
        <f>G945*F945</f>
        <v>4429.2</v>
      </c>
      <c r="I945" s="128">
        <v>2.2145999999999999</v>
      </c>
      <c r="J945" s="141">
        <f>IF($E921&gt;0, $E921, $E920*$E923)</f>
        <v>2000</v>
      </c>
      <c r="K945" s="122">
        <f>J945*I945</f>
        <v>4429.2</v>
      </c>
      <c r="L945" s="125">
        <f t="shared" si="132"/>
        <v>0</v>
      </c>
      <c r="M945" s="126">
        <f>IF(ISERROR(L945/H945), "", L945/H945)</f>
        <v>0</v>
      </c>
    </row>
    <row r="946" spans="1:13" ht="25.5" x14ac:dyDescent="0.25">
      <c r="A946" s="100" t="str">
        <f t="shared" si="135"/>
        <v>GENERAL SERVICE 1,000 TO 4,999 KW SERVICE CLASSIFICATION</v>
      </c>
      <c r="B946" s="105" t="s">
        <v>171</v>
      </c>
      <c r="C946" s="117">
        <f>B45</f>
        <v>16</v>
      </c>
      <c r="D946" s="147" t="s">
        <v>172</v>
      </c>
      <c r="E946" s="132"/>
      <c r="F946" s="149"/>
      <c r="G946" s="150"/>
      <c r="H946" s="151">
        <f>SUM(H943:H945)</f>
        <v>15947.95</v>
      </c>
      <c r="I946" s="152"/>
      <c r="J946" s="137"/>
      <c r="K946" s="151">
        <f>SUM(K943:K945)</f>
        <v>17210.435854333002</v>
      </c>
      <c r="L946" s="138">
        <f t="shared" si="132"/>
        <v>1262.485854333001</v>
      </c>
      <c r="M946" s="139">
        <f>IF((H946)=0,"",(L946/H946))</f>
        <v>7.9162892681065647E-2</v>
      </c>
    </row>
    <row r="947" spans="1:13" ht="25.5" x14ac:dyDescent="0.25">
      <c r="A947" s="100" t="str">
        <f t="shared" si="135"/>
        <v>GENERAL SERVICE 1,000 TO 4,999 KW SERVICE CLASSIFICATION</v>
      </c>
      <c r="C947" s="117"/>
      <c r="D947" s="156" t="s">
        <v>173</v>
      </c>
      <c r="E947" s="119"/>
      <c r="F947" s="127">
        <v>3.6000000000000003E-3</v>
      </c>
      <c r="G947" s="141">
        <f>E920*E922</f>
        <v>1056000</v>
      </c>
      <c r="H947" s="157">
        <f t="shared" ref="H947:H953" si="137">G947*F947</f>
        <v>3801.6000000000004</v>
      </c>
      <c r="I947" s="128">
        <v>3.6000000000000003E-3</v>
      </c>
      <c r="J947" s="141">
        <f>E920*E923</f>
        <v>1056000</v>
      </c>
      <c r="K947" s="157">
        <f t="shared" ref="K947:K953" si="138">J947*I947</f>
        <v>3801.6000000000004</v>
      </c>
      <c r="L947" s="125">
        <f t="shared" si="132"/>
        <v>0</v>
      </c>
      <c r="M947" s="126">
        <f t="shared" ref="M947:M955" si="139">IF(ISERROR(L947/H947), "", L947/H947)</f>
        <v>0</v>
      </c>
    </row>
    <row r="948" spans="1:13" ht="25.5" x14ac:dyDescent="0.25">
      <c r="A948" s="100" t="str">
        <f t="shared" si="135"/>
        <v>GENERAL SERVICE 1,000 TO 4,999 KW SERVICE CLASSIFICATION</v>
      </c>
      <c r="C948" s="117"/>
      <c r="D948" s="156" t="s">
        <v>174</v>
      </c>
      <c r="E948" s="119"/>
      <c r="F948" s="127">
        <f>'[1]17. Regulatory Charges'!$D$16</f>
        <v>2.9999999999999997E-4</v>
      </c>
      <c r="G948" s="141">
        <f>E920*E922</f>
        <v>1056000</v>
      </c>
      <c r="H948" s="157">
        <f t="shared" si="137"/>
        <v>316.79999999999995</v>
      </c>
      <c r="I948" s="128">
        <v>2.9999999999999997E-4</v>
      </c>
      <c r="J948" s="141">
        <f>E920*E923</f>
        <v>1056000</v>
      </c>
      <c r="K948" s="157">
        <f t="shared" si="138"/>
        <v>316.79999999999995</v>
      </c>
      <c r="L948" s="125">
        <f t="shared" si="132"/>
        <v>0</v>
      </c>
      <c r="M948" s="126">
        <f t="shared" si="139"/>
        <v>0</v>
      </c>
    </row>
    <row r="949" spans="1:13" x14ac:dyDescent="0.25">
      <c r="A949" s="100" t="str">
        <f t="shared" si="135"/>
        <v>GENERAL SERVICE 1,000 TO 4,999 KW SERVICE CLASSIFICATION</v>
      </c>
      <c r="C949" s="117"/>
      <c r="D949" s="158" t="s">
        <v>175</v>
      </c>
      <c r="E949" s="119"/>
      <c r="F949" s="145">
        <v>0.25</v>
      </c>
      <c r="G949" s="121">
        <v>1</v>
      </c>
      <c r="H949" s="157">
        <f t="shared" si="137"/>
        <v>0.25</v>
      </c>
      <c r="I949" s="146">
        <v>0.25</v>
      </c>
      <c r="J949" s="124">
        <v>1</v>
      </c>
      <c r="K949" s="157">
        <f t="shared" si="138"/>
        <v>0.25</v>
      </c>
      <c r="L949" s="125">
        <f t="shared" si="132"/>
        <v>0</v>
      </c>
      <c r="M949" s="126">
        <f t="shared" si="139"/>
        <v>0</v>
      </c>
    </row>
    <row r="950" spans="1:13" ht="25.5" x14ac:dyDescent="0.25">
      <c r="A950" s="100" t="str">
        <f t="shared" si="135"/>
        <v>GENERAL SERVICE 1,000 TO 4,999 KW SERVICE CLASSIFICATION</v>
      </c>
      <c r="C950" s="117"/>
      <c r="D950" s="156" t="s">
        <v>176</v>
      </c>
      <c r="E950" s="119"/>
      <c r="F950" s="127"/>
      <c r="G950" s="141"/>
      <c r="H950" s="157"/>
      <c r="I950" s="128"/>
      <c r="J950" s="141"/>
      <c r="K950" s="157"/>
      <c r="L950" s="125"/>
      <c r="M950" s="126"/>
    </row>
    <row r="951" spans="1:13" hidden="1" x14ac:dyDescent="0.25">
      <c r="A951" s="100" t="str">
        <f t="shared" si="135"/>
        <v>GENERAL SERVICE 1,000 TO 4,999 KW SERVICE CLASSIFICATION</v>
      </c>
      <c r="B951" s="105" t="s">
        <v>117</v>
      </c>
      <c r="C951" s="117"/>
      <c r="D951" s="159" t="s">
        <v>177</v>
      </c>
      <c r="E951" s="119"/>
      <c r="F951" s="160">
        <f>OffPeak</f>
        <v>6.5000000000000002E-2</v>
      </c>
      <c r="G951" s="161">
        <f>IF(AND(E920*12&gt;=150000),0.65*E920*E922,0.65*E920)</f>
        <v>686400</v>
      </c>
      <c r="H951" s="157">
        <f t="shared" si="137"/>
        <v>44616</v>
      </c>
      <c r="I951" s="162">
        <v>6.5000000000000002E-2</v>
      </c>
      <c r="J951" s="161">
        <f>IF(AND(E920*12&gt;=150000),0.65*E920*E923,0.65*E920)</f>
        <v>686400</v>
      </c>
      <c r="K951" s="157">
        <f t="shared" si="138"/>
        <v>44616</v>
      </c>
      <c r="L951" s="125">
        <f>K951-H951</f>
        <v>0</v>
      </c>
      <c r="M951" s="126">
        <f t="shared" si="139"/>
        <v>0</v>
      </c>
    </row>
    <row r="952" spans="1:13" hidden="1" x14ac:dyDescent="0.25">
      <c r="A952" s="100" t="str">
        <f t="shared" si="135"/>
        <v>GENERAL SERVICE 1,000 TO 4,999 KW SERVICE CLASSIFICATION</v>
      </c>
      <c r="B952" s="105" t="s">
        <v>117</v>
      </c>
      <c r="C952" s="117"/>
      <c r="D952" s="159" t="s">
        <v>178</v>
      </c>
      <c r="E952" s="119"/>
      <c r="F952" s="160">
        <f>MidPeak</f>
        <v>9.4E-2</v>
      </c>
      <c r="G952" s="161">
        <f>IF(AND(E920*12&gt;=150000),0.17*E920*E922,0.17*E920)</f>
        <v>179520</v>
      </c>
      <c r="H952" s="157">
        <f t="shared" si="137"/>
        <v>16874.88</v>
      </c>
      <c r="I952" s="162">
        <v>9.4E-2</v>
      </c>
      <c r="J952" s="161">
        <f>IF(AND(E920*12&gt;=150000),0.17*E920*E923,0.17*E920)</f>
        <v>179520</v>
      </c>
      <c r="K952" s="157">
        <f t="shared" si="138"/>
        <v>16874.88</v>
      </c>
      <c r="L952" s="125">
        <f>K952-H952</f>
        <v>0</v>
      </c>
      <c r="M952" s="126">
        <f t="shared" si="139"/>
        <v>0</v>
      </c>
    </row>
    <row r="953" spans="1:13" hidden="1" x14ac:dyDescent="0.25">
      <c r="A953" s="100" t="str">
        <f t="shared" si="135"/>
        <v>GENERAL SERVICE 1,000 TO 4,999 KW SERVICE CLASSIFICATION</v>
      </c>
      <c r="B953" s="105" t="s">
        <v>117</v>
      </c>
      <c r="C953" s="117"/>
      <c r="D953" s="105" t="s">
        <v>179</v>
      </c>
      <c r="E953" s="119"/>
      <c r="F953" s="160">
        <f>OnPeak</f>
        <v>0.13200000000000001</v>
      </c>
      <c r="G953" s="161">
        <f>IF(AND(E920*12&gt;=150000),0.18*E920*E922,0.18*E920)</f>
        <v>190080</v>
      </c>
      <c r="H953" s="157">
        <f t="shared" si="137"/>
        <v>25090.560000000001</v>
      </c>
      <c r="I953" s="162">
        <v>0.13200000000000001</v>
      </c>
      <c r="J953" s="161">
        <f>IF(AND(E920*12&gt;=150000),0.18*E920*E923,0.18*E920)</f>
        <v>190080</v>
      </c>
      <c r="K953" s="157">
        <f t="shared" si="138"/>
        <v>25090.560000000001</v>
      </c>
      <c r="L953" s="125">
        <f>K953-H953</f>
        <v>0</v>
      </c>
      <c r="M953" s="126">
        <f t="shared" si="139"/>
        <v>0</v>
      </c>
    </row>
    <row r="954" spans="1:13" hidden="1" x14ac:dyDescent="0.25">
      <c r="A954" s="100" t="str">
        <f t="shared" si="135"/>
        <v>GENERAL SERVICE 1,000 TO 4,999 KW SERVICE CLASSIFICATION</v>
      </c>
      <c r="B954" s="100" t="s">
        <v>180</v>
      </c>
      <c r="C954" s="117"/>
      <c r="D954" s="159" t="s">
        <v>181</v>
      </c>
      <c r="E954" s="119"/>
      <c r="F954" s="163">
        <v>0.1101</v>
      </c>
      <c r="G954" s="161">
        <f>IF(AND(E920*12&gt;=150000),E920*E922,E920)</f>
        <v>1056000</v>
      </c>
      <c r="H954" s="157">
        <f>G954*F954</f>
        <v>116265.60000000001</v>
      </c>
      <c r="I954" s="164">
        <v>0.1101</v>
      </c>
      <c r="J954" s="161">
        <f>IF(AND(E920*12&gt;=150000),E920*E923,E920)</f>
        <v>1056000</v>
      </c>
      <c r="K954" s="157">
        <f>J954*I954</f>
        <v>116265.60000000001</v>
      </c>
      <c r="L954" s="125">
        <f>K954-H954</f>
        <v>0</v>
      </c>
      <c r="M954" s="126">
        <f t="shared" si="139"/>
        <v>0</v>
      </c>
    </row>
    <row r="955" spans="1:13" ht="15.75" thickBot="1" x14ac:dyDescent="0.3">
      <c r="A955" s="100" t="str">
        <f t="shared" si="135"/>
        <v>GENERAL SERVICE 1,000 TO 4,999 KW SERVICE CLASSIFICATION</v>
      </c>
      <c r="B955" s="100" t="s">
        <v>121</v>
      </c>
      <c r="C955" s="117"/>
      <c r="D955" s="159" t="s">
        <v>182</v>
      </c>
      <c r="E955" s="119"/>
      <c r="F955" s="163">
        <v>0.1101</v>
      </c>
      <c r="G955" s="161">
        <f>IF(AND(E920*12&gt;=150000),E920*E922,E920)</f>
        <v>1056000</v>
      </c>
      <c r="H955" s="157">
        <f>G955*F955</f>
        <v>116265.60000000001</v>
      </c>
      <c r="I955" s="164">
        <v>0.1101</v>
      </c>
      <c r="J955" s="161">
        <f>IF(AND(E920*12&gt;=150000),E920*E923,E920)</f>
        <v>1056000</v>
      </c>
      <c r="K955" s="157">
        <f>J955*I955</f>
        <v>116265.60000000001</v>
      </c>
      <c r="L955" s="125">
        <f>K955-H955</f>
        <v>0</v>
      </c>
      <c r="M955" s="126">
        <f t="shared" si="139"/>
        <v>0</v>
      </c>
    </row>
    <row r="956" spans="1:13" ht="15.75" thickBot="1" x14ac:dyDescent="0.3">
      <c r="A956" s="100" t="str">
        <f t="shared" si="135"/>
        <v>GENERAL SERVICE 1,000 TO 4,999 KW SERVICE CLASSIFICATION</v>
      </c>
      <c r="B956" s="105"/>
      <c r="C956" s="117"/>
      <c r="D956" s="165"/>
      <c r="E956" s="166"/>
      <c r="F956" s="167"/>
      <c r="G956" s="168"/>
      <c r="H956" s="169"/>
      <c r="I956" s="167"/>
      <c r="J956" s="170"/>
      <c r="K956" s="169"/>
      <c r="L956" s="171"/>
      <c r="M956" s="172"/>
    </row>
    <row r="957" spans="1:13" hidden="1" x14ac:dyDescent="0.25">
      <c r="A957" s="100" t="str">
        <f t="shared" si="135"/>
        <v>GENERAL SERVICE 1,000 TO 4,999 KW SERVICE CLASSIFICATION</v>
      </c>
      <c r="B957" s="105" t="s">
        <v>117</v>
      </c>
      <c r="C957" s="117"/>
      <c r="D957" s="173" t="s">
        <v>183</v>
      </c>
      <c r="E957" s="158"/>
      <c r="F957" s="174"/>
      <c r="G957" s="175"/>
      <c r="H957" s="176">
        <f>SUM(H947:H953,H946)</f>
        <v>106648.04</v>
      </c>
      <c r="I957" s="177"/>
      <c r="J957" s="177"/>
      <c r="K957" s="176">
        <f>SUM(K947:K953,K946)</f>
        <v>107910.525854333</v>
      </c>
      <c r="L957" s="178">
        <f>K957-H957</f>
        <v>1262.4858543330047</v>
      </c>
      <c r="M957" s="179">
        <f>IF((H957)=0,"",(L957/H957))</f>
        <v>1.183787207278263E-2</v>
      </c>
    </row>
    <row r="958" spans="1:13" hidden="1" x14ac:dyDescent="0.25">
      <c r="A958" s="100" t="str">
        <f t="shared" si="135"/>
        <v>GENERAL SERVICE 1,000 TO 4,999 KW SERVICE CLASSIFICATION</v>
      </c>
      <c r="B958" s="105" t="s">
        <v>117</v>
      </c>
      <c r="C958" s="117"/>
      <c r="D958" s="180" t="s">
        <v>184</v>
      </c>
      <c r="E958" s="158"/>
      <c r="F958" s="174">
        <v>0.13</v>
      </c>
      <c r="G958" s="181"/>
      <c r="H958" s="182">
        <f>H957*F958</f>
        <v>13864.245199999999</v>
      </c>
      <c r="I958" s="183">
        <v>0.13</v>
      </c>
      <c r="J958" s="121"/>
      <c r="K958" s="182">
        <f>K957*I958</f>
        <v>14028.368361063291</v>
      </c>
      <c r="L958" s="184">
        <f>K958-H958</f>
        <v>164.12316106329126</v>
      </c>
      <c r="M958" s="185">
        <f>IF((H958)=0,"",(L958/H958))</f>
        <v>1.1837872072782677E-2</v>
      </c>
    </row>
    <row r="959" spans="1:13" hidden="1" x14ac:dyDescent="0.25">
      <c r="A959" s="100" t="str">
        <f t="shared" si="135"/>
        <v>GENERAL SERVICE 1,000 TO 4,999 KW SERVICE CLASSIFICATION</v>
      </c>
      <c r="B959" s="105" t="s">
        <v>117</v>
      </c>
      <c r="C959" s="117"/>
      <c r="D959" s="180" t="s">
        <v>185</v>
      </c>
      <c r="E959" s="158"/>
      <c r="F959" s="174">
        <v>0.08</v>
      </c>
      <c r="G959" s="181"/>
      <c r="H959" s="182">
        <v>0</v>
      </c>
      <c r="I959" s="174">
        <v>0.08</v>
      </c>
      <c r="J959" s="121"/>
      <c r="K959" s="182">
        <v>0</v>
      </c>
      <c r="L959" s="184">
        <f>K959-H959</f>
        <v>0</v>
      </c>
      <c r="M959" s="185"/>
    </row>
    <row r="960" spans="1:13" ht="15.75" hidden="1" thickBot="1" x14ac:dyDescent="0.3">
      <c r="A960" s="100" t="str">
        <f t="shared" si="135"/>
        <v>GENERAL SERVICE 1,000 TO 4,999 KW SERVICE CLASSIFICATION</v>
      </c>
      <c r="B960" s="105" t="s">
        <v>186</v>
      </c>
      <c r="C960" s="117"/>
      <c r="D960" s="301" t="s">
        <v>187</v>
      </c>
      <c r="E960" s="301"/>
      <c r="F960" s="186"/>
      <c r="G960" s="187"/>
      <c r="H960" s="188">
        <f>H957+H958+H959</f>
        <v>120512.2852</v>
      </c>
      <c r="I960" s="189"/>
      <c r="J960" s="189"/>
      <c r="K960" s="190">
        <f>K957+K958+K959</f>
        <v>121938.89421539629</v>
      </c>
      <c r="L960" s="191">
        <f>K960-H960</f>
        <v>1426.6090153962868</v>
      </c>
      <c r="M960" s="192">
        <f>IF((H960)=0,"",(L960/H960))</f>
        <v>1.1837872072782559E-2</v>
      </c>
    </row>
    <row r="961" spans="1:13" ht="15.75" hidden="1" thickBot="1" x14ac:dyDescent="0.3">
      <c r="A961" s="100" t="str">
        <f t="shared" si="135"/>
        <v>GENERAL SERVICE 1,000 TO 4,999 KW SERVICE CLASSIFICATION</v>
      </c>
      <c r="B961" s="100" t="s">
        <v>117</v>
      </c>
      <c r="C961" s="117"/>
      <c r="D961" s="165"/>
      <c r="E961" s="166"/>
      <c r="F961" s="167"/>
      <c r="G961" s="168"/>
      <c r="H961" s="169"/>
      <c r="I961" s="167"/>
      <c r="J961" s="170"/>
      <c r="K961" s="169"/>
      <c r="L961" s="171"/>
      <c r="M961" s="172"/>
    </row>
    <row r="962" spans="1:13" hidden="1" x14ac:dyDescent="0.25">
      <c r="A962" s="100" t="str">
        <f t="shared" si="135"/>
        <v>GENERAL SERVICE 1,000 TO 4,999 KW SERVICE CLASSIFICATION</v>
      </c>
      <c r="B962" s="100" t="s">
        <v>180</v>
      </c>
      <c r="C962" s="117"/>
      <c r="D962" s="173" t="s">
        <v>188</v>
      </c>
      <c r="E962" s="158"/>
      <c r="F962" s="174"/>
      <c r="G962" s="175"/>
      <c r="H962" s="176">
        <f>SUM(H954,H947:H950,H946)</f>
        <v>136332.20000000001</v>
      </c>
      <c r="I962" s="177"/>
      <c r="J962" s="177"/>
      <c r="K962" s="176">
        <f>SUM(K954,K947:K950,K946)</f>
        <v>137594.68585433302</v>
      </c>
      <c r="L962" s="178">
        <f>K962-H962</f>
        <v>1262.4858543330047</v>
      </c>
      <c r="M962" s="179">
        <f>IF((H962)=0,"",(L962/H962))</f>
        <v>9.2603644211199151E-3</v>
      </c>
    </row>
    <row r="963" spans="1:13" hidden="1" x14ac:dyDescent="0.25">
      <c r="A963" s="100" t="str">
        <f t="shared" si="135"/>
        <v>GENERAL SERVICE 1,000 TO 4,999 KW SERVICE CLASSIFICATION</v>
      </c>
      <c r="B963" s="100" t="s">
        <v>180</v>
      </c>
      <c r="C963" s="117"/>
      <c r="D963" s="180" t="s">
        <v>184</v>
      </c>
      <c r="E963" s="158"/>
      <c r="F963" s="174">
        <v>0.13</v>
      </c>
      <c r="G963" s="175"/>
      <c r="H963" s="182">
        <f>H962*F963</f>
        <v>17723.186000000002</v>
      </c>
      <c r="I963" s="174">
        <v>0.13</v>
      </c>
      <c r="J963" s="183"/>
      <c r="K963" s="182">
        <f>K962*I963</f>
        <v>17887.309161063291</v>
      </c>
      <c r="L963" s="184">
        <f>K963-H963</f>
        <v>164.12316106328944</v>
      </c>
      <c r="M963" s="185">
        <f>IF((H963)=0,"",(L963/H963))</f>
        <v>9.2603644211198509E-3</v>
      </c>
    </row>
    <row r="964" spans="1:13" hidden="1" x14ac:dyDescent="0.25">
      <c r="A964" s="100" t="str">
        <f t="shared" si="135"/>
        <v>GENERAL SERVICE 1,000 TO 4,999 KW SERVICE CLASSIFICATION</v>
      </c>
      <c r="B964" s="100" t="s">
        <v>180</v>
      </c>
      <c r="C964" s="117"/>
      <c r="D964" s="180" t="s">
        <v>185</v>
      </c>
      <c r="E964" s="158"/>
      <c r="F964" s="174">
        <v>0.08</v>
      </c>
      <c r="G964" s="175"/>
      <c r="H964" s="182">
        <v>0</v>
      </c>
      <c r="I964" s="174">
        <v>0.08</v>
      </c>
      <c r="J964" s="183"/>
      <c r="K964" s="182">
        <v>0</v>
      </c>
      <c r="L964" s="184"/>
      <c r="M964" s="185"/>
    </row>
    <row r="965" spans="1:13" ht="15.75" hidden="1" thickBot="1" x14ac:dyDescent="0.3">
      <c r="A965" s="100" t="str">
        <f t="shared" si="135"/>
        <v>GENERAL SERVICE 1,000 TO 4,999 KW SERVICE CLASSIFICATION</v>
      </c>
      <c r="B965" s="100" t="s">
        <v>189</v>
      </c>
      <c r="C965" s="117"/>
      <c r="D965" s="301" t="s">
        <v>188</v>
      </c>
      <c r="E965" s="301"/>
      <c r="F965" s="193"/>
      <c r="G965" s="194"/>
      <c r="H965" s="188">
        <f>SUM(H962,H963)</f>
        <v>154055.386</v>
      </c>
      <c r="I965" s="195"/>
      <c r="J965" s="195"/>
      <c r="K965" s="188">
        <f>SUM(K962,K963)</f>
        <v>155481.9950153963</v>
      </c>
      <c r="L965" s="196">
        <f>K965-H965</f>
        <v>1426.6090153963014</v>
      </c>
      <c r="M965" s="197">
        <f>IF((H965)=0,"",(L965/H965))</f>
        <v>9.2603644211199567E-3</v>
      </c>
    </row>
    <row r="966" spans="1:13" ht="15.75" hidden="1" thickBot="1" x14ac:dyDescent="0.3">
      <c r="A966" s="100" t="str">
        <f t="shared" si="135"/>
        <v>GENERAL SERVICE 1,000 TO 4,999 KW SERVICE CLASSIFICATION</v>
      </c>
      <c r="B966" s="100" t="s">
        <v>180</v>
      </c>
      <c r="C966" s="117"/>
      <c r="D966" s="165"/>
      <c r="E966" s="166"/>
      <c r="F966" s="198"/>
      <c r="G966" s="199"/>
      <c r="H966" s="200"/>
      <c r="I966" s="198"/>
      <c r="J966" s="168"/>
      <c r="K966" s="200"/>
      <c r="L966" s="201"/>
      <c r="M966" s="172"/>
    </row>
    <row r="967" spans="1:13" x14ac:dyDescent="0.25">
      <c r="A967" s="100" t="str">
        <f t="shared" si="135"/>
        <v>GENERAL SERVICE 1,000 TO 4,999 KW SERVICE CLASSIFICATION</v>
      </c>
      <c r="B967" s="100" t="s">
        <v>121</v>
      </c>
      <c r="C967" s="117"/>
      <c r="D967" s="173" t="s">
        <v>190</v>
      </c>
      <c r="E967" s="158"/>
      <c r="F967" s="174"/>
      <c r="G967" s="175"/>
      <c r="H967" s="176">
        <f>SUM(H955,H947:H950,H946)</f>
        <v>136332.20000000001</v>
      </c>
      <c r="I967" s="177"/>
      <c r="J967" s="177"/>
      <c r="K967" s="176">
        <f>SUM(K955,K947:K950,K946)</f>
        <v>137594.68585433302</v>
      </c>
      <c r="L967" s="178">
        <f>K967-H967</f>
        <v>1262.4858543330047</v>
      </c>
      <c r="M967" s="179">
        <f>IF((H967)=0,"",(L967/H967))</f>
        <v>9.2603644211199151E-3</v>
      </c>
    </row>
    <row r="968" spans="1:13" x14ac:dyDescent="0.25">
      <c r="A968" s="100" t="str">
        <f t="shared" si="135"/>
        <v>GENERAL SERVICE 1,000 TO 4,999 KW SERVICE CLASSIFICATION</v>
      </c>
      <c r="B968" s="100" t="s">
        <v>121</v>
      </c>
      <c r="C968" s="117"/>
      <c r="D968" s="180" t="s">
        <v>184</v>
      </c>
      <c r="E968" s="158"/>
      <c r="F968" s="174">
        <v>0.13</v>
      </c>
      <c r="G968" s="175"/>
      <c r="H968" s="182">
        <f>H967*F968</f>
        <v>17723.186000000002</v>
      </c>
      <c r="I968" s="174">
        <v>0.13</v>
      </c>
      <c r="J968" s="183"/>
      <c r="K968" s="182">
        <f>K967*I968</f>
        <v>17887.309161063291</v>
      </c>
      <c r="L968" s="184">
        <f>K968-H968</f>
        <v>164.12316106328944</v>
      </c>
      <c r="M968" s="185">
        <f>IF((H968)=0,"",(L968/H968))</f>
        <v>9.2603644211198509E-3</v>
      </c>
    </row>
    <row r="969" spans="1:13" x14ac:dyDescent="0.25">
      <c r="A969" s="100" t="str">
        <f t="shared" si="135"/>
        <v>GENERAL SERVICE 1,000 TO 4,999 KW SERVICE CLASSIFICATION</v>
      </c>
      <c r="B969" s="100" t="s">
        <v>121</v>
      </c>
      <c r="C969" s="117"/>
      <c r="D969" s="180" t="s">
        <v>185</v>
      </c>
      <c r="E969" s="158"/>
      <c r="F969" s="174">
        <v>0.08</v>
      </c>
      <c r="G969" s="175"/>
      <c r="H969" s="182">
        <v>0</v>
      </c>
      <c r="I969" s="174">
        <v>0.08</v>
      </c>
      <c r="J969" s="183"/>
      <c r="K969" s="182">
        <v>0</v>
      </c>
      <c r="L969" s="184"/>
      <c r="M969" s="185"/>
    </row>
    <row r="970" spans="1:13" ht="15.75" thickBot="1" x14ac:dyDescent="0.3">
      <c r="A970" s="100" t="str">
        <f t="shared" si="135"/>
        <v>GENERAL SERVICE 1,000 TO 4,999 KW SERVICE CLASSIFICATION</v>
      </c>
      <c r="B970" s="100" t="s">
        <v>191</v>
      </c>
      <c r="C970" s="117">
        <f>B45</f>
        <v>16</v>
      </c>
      <c r="D970" s="301" t="s">
        <v>190</v>
      </c>
      <c r="E970" s="301"/>
      <c r="F970" s="193"/>
      <c r="G970" s="194"/>
      <c r="H970" s="188">
        <f>SUM(H967,H968)</f>
        <v>154055.386</v>
      </c>
      <c r="I970" s="195"/>
      <c r="J970" s="195"/>
      <c r="K970" s="188">
        <f>SUM(K967,K968)</f>
        <v>155481.9950153963</v>
      </c>
      <c r="L970" s="196">
        <f>K970-H970</f>
        <v>1426.6090153963014</v>
      </c>
      <c r="M970" s="197">
        <f>IF((H970)=0,"",(L970/H970))</f>
        <v>9.2603644211199567E-3</v>
      </c>
    </row>
    <row r="971" spans="1:13" ht="15.75" thickBot="1" x14ac:dyDescent="0.3">
      <c r="A971" s="100" t="str">
        <f t="shared" si="135"/>
        <v>GENERAL SERVICE 1,000 TO 4,999 KW SERVICE CLASSIFICATION</v>
      </c>
      <c r="B971" s="100" t="s">
        <v>121</v>
      </c>
      <c r="C971" s="117"/>
      <c r="D971" s="165"/>
      <c r="E971" s="166"/>
      <c r="F971" s="202"/>
      <c r="G971" s="203"/>
      <c r="H971" s="204"/>
      <c r="I971" s="202"/>
      <c r="J971" s="205"/>
      <c r="K971" s="204"/>
      <c r="L971" s="206"/>
      <c r="M971" s="207"/>
    </row>
    <row r="974" spans="1:13" x14ac:dyDescent="0.25">
      <c r="C974" s="100"/>
      <c r="D974" s="101" t="s">
        <v>134</v>
      </c>
      <c r="E974" s="302" t="str">
        <f>D46</f>
        <v>GENERAL SERVICE 1,000 TO 4,999 KW SERVICE CLASSIFICATION</v>
      </c>
      <c r="F974" s="302"/>
      <c r="G974" s="302"/>
      <c r="H974" s="302"/>
      <c r="I974" s="302"/>
      <c r="J974" s="302"/>
      <c r="K974" s="100" t="str">
        <f>IF(N46="DEMAND - INTERVAL","RTSR - INTERVAL METERED","")</f>
        <v/>
      </c>
    </row>
    <row r="975" spans="1:13" x14ac:dyDescent="0.25">
      <c r="C975" s="100"/>
      <c r="D975" s="101" t="s">
        <v>135</v>
      </c>
      <c r="E975" s="303" t="str">
        <f>H46</f>
        <v>Non-RPP (Other)</v>
      </c>
      <c r="F975" s="303"/>
      <c r="G975" s="303"/>
      <c r="H975" s="102"/>
      <c r="I975" s="102"/>
    </row>
    <row r="976" spans="1:13" ht="15.75" x14ac:dyDescent="0.25">
      <c r="C976" s="100"/>
      <c r="D976" s="101" t="s">
        <v>136</v>
      </c>
      <c r="E976" s="103">
        <f>K46</f>
        <v>3000000</v>
      </c>
      <c r="F976" s="104" t="s">
        <v>137</v>
      </c>
      <c r="G976" s="105"/>
      <c r="J976" s="106"/>
      <c r="K976" s="106"/>
      <c r="L976" s="106"/>
      <c r="M976" s="106"/>
    </row>
    <row r="977" spans="1:13" ht="15.75" x14ac:dyDescent="0.25">
      <c r="C977" s="100"/>
      <c r="D977" s="101" t="s">
        <v>138</v>
      </c>
      <c r="E977" s="103">
        <f>L46</f>
        <v>4000</v>
      </c>
      <c r="F977" s="107" t="s">
        <v>139</v>
      </c>
      <c r="G977" s="108"/>
      <c r="H977" s="109"/>
      <c r="I977" s="109"/>
      <c r="J977" s="109"/>
    </row>
    <row r="978" spans="1:13" x14ac:dyDescent="0.25">
      <c r="C978" s="100"/>
      <c r="D978" s="101" t="s">
        <v>140</v>
      </c>
      <c r="E978" s="110">
        <f>I46</f>
        <v>1.056</v>
      </c>
    </row>
    <row r="979" spans="1:13" x14ac:dyDescent="0.25">
      <c r="C979" s="100"/>
      <c r="D979" s="101" t="s">
        <v>141</v>
      </c>
      <c r="E979" s="110">
        <f>J46</f>
        <v>1.056</v>
      </c>
    </row>
    <row r="980" spans="1:13" x14ac:dyDescent="0.25">
      <c r="C980" s="100"/>
      <c r="D980" s="105"/>
    </row>
    <row r="981" spans="1:13" x14ac:dyDescent="0.25">
      <c r="C981" s="100"/>
      <c r="D981" s="105"/>
      <c r="E981" s="111"/>
      <c r="F981" s="304" t="s">
        <v>142</v>
      </c>
      <c r="G981" s="305"/>
      <c r="H981" s="306"/>
      <c r="I981" s="304" t="s">
        <v>143</v>
      </c>
      <c r="J981" s="305"/>
      <c r="K981" s="306"/>
      <c r="L981" s="304" t="s">
        <v>144</v>
      </c>
      <c r="M981" s="306"/>
    </row>
    <row r="982" spans="1:13" x14ac:dyDescent="0.25">
      <c r="C982" s="100"/>
      <c r="D982" s="105"/>
      <c r="E982" s="295"/>
      <c r="F982" s="112" t="s">
        <v>145</v>
      </c>
      <c r="G982" s="112" t="s">
        <v>146</v>
      </c>
      <c r="H982" s="113" t="s">
        <v>147</v>
      </c>
      <c r="I982" s="112" t="s">
        <v>145</v>
      </c>
      <c r="J982" s="114" t="s">
        <v>146</v>
      </c>
      <c r="K982" s="113" t="s">
        <v>147</v>
      </c>
      <c r="L982" s="297" t="s">
        <v>148</v>
      </c>
      <c r="M982" s="299" t="s">
        <v>149</v>
      </c>
    </row>
    <row r="983" spans="1:13" x14ac:dyDescent="0.25">
      <c r="C983" s="100"/>
      <c r="D983" s="105"/>
      <c r="E983" s="296"/>
      <c r="F983" s="115" t="s">
        <v>150</v>
      </c>
      <c r="G983" s="115"/>
      <c r="H983" s="116" t="s">
        <v>150</v>
      </c>
      <c r="I983" s="115" t="s">
        <v>150</v>
      </c>
      <c r="J983" s="116"/>
      <c r="K983" s="116" t="s">
        <v>150</v>
      </c>
      <c r="L983" s="298"/>
      <c r="M983" s="300"/>
    </row>
    <row r="984" spans="1:13" x14ac:dyDescent="0.25">
      <c r="A984" s="100" t="str">
        <f>$E974</f>
        <v>GENERAL SERVICE 1,000 TO 4,999 KW SERVICE CLASSIFICATION</v>
      </c>
      <c r="C984" s="117"/>
      <c r="D984" s="118" t="s">
        <v>151</v>
      </c>
      <c r="E984" s="119"/>
      <c r="F984" s="120">
        <v>185.55</v>
      </c>
      <c r="G984" s="121">
        <v>1</v>
      </c>
      <c r="H984" s="122">
        <f>G984*F984</f>
        <v>185.55</v>
      </c>
      <c r="I984" s="123">
        <v>185.55</v>
      </c>
      <c r="J984" s="124">
        <f>G984</f>
        <v>1</v>
      </c>
      <c r="K984" s="122">
        <f>J984*I984</f>
        <v>185.55</v>
      </c>
      <c r="L984" s="125">
        <f t="shared" ref="L984:L1005" si="140">K984-H984</f>
        <v>0</v>
      </c>
      <c r="M984" s="126">
        <f>IF(ISERROR(L984/H984), "", L984/H984)</f>
        <v>0</v>
      </c>
    </row>
    <row r="985" spans="1:13" x14ac:dyDescent="0.25">
      <c r="A985" s="100" t="str">
        <f>A984</f>
        <v>GENERAL SERVICE 1,000 TO 4,999 KW SERVICE CLASSIFICATION</v>
      </c>
      <c r="C985" s="117"/>
      <c r="D985" s="118" t="s">
        <v>152</v>
      </c>
      <c r="E985" s="119"/>
      <c r="F985" s="127">
        <v>3.4704999999999999</v>
      </c>
      <c r="G985" s="121">
        <f>IF($E977&gt;0, $E977, $E976)</f>
        <v>4000</v>
      </c>
      <c r="H985" s="122">
        <f t="shared" ref="H985:H997" si="141">G985*F985</f>
        <v>13882</v>
      </c>
      <c r="I985" s="128">
        <v>3.4704999999999999</v>
      </c>
      <c r="J985" s="124">
        <f>IF($E977&gt;0, $E977, $E976)</f>
        <v>4000</v>
      </c>
      <c r="K985" s="122">
        <f>J985*I985</f>
        <v>13882</v>
      </c>
      <c r="L985" s="125">
        <f t="shared" si="140"/>
        <v>0</v>
      </c>
      <c r="M985" s="126">
        <f t="shared" ref="M985:M995" si="142">IF(ISERROR(L985/H985), "", L985/H985)</f>
        <v>0</v>
      </c>
    </row>
    <row r="986" spans="1:13" x14ac:dyDescent="0.25">
      <c r="A986" s="100" t="str">
        <f t="shared" ref="A986:A1027" si="143">A985</f>
        <v>GENERAL SERVICE 1,000 TO 4,999 KW SERVICE CLASSIFICATION</v>
      </c>
      <c r="C986" s="117"/>
      <c r="D986" s="118" t="s">
        <v>153</v>
      </c>
      <c r="E986" s="119"/>
      <c r="F986" s="127"/>
      <c r="G986" s="121">
        <f>IF($E977&gt;0, $E977, $E976)</f>
        <v>4000</v>
      </c>
      <c r="H986" s="122">
        <v>0</v>
      </c>
      <c r="I986" s="128"/>
      <c r="J986" s="124">
        <f>IF($E977&gt;0, $E977, $E976)</f>
        <v>4000</v>
      </c>
      <c r="K986" s="122">
        <v>0</v>
      </c>
      <c r="L986" s="125"/>
      <c r="M986" s="126"/>
    </row>
    <row r="987" spans="1:13" x14ac:dyDescent="0.25">
      <c r="A987" s="100" t="str">
        <f t="shared" si="143"/>
        <v>GENERAL SERVICE 1,000 TO 4,999 KW SERVICE CLASSIFICATION</v>
      </c>
      <c r="C987" s="117"/>
      <c r="D987" s="118" t="s">
        <v>154</v>
      </c>
      <c r="E987" s="119"/>
      <c r="F987" s="127"/>
      <c r="G987" s="121">
        <f>IF($E977&gt;0, $E977, $E976)</f>
        <v>4000</v>
      </c>
      <c r="H987" s="122">
        <v>0</v>
      </c>
      <c r="I987" s="128"/>
      <c r="J987" s="121">
        <f>IF($E977&gt;0, $E977, $E976)</f>
        <v>4000</v>
      </c>
      <c r="K987" s="122">
        <v>0</v>
      </c>
      <c r="L987" s="125">
        <f>K987-H987</f>
        <v>0</v>
      </c>
      <c r="M987" s="126" t="str">
        <f>IF(ISERROR(L987/H987), "", L987/H987)</f>
        <v/>
      </c>
    </row>
    <row r="988" spans="1:13" x14ac:dyDescent="0.25">
      <c r="A988" s="100" t="str">
        <f t="shared" si="143"/>
        <v>GENERAL SERVICE 1,000 TO 4,999 KW SERVICE CLASSIFICATION</v>
      </c>
      <c r="C988" s="117"/>
      <c r="D988" s="129" t="s">
        <v>155</v>
      </c>
      <c r="E988" s="119"/>
      <c r="F988" s="120">
        <v>0</v>
      </c>
      <c r="G988" s="121">
        <v>1</v>
      </c>
      <c r="H988" s="122">
        <f t="shared" si="141"/>
        <v>0</v>
      </c>
      <c r="I988" s="226">
        <f>'Rate Riders'!O11</f>
        <v>32.87063870617456</v>
      </c>
      <c r="J988" s="124">
        <f>G988</f>
        <v>1</v>
      </c>
      <c r="K988" s="122">
        <f t="shared" ref="K988:K995" si="144">J988*I988</f>
        <v>32.87063870617456</v>
      </c>
      <c r="L988" s="125">
        <f t="shared" si="140"/>
        <v>32.87063870617456</v>
      </c>
      <c r="M988" s="126" t="str">
        <f t="shared" si="142"/>
        <v/>
      </c>
    </row>
    <row r="989" spans="1:13" x14ac:dyDescent="0.25">
      <c r="A989" s="100" t="str">
        <f t="shared" si="143"/>
        <v>GENERAL SERVICE 1,000 TO 4,999 KW SERVICE CLASSIFICATION</v>
      </c>
      <c r="C989" s="117"/>
      <c r="D989" s="118" t="s">
        <v>156</v>
      </c>
      <c r="E989" s="119"/>
      <c r="F989" s="127">
        <v>0</v>
      </c>
      <c r="G989" s="121">
        <f>IF($E977&gt;0, $E977, $E976)</f>
        <v>4000</v>
      </c>
      <c r="H989" s="122">
        <f t="shared" si="141"/>
        <v>0</v>
      </c>
      <c r="I989" s="227">
        <f>'Rate Riders'!Q11</f>
        <v>0.61480760781341304</v>
      </c>
      <c r="J989" s="124">
        <f>IF($E977&gt;0, $E977, $E976)</f>
        <v>4000</v>
      </c>
      <c r="K989" s="122">
        <f t="shared" si="144"/>
        <v>2459.2304312536521</v>
      </c>
      <c r="L989" s="125">
        <f t="shared" si="140"/>
        <v>2459.2304312536521</v>
      </c>
      <c r="M989" s="126" t="str">
        <f t="shared" si="142"/>
        <v/>
      </c>
    </row>
    <row r="990" spans="1:13" x14ac:dyDescent="0.25">
      <c r="A990" s="100" t="str">
        <f t="shared" si="143"/>
        <v>GENERAL SERVICE 1,000 TO 4,999 KW SERVICE CLASSIFICATION</v>
      </c>
      <c r="B990" s="130" t="s">
        <v>157</v>
      </c>
      <c r="C990" s="117">
        <f>B46</f>
        <v>17</v>
      </c>
      <c r="D990" s="131" t="s">
        <v>158</v>
      </c>
      <c r="E990" s="132"/>
      <c r="F990" s="133"/>
      <c r="G990" s="134"/>
      <c r="H990" s="135">
        <f>SUM(H984:H989)</f>
        <v>14067.55</v>
      </c>
      <c r="I990" s="136"/>
      <c r="J990" s="137"/>
      <c r="K990" s="135">
        <f>SUM(K984:K989)</f>
        <v>16559.651069959826</v>
      </c>
      <c r="L990" s="138">
        <f t="shared" si="140"/>
        <v>2492.1010699598264</v>
      </c>
      <c r="M990" s="139">
        <f>IF((H990)=0,"",(L990/H990))</f>
        <v>0.17715245866976315</v>
      </c>
    </row>
    <row r="991" spans="1:13" x14ac:dyDescent="0.25">
      <c r="A991" s="100" t="str">
        <f t="shared" si="143"/>
        <v>GENERAL SERVICE 1,000 TO 4,999 KW SERVICE CLASSIFICATION</v>
      </c>
      <c r="C991" s="117"/>
      <c r="D991" s="140" t="s">
        <v>159</v>
      </c>
      <c r="E991" s="119"/>
      <c r="F991" s="127">
        <f>IF((E976*12&gt;=150000), 0, IF(E975="RPP",(F1007*0.65+F1008*0.17+F1009*0.18),IF(E975="Non-RPP (Retailer)",F1010,F1011)))</f>
        <v>0</v>
      </c>
      <c r="G991" s="141">
        <f>IF(F991=0, 0, $E976*E978-E976)</f>
        <v>0</v>
      </c>
      <c r="H991" s="122">
        <f>G991*F991</f>
        <v>0</v>
      </c>
      <c r="I991" s="128">
        <v>0</v>
      </c>
      <c r="J991" s="141">
        <f>IF(I991=0, 0, E976*E979-E976)</f>
        <v>0</v>
      </c>
      <c r="K991" s="122">
        <f>J991*I991</f>
        <v>0</v>
      </c>
      <c r="L991" s="125">
        <f>K991-H991</f>
        <v>0</v>
      </c>
      <c r="M991" s="126" t="str">
        <f>IF(ISERROR(L991/H991), "", L991/H991)</f>
        <v/>
      </c>
    </row>
    <row r="992" spans="1:13" ht="25.5" x14ac:dyDescent="0.25">
      <c r="A992" s="100" t="str">
        <f t="shared" si="143"/>
        <v>GENERAL SERVICE 1,000 TO 4,999 KW SERVICE CLASSIFICATION</v>
      </c>
      <c r="C992" s="117"/>
      <c r="D992" s="140" t="s">
        <v>160</v>
      </c>
      <c r="E992" s="119"/>
      <c r="F992" s="127">
        <v>-0.93979999999999997</v>
      </c>
      <c r="G992" s="142">
        <f>IF($E977&gt;0, $E977, $E976)</f>
        <v>4000</v>
      </c>
      <c r="H992" s="122">
        <f t="shared" si="141"/>
        <v>-3759.2</v>
      </c>
      <c r="I992" s="128">
        <v>-0.93979999999999997</v>
      </c>
      <c r="J992" s="142">
        <f>IF($E977&gt;0, $E977, $E976)</f>
        <v>4000</v>
      </c>
      <c r="K992" s="122">
        <f t="shared" si="144"/>
        <v>-3759.2</v>
      </c>
      <c r="L992" s="125">
        <f t="shared" si="140"/>
        <v>0</v>
      </c>
      <c r="M992" s="126">
        <f t="shared" si="142"/>
        <v>0</v>
      </c>
    </row>
    <row r="993" spans="1:13" x14ac:dyDescent="0.25">
      <c r="A993" s="100" t="str">
        <f t="shared" si="143"/>
        <v>GENERAL SERVICE 1,000 TO 4,999 KW SERVICE CLASSIFICATION</v>
      </c>
      <c r="C993" s="117"/>
      <c r="D993" s="140" t="s">
        <v>161</v>
      </c>
      <c r="E993" s="119"/>
      <c r="F993" s="127">
        <v>-3.4099999999999998E-2</v>
      </c>
      <c r="G993" s="142">
        <f>IF($E977&gt;0, $E977, $E976)</f>
        <v>4000</v>
      </c>
      <c r="H993" s="122">
        <f>G993*F993</f>
        <v>-136.4</v>
      </c>
      <c r="I993" s="128">
        <v>-3.4099999999999998E-2</v>
      </c>
      <c r="J993" s="142">
        <f>IF($E977&gt;0, $E977, $E976)</f>
        <v>4000</v>
      </c>
      <c r="K993" s="122">
        <f>J993*I993</f>
        <v>-136.4</v>
      </c>
      <c r="L993" s="125">
        <f t="shared" si="140"/>
        <v>0</v>
      </c>
      <c r="M993" s="126">
        <f t="shared" si="142"/>
        <v>0</v>
      </c>
    </row>
    <row r="994" spans="1:13" x14ac:dyDescent="0.25">
      <c r="A994" s="100" t="str">
        <f t="shared" si="143"/>
        <v>GENERAL SERVICE 1,000 TO 4,999 KW SERVICE CLASSIFICATION</v>
      </c>
      <c r="C994" s="117"/>
      <c r="D994" s="140" t="s">
        <v>162</v>
      </c>
      <c r="E994" s="119"/>
      <c r="F994" s="127">
        <v>-1E-3</v>
      </c>
      <c r="G994" s="142">
        <f>E976</f>
        <v>3000000</v>
      </c>
      <c r="H994" s="122">
        <f>G994*F994</f>
        <v>-3000</v>
      </c>
      <c r="I994" s="128">
        <v>-1E-3</v>
      </c>
      <c r="J994" s="142">
        <f>E976</f>
        <v>3000000</v>
      </c>
      <c r="K994" s="122">
        <f t="shared" si="144"/>
        <v>-3000</v>
      </c>
      <c r="L994" s="125">
        <f t="shared" si="140"/>
        <v>0</v>
      </c>
      <c r="M994" s="126">
        <f t="shared" si="142"/>
        <v>0</v>
      </c>
    </row>
    <row r="995" spans="1:13" x14ac:dyDescent="0.25">
      <c r="A995" s="100" t="str">
        <f t="shared" si="143"/>
        <v>GENERAL SERVICE 1,000 TO 4,999 KW SERVICE CLASSIFICATION</v>
      </c>
      <c r="C995" s="117"/>
      <c r="D995" s="143" t="s">
        <v>163</v>
      </c>
      <c r="E995" s="119"/>
      <c r="F995" s="127">
        <v>1.0483</v>
      </c>
      <c r="G995" s="142">
        <f>IF($E977&gt;0, $E977, $E976)</f>
        <v>4000</v>
      </c>
      <c r="H995" s="122">
        <f t="shared" si="141"/>
        <v>4193.2</v>
      </c>
      <c r="I995" s="128">
        <v>1.0483</v>
      </c>
      <c r="J995" s="142">
        <f>IF($E977&gt;0, $E977, $E976)</f>
        <v>4000</v>
      </c>
      <c r="K995" s="122">
        <f t="shared" si="144"/>
        <v>4193.2</v>
      </c>
      <c r="L995" s="125">
        <f t="shared" si="140"/>
        <v>0</v>
      </c>
      <c r="M995" s="126">
        <f t="shared" si="142"/>
        <v>0</v>
      </c>
    </row>
    <row r="996" spans="1:13" ht="25.5" x14ac:dyDescent="0.25">
      <c r="A996" s="100" t="str">
        <f t="shared" si="143"/>
        <v>GENERAL SERVICE 1,000 TO 4,999 KW SERVICE CLASSIFICATION</v>
      </c>
      <c r="C996" s="117"/>
      <c r="D996" s="144" t="s">
        <v>164</v>
      </c>
      <c r="E996" s="119"/>
      <c r="F996" s="145">
        <f>IF(OR(ISNUMBER(SEARCH("RESIDENTIAL", E974))=TRUE, ISNUMBER(SEARCH("GENERAL SERVICE LESS THAN 50", E974))=TRUE), SME, 0)</f>
        <v>0</v>
      </c>
      <c r="G996" s="121">
        <v>1</v>
      </c>
      <c r="H996" s="122">
        <f>G996*F996</f>
        <v>0</v>
      </c>
      <c r="I996" s="146">
        <v>0</v>
      </c>
      <c r="J996" s="121">
        <v>1</v>
      </c>
      <c r="K996" s="122">
        <f>J996*I996</f>
        <v>0</v>
      </c>
      <c r="L996" s="125">
        <f t="shared" si="140"/>
        <v>0</v>
      </c>
      <c r="M996" s="126" t="str">
        <f>IF(ISERROR(L996/H996), "", L996/H996)</f>
        <v/>
      </c>
    </row>
    <row r="997" spans="1:13" x14ac:dyDescent="0.25">
      <c r="A997" s="100" t="str">
        <f t="shared" si="143"/>
        <v>GENERAL SERVICE 1,000 TO 4,999 KW SERVICE CLASSIFICATION</v>
      </c>
      <c r="C997" s="117"/>
      <c r="D997" s="143" t="s">
        <v>165</v>
      </c>
      <c r="E997" s="119"/>
      <c r="F997" s="120">
        <v>0</v>
      </c>
      <c r="G997" s="121">
        <v>1</v>
      </c>
      <c r="H997" s="122">
        <f t="shared" si="141"/>
        <v>0</v>
      </c>
      <c r="I997" s="123">
        <v>0</v>
      </c>
      <c r="J997" s="121">
        <v>1</v>
      </c>
      <c r="K997" s="122">
        <f>J997*I997</f>
        <v>0</v>
      </c>
      <c r="L997" s="125">
        <f>K997-H997</f>
        <v>0</v>
      </c>
      <c r="M997" s="126" t="str">
        <f>IF(ISERROR(L997/H997), "", L997/H997)</f>
        <v/>
      </c>
    </row>
    <row r="998" spans="1:13" x14ac:dyDescent="0.25">
      <c r="A998" s="100" t="str">
        <f t="shared" si="143"/>
        <v>GENERAL SERVICE 1,000 TO 4,999 KW SERVICE CLASSIFICATION</v>
      </c>
      <c r="C998" s="117"/>
      <c r="D998" s="143" t="s">
        <v>166</v>
      </c>
      <c r="E998" s="119"/>
      <c r="F998" s="127"/>
      <c r="G998" s="142">
        <f>IF($E977&gt;0, $E977, $E976)</f>
        <v>4000</v>
      </c>
      <c r="H998" s="122">
        <f>G998*F998</f>
        <v>0</v>
      </c>
      <c r="I998" s="128"/>
      <c r="J998" s="142">
        <f>IF($E977&gt;0, $E977, $E976)</f>
        <v>4000</v>
      </c>
      <c r="K998" s="122">
        <f>J998*I998</f>
        <v>0</v>
      </c>
      <c r="L998" s="125">
        <f t="shared" si="140"/>
        <v>0</v>
      </c>
      <c r="M998" s="126" t="str">
        <f>IF(ISERROR(L998/H998), "", L998/H998)</f>
        <v/>
      </c>
    </row>
    <row r="999" spans="1:13" ht="25.5" x14ac:dyDescent="0.25">
      <c r="A999" s="100" t="str">
        <f t="shared" si="143"/>
        <v>GENERAL SERVICE 1,000 TO 4,999 KW SERVICE CLASSIFICATION</v>
      </c>
      <c r="B999" s="105" t="s">
        <v>167</v>
      </c>
      <c r="C999" s="117">
        <f>B46</f>
        <v>17</v>
      </c>
      <c r="D999" s="147" t="s">
        <v>168</v>
      </c>
      <c r="E999" s="148"/>
      <c r="F999" s="149"/>
      <c r="G999" s="150"/>
      <c r="H999" s="151">
        <f>SUM(H990:H998)</f>
        <v>11365.149999999998</v>
      </c>
      <c r="I999" s="152"/>
      <c r="J999" s="153"/>
      <c r="K999" s="151">
        <f>SUM(K990:K998)</f>
        <v>13857.251069959824</v>
      </c>
      <c r="L999" s="138">
        <f t="shared" si="140"/>
        <v>2492.1010699598264</v>
      </c>
      <c r="M999" s="139">
        <f>IF((H999)=0,"",(L999/H999))</f>
        <v>0.21927568663500499</v>
      </c>
    </row>
    <row r="1000" spans="1:13" x14ac:dyDescent="0.25">
      <c r="A1000" s="100" t="str">
        <f t="shared" si="143"/>
        <v>GENERAL SERVICE 1,000 TO 4,999 KW SERVICE CLASSIFICATION</v>
      </c>
      <c r="C1000" s="117"/>
      <c r="D1000" s="154" t="s">
        <v>169</v>
      </c>
      <c r="E1000" s="119"/>
      <c r="F1000" s="127">
        <v>2.6217000000000001</v>
      </c>
      <c r="G1000" s="141">
        <f>IF($E977&gt;0, $E977, $E976*$E978)</f>
        <v>4000</v>
      </c>
      <c r="H1000" s="122">
        <f>G1000*F1000</f>
        <v>10486.800000000001</v>
      </c>
      <c r="I1000" s="128">
        <v>2.6217000000000001</v>
      </c>
      <c r="J1000" s="141">
        <f>IF($E977&gt;0, $E977, $E976*$E979)</f>
        <v>4000</v>
      </c>
      <c r="K1000" s="122">
        <f>J1000*I1000</f>
        <v>10486.800000000001</v>
      </c>
      <c r="L1000" s="125">
        <f t="shared" si="140"/>
        <v>0</v>
      </c>
      <c r="M1000" s="126">
        <f>IF(ISERROR(L1000/H1000), "", L1000/H1000)</f>
        <v>0</v>
      </c>
    </row>
    <row r="1001" spans="1:13" ht="25.5" x14ac:dyDescent="0.25">
      <c r="A1001" s="100" t="str">
        <f t="shared" si="143"/>
        <v>GENERAL SERVICE 1,000 TO 4,999 KW SERVICE CLASSIFICATION</v>
      </c>
      <c r="C1001" s="117"/>
      <c r="D1001" s="155" t="s">
        <v>170</v>
      </c>
      <c r="E1001" s="119"/>
      <c r="F1001" s="127">
        <v>2.2145999999999999</v>
      </c>
      <c r="G1001" s="141">
        <f>IF($E977&gt;0, $E977, $E976*$E978)</f>
        <v>4000</v>
      </c>
      <c r="H1001" s="122">
        <f>G1001*F1001</f>
        <v>8858.4</v>
      </c>
      <c r="I1001" s="128">
        <v>2.2145999999999999</v>
      </c>
      <c r="J1001" s="141">
        <f>IF($E977&gt;0, $E977, $E976*$E979)</f>
        <v>4000</v>
      </c>
      <c r="K1001" s="122">
        <f>J1001*I1001</f>
        <v>8858.4</v>
      </c>
      <c r="L1001" s="125">
        <f t="shared" si="140"/>
        <v>0</v>
      </c>
      <c r="M1001" s="126">
        <f>IF(ISERROR(L1001/H1001), "", L1001/H1001)</f>
        <v>0</v>
      </c>
    </row>
    <row r="1002" spans="1:13" ht="25.5" x14ac:dyDescent="0.25">
      <c r="A1002" s="100" t="str">
        <f t="shared" si="143"/>
        <v>GENERAL SERVICE 1,000 TO 4,999 KW SERVICE CLASSIFICATION</v>
      </c>
      <c r="B1002" s="105" t="s">
        <v>171</v>
      </c>
      <c r="C1002" s="117">
        <f>B46</f>
        <v>17</v>
      </c>
      <c r="D1002" s="147" t="s">
        <v>172</v>
      </c>
      <c r="E1002" s="132"/>
      <c r="F1002" s="149"/>
      <c r="G1002" s="150"/>
      <c r="H1002" s="151">
        <f>SUM(H999:H1001)</f>
        <v>30710.35</v>
      </c>
      <c r="I1002" s="152"/>
      <c r="J1002" s="137"/>
      <c r="K1002" s="151">
        <f>SUM(K999:K1001)</f>
        <v>33202.451069959825</v>
      </c>
      <c r="L1002" s="138">
        <f t="shared" si="140"/>
        <v>2492.1010699598264</v>
      </c>
      <c r="M1002" s="139">
        <f>IF((H1002)=0,"",(L1002/H1002))</f>
        <v>8.1148572711148739E-2</v>
      </c>
    </row>
    <row r="1003" spans="1:13" ht="25.5" x14ac:dyDescent="0.25">
      <c r="A1003" s="100" t="str">
        <f t="shared" si="143"/>
        <v>GENERAL SERVICE 1,000 TO 4,999 KW SERVICE CLASSIFICATION</v>
      </c>
      <c r="C1003" s="117"/>
      <c r="D1003" s="156" t="s">
        <v>173</v>
      </c>
      <c r="E1003" s="119"/>
      <c r="F1003" s="127">
        <v>3.6000000000000003E-3</v>
      </c>
      <c r="G1003" s="141">
        <f>E976*E978</f>
        <v>3168000</v>
      </c>
      <c r="H1003" s="157">
        <f t="shared" ref="H1003:H1009" si="145">G1003*F1003</f>
        <v>11404.800000000001</v>
      </c>
      <c r="I1003" s="128">
        <v>3.6000000000000003E-3</v>
      </c>
      <c r="J1003" s="141">
        <f>E976*E979</f>
        <v>3168000</v>
      </c>
      <c r="K1003" s="157">
        <f t="shared" ref="K1003:K1009" si="146">J1003*I1003</f>
        <v>11404.800000000001</v>
      </c>
      <c r="L1003" s="125">
        <f t="shared" si="140"/>
        <v>0</v>
      </c>
      <c r="M1003" s="126">
        <f t="shared" ref="M1003:M1011" si="147">IF(ISERROR(L1003/H1003), "", L1003/H1003)</f>
        <v>0</v>
      </c>
    </row>
    <row r="1004" spans="1:13" ht="25.5" x14ac:dyDescent="0.25">
      <c r="A1004" s="100" t="str">
        <f t="shared" si="143"/>
        <v>GENERAL SERVICE 1,000 TO 4,999 KW SERVICE CLASSIFICATION</v>
      </c>
      <c r="C1004" s="117"/>
      <c r="D1004" s="156" t="s">
        <v>174</v>
      </c>
      <c r="E1004" s="119"/>
      <c r="F1004" s="127">
        <f>'[1]17. Regulatory Charges'!$D$16</f>
        <v>2.9999999999999997E-4</v>
      </c>
      <c r="G1004" s="141">
        <f>E976*E978</f>
        <v>3168000</v>
      </c>
      <c r="H1004" s="157">
        <f t="shared" si="145"/>
        <v>950.39999999999986</v>
      </c>
      <c r="I1004" s="128">
        <v>2.9999999999999997E-4</v>
      </c>
      <c r="J1004" s="141">
        <f>E976*E979</f>
        <v>3168000</v>
      </c>
      <c r="K1004" s="157">
        <f t="shared" si="146"/>
        <v>950.39999999999986</v>
      </c>
      <c r="L1004" s="125">
        <f t="shared" si="140"/>
        <v>0</v>
      </c>
      <c r="M1004" s="126">
        <f t="shared" si="147"/>
        <v>0</v>
      </c>
    </row>
    <row r="1005" spans="1:13" x14ac:dyDescent="0.25">
      <c r="A1005" s="100" t="str">
        <f t="shared" si="143"/>
        <v>GENERAL SERVICE 1,000 TO 4,999 KW SERVICE CLASSIFICATION</v>
      </c>
      <c r="C1005" s="117"/>
      <c r="D1005" s="158" t="s">
        <v>175</v>
      </c>
      <c r="E1005" s="119"/>
      <c r="F1005" s="145">
        <v>0.25</v>
      </c>
      <c r="G1005" s="121">
        <v>1</v>
      </c>
      <c r="H1005" s="157">
        <f t="shared" si="145"/>
        <v>0.25</v>
      </c>
      <c r="I1005" s="146">
        <v>0.25</v>
      </c>
      <c r="J1005" s="124">
        <v>1</v>
      </c>
      <c r="K1005" s="157">
        <f t="shared" si="146"/>
        <v>0.25</v>
      </c>
      <c r="L1005" s="125">
        <f t="shared" si="140"/>
        <v>0</v>
      </c>
      <c r="M1005" s="126">
        <f t="shared" si="147"/>
        <v>0</v>
      </c>
    </row>
    <row r="1006" spans="1:13" ht="25.5" x14ac:dyDescent="0.25">
      <c r="A1006" s="100" t="str">
        <f t="shared" si="143"/>
        <v>GENERAL SERVICE 1,000 TO 4,999 KW SERVICE CLASSIFICATION</v>
      </c>
      <c r="C1006" s="117"/>
      <c r="D1006" s="156" t="s">
        <v>176</v>
      </c>
      <c r="E1006" s="119"/>
      <c r="F1006" s="127"/>
      <c r="G1006" s="141"/>
      <c r="H1006" s="157"/>
      <c r="I1006" s="128"/>
      <c r="J1006" s="141"/>
      <c r="K1006" s="157"/>
      <c r="L1006" s="125"/>
      <c r="M1006" s="126"/>
    </row>
    <row r="1007" spans="1:13" hidden="1" x14ac:dyDescent="0.25">
      <c r="A1007" s="100" t="str">
        <f t="shared" si="143"/>
        <v>GENERAL SERVICE 1,000 TO 4,999 KW SERVICE CLASSIFICATION</v>
      </c>
      <c r="B1007" s="105" t="s">
        <v>117</v>
      </c>
      <c r="C1007" s="117"/>
      <c r="D1007" s="159" t="s">
        <v>177</v>
      </c>
      <c r="E1007" s="119"/>
      <c r="F1007" s="160">
        <f>OffPeak</f>
        <v>6.5000000000000002E-2</v>
      </c>
      <c r="G1007" s="161">
        <f>IF(AND(E976*12&gt;=150000),0.65*E976*E978,0.65*E976)</f>
        <v>2059200</v>
      </c>
      <c r="H1007" s="157">
        <f t="shared" si="145"/>
        <v>133848</v>
      </c>
      <c r="I1007" s="162">
        <v>6.5000000000000002E-2</v>
      </c>
      <c r="J1007" s="161">
        <f>IF(AND(E976*12&gt;=150000),0.65*E976*E979,0.65*E976)</f>
        <v>2059200</v>
      </c>
      <c r="K1007" s="157">
        <f t="shared" si="146"/>
        <v>133848</v>
      </c>
      <c r="L1007" s="125">
        <f>K1007-H1007</f>
        <v>0</v>
      </c>
      <c r="M1007" s="126">
        <f t="shared" si="147"/>
        <v>0</v>
      </c>
    </row>
    <row r="1008" spans="1:13" hidden="1" x14ac:dyDescent="0.25">
      <c r="A1008" s="100" t="str">
        <f t="shared" si="143"/>
        <v>GENERAL SERVICE 1,000 TO 4,999 KW SERVICE CLASSIFICATION</v>
      </c>
      <c r="B1008" s="105" t="s">
        <v>117</v>
      </c>
      <c r="C1008" s="117"/>
      <c r="D1008" s="159" t="s">
        <v>178</v>
      </c>
      <c r="E1008" s="119"/>
      <c r="F1008" s="160">
        <f>MidPeak</f>
        <v>9.4E-2</v>
      </c>
      <c r="G1008" s="161">
        <f>IF(AND(E976*12&gt;=150000),0.17*E976*E978,0.17*E976)</f>
        <v>538560.00000000012</v>
      </c>
      <c r="H1008" s="157">
        <f t="shared" si="145"/>
        <v>50624.640000000014</v>
      </c>
      <c r="I1008" s="162">
        <v>9.4E-2</v>
      </c>
      <c r="J1008" s="161">
        <f>IF(AND(E976*12&gt;=150000),0.17*E976*E979,0.17*E976)</f>
        <v>538560.00000000012</v>
      </c>
      <c r="K1008" s="157">
        <f t="shared" si="146"/>
        <v>50624.640000000014</v>
      </c>
      <c r="L1008" s="125">
        <f>K1008-H1008</f>
        <v>0</v>
      </c>
      <c r="M1008" s="126">
        <f t="shared" si="147"/>
        <v>0</v>
      </c>
    </row>
    <row r="1009" spans="1:13" hidden="1" x14ac:dyDescent="0.25">
      <c r="A1009" s="100" t="str">
        <f t="shared" si="143"/>
        <v>GENERAL SERVICE 1,000 TO 4,999 KW SERVICE CLASSIFICATION</v>
      </c>
      <c r="B1009" s="105" t="s">
        <v>117</v>
      </c>
      <c r="C1009" s="117"/>
      <c r="D1009" s="105" t="s">
        <v>179</v>
      </c>
      <c r="E1009" s="119"/>
      <c r="F1009" s="160">
        <f>OnPeak</f>
        <v>0.13200000000000001</v>
      </c>
      <c r="G1009" s="161">
        <f>IF(AND(E976*12&gt;=150000),0.18*E976*E978,0.18*E976)</f>
        <v>570240</v>
      </c>
      <c r="H1009" s="157">
        <f t="shared" si="145"/>
        <v>75271.680000000008</v>
      </c>
      <c r="I1009" s="162">
        <v>0.13200000000000001</v>
      </c>
      <c r="J1009" s="161">
        <f>IF(AND(E976*12&gt;=150000),0.18*E976*E979,0.18*E976)</f>
        <v>570240</v>
      </c>
      <c r="K1009" s="157">
        <f t="shared" si="146"/>
        <v>75271.680000000008</v>
      </c>
      <c r="L1009" s="125">
        <f>K1009-H1009</f>
        <v>0</v>
      </c>
      <c r="M1009" s="126">
        <f t="shared" si="147"/>
        <v>0</v>
      </c>
    </row>
    <row r="1010" spans="1:13" hidden="1" x14ac:dyDescent="0.25">
      <c r="A1010" s="100" t="str">
        <f t="shared" si="143"/>
        <v>GENERAL SERVICE 1,000 TO 4,999 KW SERVICE CLASSIFICATION</v>
      </c>
      <c r="B1010" s="100" t="s">
        <v>180</v>
      </c>
      <c r="C1010" s="117"/>
      <c r="D1010" s="159" t="s">
        <v>181</v>
      </c>
      <c r="E1010" s="119"/>
      <c r="F1010" s="163">
        <v>0.1101</v>
      </c>
      <c r="G1010" s="161">
        <f>IF(AND(E976*12&gt;=150000),E976*E978,E976)</f>
        <v>3168000</v>
      </c>
      <c r="H1010" s="157">
        <f>G1010*F1010</f>
        <v>348796.8</v>
      </c>
      <c r="I1010" s="164">
        <v>0.1101</v>
      </c>
      <c r="J1010" s="161">
        <f>IF(AND(E976*12&gt;=150000),E976*E979,E976)</f>
        <v>3168000</v>
      </c>
      <c r="K1010" s="157">
        <f>J1010*I1010</f>
        <v>348796.8</v>
      </c>
      <c r="L1010" s="125">
        <f>K1010-H1010</f>
        <v>0</v>
      </c>
      <c r="M1010" s="126">
        <f t="shared" si="147"/>
        <v>0</v>
      </c>
    </row>
    <row r="1011" spans="1:13" ht="15.75" thickBot="1" x14ac:dyDescent="0.3">
      <c r="A1011" s="100" t="str">
        <f t="shared" si="143"/>
        <v>GENERAL SERVICE 1,000 TO 4,999 KW SERVICE CLASSIFICATION</v>
      </c>
      <c r="B1011" s="100" t="s">
        <v>121</v>
      </c>
      <c r="C1011" s="117"/>
      <c r="D1011" s="159" t="s">
        <v>182</v>
      </c>
      <c r="E1011" s="119"/>
      <c r="F1011" s="163">
        <v>0.1101</v>
      </c>
      <c r="G1011" s="161">
        <f>IF(AND(E976*12&gt;=150000),E976*E978,E976)</f>
        <v>3168000</v>
      </c>
      <c r="H1011" s="157">
        <f>G1011*F1011</f>
        <v>348796.8</v>
      </c>
      <c r="I1011" s="164">
        <v>0.1101</v>
      </c>
      <c r="J1011" s="161">
        <f>IF(AND(E976*12&gt;=150000),E976*E979,E976)</f>
        <v>3168000</v>
      </c>
      <c r="K1011" s="157">
        <f>J1011*I1011</f>
        <v>348796.8</v>
      </c>
      <c r="L1011" s="125">
        <f>K1011-H1011</f>
        <v>0</v>
      </c>
      <c r="M1011" s="126">
        <f t="shared" si="147"/>
        <v>0</v>
      </c>
    </row>
    <row r="1012" spans="1:13" ht="15.75" thickBot="1" x14ac:dyDescent="0.3">
      <c r="A1012" s="100" t="str">
        <f t="shared" si="143"/>
        <v>GENERAL SERVICE 1,000 TO 4,999 KW SERVICE CLASSIFICATION</v>
      </c>
      <c r="B1012" s="105"/>
      <c r="C1012" s="117"/>
      <c r="D1012" s="165"/>
      <c r="E1012" s="166"/>
      <c r="F1012" s="167"/>
      <c r="G1012" s="168"/>
      <c r="H1012" s="169"/>
      <c r="I1012" s="167"/>
      <c r="J1012" s="170"/>
      <c r="K1012" s="169"/>
      <c r="L1012" s="171"/>
      <c r="M1012" s="172"/>
    </row>
    <row r="1013" spans="1:13" hidden="1" x14ac:dyDescent="0.25">
      <c r="A1013" s="100" t="str">
        <f t="shared" si="143"/>
        <v>GENERAL SERVICE 1,000 TO 4,999 KW SERVICE CLASSIFICATION</v>
      </c>
      <c r="B1013" s="105" t="s">
        <v>117</v>
      </c>
      <c r="C1013" s="117"/>
      <c r="D1013" s="173" t="s">
        <v>183</v>
      </c>
      <c r="E1013" s="158"/>
      <c r="F1013" s="174"/>
      <c r="G1013" s="175"/>
      <c r="H1013" s="176">
        <f>SUM(H1003:H1009,H1002)</f>
        <v>302810.12</v>
      </c>
      <c r="I1013" s="177"/>
      <c r="J1013" s="177"/>
      <c r="K1013" s="176">
        <f>SUM(K1003:K1009,K1002)</f>
        <v>305302.22106995987</v>
      </c>
      <c r="L1013" s="178">
        <f>K1013-H1013</f>
        <v>2492.1010699598701</v>
      </c>
      <c r="M1013" s="179">
        <f>IF((H1013)=0,"",(L1013/H1013))</f>
        <v>8.2299134188773809E-3</v>
      </c>
    </row>
    <row r="1014" spans="1:13" hidden="1" x14ac:dyDescent="0.25">
      <c r="A1014" s="100" t="str">
        <f t="shared" si="143"/>
        <v>GENERAL SERVICE 1,000 TO 4,999 KW SERVICE CLASSIFICATION</v>
      </c>
      <c r="B1014" s="105" t="s">
        <v>117</v>
      </c>
      <c r="C1014" s="117"/>
      <c r="D1014" s="180" t="s">
        <v>184</v>
      </c>
      <c r="E1014" s="158"/>
      <c r="F1014" s="174">
        <v>0.13</v>
      </c>
      <c r="G1014" s="181"/>
      <c r="H1014" s="182">
        <f>H1013*F1014</f>
        <v>39365.315600000002</v>
      </c>
      <c r="I1014" s="183">
        <v>0.13</v>
      </c>
      <c r="J1014" s="121"/>
      <c r="K1014" s="182">
        <f>K1013*I1014</f>
        <v>39689.288739094787</v>
      </c>
      <c r="L1014" s="184">
        <f>K1014-H1014</f>
        <v>323.97313909478544</v>
      </c>
      <c r="M1014" s="185">
        <f>IF((H1014)=0,"",(L1014/H1014))</f>
        <v>8.2299134188774398E-3</v>
      </c>
    </row>
    <row r="1015" spans="1:13" hidden="1" x14ac:dyDescent="0.25">
      <c r="A1015" s="100" t="str">
        <f t="shared" si="143"/>
        <v>GENERAL SERVICE 1,000 TO 4,999 KW SERVICE CLASSIFICATION</v>
      </c>
      <c r="B1015" s="105" t="s">
        <v>117</v>
      </c>
      <c r="C1015" s="117"/>
      <c r="D1015" s="180" t="s">
        <v>185</v>
      </c>
      <c r="E1015" s="158"/>
      <c r="F1015" s="174">
        <v>0.08</v>
      </c>
      <c r="G1015" s="181"/>
      <c r="H1015" s="182">
        <v>0</v>
      </c>
      <c r="I1015" s="174">
        <v>0.08</v>
      </c>
      <c r="J1015" s="121"/>
      <c r="K1015" s="182">
        <v>0</v>
      </c>
      <c r="L1015" s="184">
        <f>K1015-H1015</f>
        <v>0</v>
      </c>
      <c r="M1015" s="185"/>
    </row>
    <row r="1016" spans="1:13" ht="15.75" hidden="1" thickBot="1" x14ac:dyDescent="0.3">
      <c r="A1016" s="100" t="str">
        <f t="shared" si="143"/>
        <v>GENERAL SERVICE 1,000 TO 4,999 KW SERVICE CLASSIFICATION</v>
      </c>
      <c r="B1016" s="105" t="s">
        <v>186</v>
      </c>
      <c r="C1016" s="117"/>
      <c r="D1016" s="301" t="s">
        <v>187</v>
      </c>
      <c r="E1016" s="301"/>
      <c r="F1016" s="186"/>
      <c r="G1016" s="187"/>
      <c r="H1016" s="188">
        <f>H1013+H1014+H1015</f>
        <v>342175.43559999997</v>
      </c>
      <c r="I1016" s="189"/>
      <c r="J1016" s="189"/>
      <c r="K1016" s="190">
        <f>K1013+K1014+K1015</f>
        <v>344991.50980905467</v>
      </c>
      <c r="L1016" s="191">
        <f>K1016-H1016</f>
        <v>2816.0742090546992</v>
      </c>
      <c r="M1016" s="192">
        <f>IF((H1016)=0,"",(L1016/H1016))</f>
        <v>8.2299134188775162E-3</v>
      </c>
    </row>
    <row r="1017" spans="1:13" ht="15.75" hidden="1" thickBot="1" x14ac:dyDescent="0.3">
      <c r="A1017" s="100" t="str">
        <f t="shared" si="143"/>
        <v>GENERAL SERVICE 1,000 TO 4,999 KW SERVICE CLASSIFICATION</v>
      </c>
      <c r="B1017" s="100" t="s">
        <v>117</v>
      </c>
      <c r="C1017" s="117"/>
      <c r="D1017" s="165"/>
      <c r="E1017" s="166"/>
      <c r="F1017" s="167"/>
      <c r="G1017" s="168"/>
      <c r="H1017" s="169"/>
      <c r="I1017" s="167"/>
      <c r="J1017" s="170"/>
      <c r="K1017" s="169"/>
      <c r="L1017" s="171"/>
      <c r="M1017" s="172"/>
    </row>
    <row r="1018" spans="1:13" hidden="1" x14ac:dyDescent="0.25">
      <c r="A1018" s="100" t="str">
        <f t="shared" si="143"/>
        <v>GENERAL SERVICE 1,000 TO 4,999 KW SERVICE CLASSIFICATION</v>
      </c>
      <c r="B1018" s="100" t="s">
        <v>180</v>
      </c>
      <c r="C1018" s="117"/>
      <c r="D1018" s="173" t="s">
        <v>188</v>
      </c>
      <c r="E1018" s="158"/>
      <c r="F1018" s="174"/>
      <c r="G1018" s="175"/>
      <c r="H1018" s="176">
        <f>SUM(H1010,H1003:H1006,H1002)</f>
        <v>391862.6</v>
      </c>
      <c r="I1018" s="177"/>
      <c r="J1018" s="177"/>
      <c r="K1018" s="176">
        <f>SUM(K1010,K1003:K1006,K1002)</f>
        <v>394354.70106995985</v>
      </c>
      <c r="L1018" s="178">
        <f>K1018-H1018</f>
        <v>2492.1010699598701</v>
      </c>
      <c r="M1018" s="179">
        <f>IF((H1018)=0,"",(L1018/H1018))</f>
        <v>6.3596298038135568E-3</v>
      </c>
    </row>
    <row r="1019" spans="1:13" hidden="1" x14ac:dyDescent="0.25">
      <c r="A1019" s="100" t="str">
        <f t="shared" si="143"/>
        <v>GENERAL SERVICE 1,000 TO 4,999 KW SERVICE CLASSIFICATION</v>
      </c>
      <c r="B1019" s="100" t="s">
        <v>180</v>
      </c>
      <c r="C1019" s="117"/>
      <c r="D1019" s="180" t="s">
        <v>184</v>
      </c>
      <c r="E1019" s="158"/>
      <c r="F1019" s="174">
        <v>0.13</v>
      </c>
      <c r="G1019" s="175"/>
      <c r="H1019" s="182">
        <f>H1018*F1019</f>
        <v>50942.137999999999</v>
      </c>
      <c r="I1019" s="174">
        <v>0.13</v>
      </c>
      <c r="J1019" s="183"/>
      <c r="K1019" s="182">
        <f>K1018*I1019</f>
        <v>51266.111139094784</v>
      </c>
      <c r="L1019" s="184">
        <f>K1019-H1019</f>
        <v>323.97313909478544</v>
      </c>
      <c r="M1019" s="185">
        <f>IF((H1019)=0,"",(L1019/H1019))</f>
        <v>6.3596298038136019E-3</v>
      </c>
    </row>
    <row r="1020" spans="1:13" hidden="1" x14ac:dyDescent="0.25">
      <c r="A1020" s="100" t="str">
        <f t="shared" si="143"/>
        <v>GENERAL SERVICE 1,000 TO 4,999 KW SERVICE CLASSIFICATION</v>
      </c>
      <c r="B1020" s="100" t="s">
        <v>180</v>
      </c>
      <c r="C1020" s="117"/>
      <c r="D1020" s="180" t="s">
        <v>185</v>
      </c>
      <c r="E1020" s="158"/>
      <c r="F1020" s="174">
        <v>0.08</v>
      </c>
      <c r="G1020" s="175"/>
      <c r="H1020" s="182">
        <v>0</v>
      </c>
      <c r="I1020" s="174">
        <v>0.08</v>
      </c>
      <c r="J1020" s="183"/>
      <c r="K1020" s="182">
        <v>0</v>
      </c>
      <c r="L1020" s="184"/>
      <c r="M1020" s="185"/>
    </row>
    <row r="1021" spans="1:13" ht="15.75" hidden="1" thickBot="1" x14ac:dyDescent="0.3">
      <c r="A1021" s="100" t="str">
        <f t="shared" si="143"/>
        <v>GENERAL SERVICE 1,000 TO 4,999 KW SERVICE CLASSIFICATION</v>
      </c>
      <c r="B1021" s="100" t="s">
        <v>189</v>
      </c>
      <c r="C1021" s="117"/>
      <c r="D1021" s="301" t="s">
        <v>188</v>
      </c>
      <c r="E1021" s="301"/>
      <c r="F1021" s="193"/>
      <c r="G1021" s="194"/>
      <c r="H1021" s="188">
        <f>SUM(H1018,H1019)</f>
        <v>442804.73799999995</v>
      </c>
      <c r="I1021" s="195"/>
      <c r="J1021" s="195"/>
      <c r="K1021" s="188">
        <f>SUM(K1018,K1019)</f>
        <v>445620.81220905465</v>
      </c>
      <c r="L1021" s="196">
        <f>K1021-H1021</f>
        <v>2816.0742090546992</v>
      </c>
      <c r="M1021" s="197">
        <f>IF((H1021)=0,"",(L1021/H1021))</f>
        <v>6.3596298038136609E-3</v>
      </c>
    </row>
    <row r="1022" spans="1:13" ht="15.75" hidden="1" thickBot="1" x14ac:dyDescent="0.3">
      <c r="A1022" s="100" t="str">
        <f t="shared" si="143"/>
        <v>GENERAL SERVICE 1,000 TO 4,999 KW SERVICE CLASSIFICATION</v>
      </c>
      <c r="B1022" s="100" t="s">
        <v>180</v>
      </c>
      <c r="C1022" s="117"/>
      <c r="D1022" s="165"/>
      <c r="E1022" s="166"/>
      <c r="F1022" s="198"/>
      <c r="G1022" s="199"/>
      <c r="H1022" s="200"/>
      <c r="I1022" s="198"/>
      <c r="J1022" s="168"/>
      <c r="K1022" s="200"/>
      <c r="L1022" s="201"/>
      <c r="M1022" s="172"/>
    </row>
    <row r="1023" spans="1:13" x14ac:dyDescent="0.25">
      <c r="A1023" s="100" t="str">
        <f t="shared" si="143"/>
        <v>GENERAL SERVICE 1,000 TO 4,999 KW SERVICE CLASSIFICATION</v>
      </c>
      <c r="B1023" s="100" t="s">
        <v>121</v>
      </c>
      <c r="C1023" s="117"/>
      <c r="D1023" s="173" t="s">
        <v>190</v>
      </c>
      <c r="E1023" s="158"/>
      <c r="F1023" s="174"/>
      <c r="G1023" s="175"/>
      <c r="H1023" s="176">
        <f>SUM(H1011,H1003:H1006,H1002)</f>
        <v>391862.6</v>
      </c>
      <c r="I1023" s="177"/>
      <c r="J1023" s="177"/>
      <c r="K1023" s="176">
        <f>SUM(K1011,K1003:K1006,K1002)</f>
        <v>394354.70106995985</v>
      </c>
      <c r="L1023" s="178">
        <f>K1023-H1023</f>
        <v>2492.1010699598701</v>
      </c>
      <c r="M1023" s="179">
        <f>IF((H1023)=0,"",(L1023/H1023))</f>
        <v>6.3596298038135568E-3</v>
      </c>
    </row>
    <row r="1024" spans="1:13" x14ac:dyDescent="0.25">
      <c r="A1024" s="100" t="str">
        <f t="shared" si="143"/>
        <v>GENERAL SERVICE 1,000 TO 4,999 KW SERVICE CLASSIFICATION</v>
      </c>
      <c r="B1024" s="100" t="s">
        <v>121</v>
      </c>
      <c r="C1024" s="117"/>
      <c r="D1024" s="180" t="s">
        <v>184</v>
      </c>
      <c r="E1024" s="158"/>
      <c r="F1024" s="174">
        <v>0.13</v>
      </c>
      <c r="G1024" s="175"/>
      <c r="H1024" s="182">
        <f>H1023*F1024</f>
        <v>50942.137999999999</v>
      </c>
      <c r="I1024" s="174">
        <v>0.13</v>
      </c>
      <c r="J1024" s="183"/>
      <c r="K1024" s="182">
        <f>K1023*I1024</f>
        <v>51266.111139094784</v>
      </c>
      <c r="L1024" s="184">
        <f>K1024-H1024</f>
        <v>323.97313909478544</v>
      </c>
      <c r="M1024" s="185">
        <f>IF((H1024)=0,"",(L1024/H1024))</f>
        <v>6.3596298038136019E-3</v>
      </c>
    </row>
    <row r="1025" spans="1:13" x14ac:dyDescent="0.25">
      <c r="A1025" s="100" t="str">
        <f t="shared" si="143"/>
        <v>GENERAL SERVICE 1,000 TO 4,999 KW SERVICE CLASSIFICATION</v>
      </c>
      <c r="B1025" s="100" t="s">
        <v>121</v>
      </c>
      <c r="C1025" s="117"/>
      <c r="D1025" s="180" t="s">
        <v>185</v>
      </c>
      <c r="E1025" s="158"/>
      <c r="F1025" s="174">
        <v>0.08</v>
      </c>
      <c r="G1025" s="175"/>
      <c r="H1025" s="182">
        <v>0</v>
      </c>
      <c r="I1025" s="174">
        <v>0.08</v>
      </c>
      <c r="J1025" s="183"/>
      <c r="K1025" s="182">
        <v>0</v>
      </c>
      <c r="L1025" s="184"/>
      <c r="M1025" s="185"/>
    </row>
    <row r="1026" spans="1:13" ht="15.75" thickBot="1" x14ac:dyDescent="0.3">
      <c r="A1026" s="100" t="str">
        <f t="shared" si="143"/>
        <v>GENERAL SERVICE 1,000 TO 4,999 KW SERVICE CLASSIFICATION</v>
      </c>
      <c r="B1026" s="100" t="s">
        <v>191</v>
      </c>
      <c r="C1026" s="117">
        <f>B46</f>
        <v>17</v>
      </c>
      <c r="D1026" s="301" t="s">
        <v>190</v>
      </c>
      <c r="E1026" s="301"/>
      <c r="F1026" s="193"/>
      <c r="G1026" s="194"/>
      <c r="H1026" s="188">
        <f>SUM(H1023,H1024)</f>
        <v>442804.73799999995</v>
      </c>
      <c r="I1026" s="195"/>
      <c r="J1026" s="195"/>
      <c r="K1026" s="188">
        <f>SUM(K1023,K1024)</f>
        <v>445620.81220905465</v>
      </c>
      <c r="L1026" s="196">
        <f>K1026-H1026</f>
        <v>2816.0742090546992</v>
      </c>
      <c r="M1026" s="197">
        <f>IF((H1026)=0,"",(L1026/H1026))</f>
        <v>6.3596298038136609E-3</v>
      </c>
    </row>
    <row r="1027" spans="1:13" ht="15.75" thickBot="1" x14ac:dyDescent="0.3">
      <c r="A1027" s="100" t="str">
        <f t="shared" si="143"/>
        <v>GENERAL SERVICE 1,000 TO 4,999 KW SERVICE CLASSIFICATION</v>
      </c>
      <c r="B1027" s="100" t="s">
        <v>121</v>
      </c>
      <c r="C1027" s="117"/>
      <c r="D1027" s="165"/>
      <c r="E1027" s="166"/>
      <c r="F1027" s="202"/>
      <c r="G1027" s="203"/>
      <c r="H1027" s="204"/>
      <c r="I1027" s="202"/>
      <c r="J1027" s="205"/>
      <c r="K1027" s="204"/>
      <c r="L1027" s="206"/>
      <c r="M1027" s="207"/>
    </row>
    <row r="1030" spans="1:13" x14ac:dyDescent="0.25">
      <c r="C1030" s="100"/>
      <c r="D1030" s="101" t="s">
        <v>134</v>
      </c>
      <c r="E1030" s="302" t="str">
        <f>D47</f>
        <v>GENERAL SERVICE 50 TO 999 KW SERVICE CLASSIFICATION</v>
      </c>
      <c r="F1030" s="302"/>
      <c r="G1030" s="302"/>
      <c r="H1030" s="302"/>
      <c r="I1030" s="302"/>
      <c r="J1030" s="302"/>
      <c r="K1030" s="100" t="str">
        <f>IF(N47="DEMAND - INTERVAL","RTSR - INTERVAL METERED","")</f>
        <v/>
      </c>
    </row>
    <row r="1031" spans="1:13" x14ac:dyDescent="0.25">
      <c r="C1031" s="100"/>
      <c r="D1031" s="101" t="s">
        <v>135</v>
      </c>
      <c r="E1031" s="303" t="str">
        <f>H47</f>
        <v>RPP</v>
      </c>
      <c r="F1031" s="303"/>
      <c r="G1031" s="303"/>
      <c r="H1031" s="102"/>
      <c r="I1031" s="102"/>
    </row>
    <row r="1032" spans="1:13" ht="15.75" x14ac:dyDescent="0.25">
      <c r="C1032" s="100"/>
      <c r="D1032" s="101" t="s">
        <v>136</v>
      </c>
      <c r="E1032" s="103">
        <f>K47</f>
        <v>69000</v>
      </c>
      <c r="F1032" s="104" t="s">
        <v>137</v>
      </c>
      <c r="G1032" s="105"/>
      <c r="J1032" s="106"/>
      <c r="K1032" s="106"/>
      <c r="L1032" s="106"/>
      <c r="M1032" s="106"/>
    </row>
    <row r="1033" spans="1:13" ht="15.75" x14ac:dyDescent="0.25">
      <c r="C1033" s="100"/>
      <c r="D1033" s="101" t="s">
        <v>138</v>
      </c>
      <c r="E1033" s="103">
        <f>L47</f>
        <v>160</v>
      </c>
      <c r="F1033" s="107" t="s">
        <v>139</v>
      </c>
      <c r="G1033" s="108"/>
      <c r="H1033" s="109"/>
      <c r="I1033" s="109"/>
      <c r="J1033" s="109"/>
    </row>
    <row r="1034" spans="1:13" x14ac:dyDescent="0.25">
      <c r="C1034" s="100"/>
      <c r="D1034" s="101" t="s">
        <v>140</v>
      </c>
      <c r="E1034" s="110">
        <f>I47</f>
        <v>1.056</v>
      </c>
    </row>
    <row r="1035" spans="1:13" x14ac:dyDescent="0.25">
      <c r="C1035" s="100"/>
      <c r="D1035" s="101" t="s">
        <v>141</v>
      </c>
      <c r="E1035" s="110">
        <f>J47</f>
        <v>1.056</v>
      </c>
    </row>
    <row r="1036" spans="1:13" x14ac:dyDescent="0.25">
      <c r="C1036" s="100"/>
      <c r="D1036" s="105"/>
    </row>
    <row r="1037" spans="1:13" x14ac:dyDescent="0.25">
      <c r="C1037" s="100"/>
      <c r="D1037" s="105"/>
      <c r="E1037" s="111"/>
      <c r="F1037" s="304" t="s">
        <v>142</v>
      </c>
      <c r="G1037" s="305"/>
      <c r="H1037" s="306"/>
      <c r="I1037" s="304" t="s">
        <v>143</v>
      </c>
      <c r="J1037" s="305"/>
      <c r="K1037" s="306"/>
      <c r="L1037" s="304" t="s">
        <v>144</v>
      </c>
      <c r="M1037" s="306"/>
    </row>
    <row r="1038" spans="1:13" x14ac:dyDescent="0.25">
      <c r="C1038" s="100"/>
      <c r="D1038" s="105"/>
      <c r="E1038" s="295"/>
      <c r="F1038" s="112" t="s">
        <v>145</v>
      </c>
      <c r="G1038" s="112" t="s">
        <v>146</v>
      </c>
      <c r="H1038" s="113" t="s">
        <v>147</v>
      </c>
      <c r="I1038" s="112" t="s">
        <v>145</v>
      </c>
      <c r="J1038" s="114" t="s">
        <v>146</v>
      </c>
      <c r="K1038" s="113" t="s">
        <v>147</v>
      </c>
      <c r="L1038" s="297" t="s">
        <v>148</v>
      </c>
      <c r="M1038" s="299" t="s">
        <v>149</v>
      </c>
    </row>
    <row r="1039" spans="1:13" x14ac:dyDescent="0.25">
      <c r="C1039" s="100"/>
      <c r="D1039" s="105"/>
      <c r="E1039" s="296"/>
      <c r="F1039" s="115" t="s">
        <v>150</v>
      </c>
      <c r="G1039" s="115"/>
      <c r="H1039" s="116" t="s">
        <v>150</v>
      </c>
      <c r="I1039" s="115" t="s">
        <v>150</v>
      </c>
      <c r="J1039" s="116"/>
      <c r="K1039" s="116" t="s">
        <v>150</v>
      </c>
      <c r="L1039" s="298"/>
      <c r="M1039" s="300"/>
    </row>
    <row r="1040" spans="1:13" x14ac:dyDescent="0.25">
      <c r="A1040" s="100" t="str">
        <f>$E1030</f>
        <v>GENERAL SERVICE 50 TO 999 KW SERVICE CLASSIFICATION</v>
      </c>
      <c r="C1040" s="117"/>
      <c r="D1040" s="118" t="s">
        <v>151</v>
      </c>
      <c r="E1040" s="119"/>
      <c r="F1040" s="120">
        <v>86.83</v>
      </c>
      <c r="G1040" s="121">
        <v>1</v>
      </c>
      <c r="H1040" s="122">
        <f>G1040*F1040</f>
        <v>86.83</v>
      </c>
      <c r="I1040" s="123">
        <v>86.83</v>
      </c>
      <c r="J1040" s="124">
        <f>G1040</f>
        <v>1</v>
      </c>
      <c r="K1040" s="122">
        <f>J1040*I1040</f>
        <v>86.83</v>
      </c>
      <c r="L1040" s="125">
        <f t="shared" ref="L1040:L1061" si="148">K1040-H1040</f>
        <v>0</v>
      </c>
      <c r="M1040" s="126">
        <f>IF(ISERROR(L1040/H1040), "", L1040/H1040)</f>
        <v>0</v>
      </c>
    </row>
    <row r="1041" spans="1:13" x14ac:dyDescent="0.25">
      <c r="A1041" s="100" t="str">
        <f>A1040</f>
        <v>GENERAL SERVICE 50 TO 999 KW SERVICE CLASSIFICATION</v>
      </c>
      <c r="C1041" s="117"/>
      <c r="D1041" s="118" t="s">
        <v>152</v>
      </c>
      <c r="E1041" s="119"/>
      <c r="F1041" s="127">
        <v>3.8580000000000001</v>
      </c>
      <c r="G1041" s="121">
        <f>IF($E1033&gt;0, $E1033, $E1032)</f>
        <v>160</v>
      </c>
      <c r="H1041" s="122">
        <f t="shared" ref="H1041:H1053" si="149">G1041*F1041</f>
        <v>617.28</v>
      </c>
      <c r="I1041" s="128">
        <v>3.8580000000000001</v>
      </c>
      <c r="J1041" s="124">
        <f>IF($E1033&gt;0, $E1033, $E1032)</f>
        <v>160</v>
      </c>
      <c r="K1041" s="122">
        <f>J1041*I1041</f>
        <v>617.28</v>
      </c>
      <c r="L1041" s="125">
        <f t="shared" si="148"/>
        <v>0</v>
      </c>
      <c r="M1041" s="126">
        <f t="shared" ref="M1041:M1051" si="150">IF(ISERROR(L1041/H1041), "", L1041/H1041)</f>
        <v>0</v>
      </c>
    </row>
    <row r="1042" spans="1:13" x14ac:dyDescent="0.25">
      <c r="A1042" s="100" t="str">
        <f t="shared" ref="A1042:A1083" si="151">A1041</f>
        <v>GENERAL SERVICE 50 TO 999 KW SERVICE CLASSIFICATION</v>
      </c>
      <c r="C1042" s="117"/>
      <c r="D1042" s="118" t="s">
        <v>153</v>
      </c>
      <c r="E1042" s="119"/>
      <c r="F1042" s="127"/>
      <c r="G1042" s="121">
        <f>IF($E1033&gt;0, $E1033, $E1032)</f>
        <v>160</v>
      </c>
      <c r="H1042" s="122">
        <v>0</v>
      </c>
      <c r="I1042" s="128"/>
      <c r="J1042" s="124">
        <f>IF($E1033&gt;0, $E1033, $E1032)</f>
        <v>160</v>
      </c>
      <c r="K1042" s="122">
        <v>0</v>
      </c>
      <c r="L1042" s="125"/>
      <c r="M1042" s="126"/>
    </row>
    <row r="1043" spans="1:13" x14ac:dyDescent="0.25">
      <c r="A1043" s="100" t="str">
        <f t="shared" si="151"/>
        <v>GENERAL SERVICE 50 TO 999 KW SERVICE CLASSIFICATION</v>
      </c>
      <c r="C1043" s="117"/>
      <c r="D1043" s="118" t="s">
        <v>154</v>
      </c>
      <c r="E1043" s="119"/>
      <c r="F1043" s="127"/>
      <c r="G1043" s="121">
        <f>IF($E1033&gt;0, $E1033, $E1032)</f>
        <v>160</v>
      </c>
      <c r="H1043" s="122">
        <v>0</v>
      </c>
      <c r="I1043" s="128"/>
      <c r="J1043" s="121">
        <f>IF($E1033&gt;0, $E1033, $E1032)</f>
        <v>160</v>
      </c>
      <c r="K1043" s="122">
        <v>0</v>
      </c>
      <c r="L1043" s="125">
        <f>K1043-H1043</f>
        <v>0</v>
      </c>
      <c r="M1043" s="126" t="str">
        <f>IF(ISERROR(L1043/H1043), "", L1043/H1043)</f>
        <v/>
      </c>
    </row>
    <row r="1044" spans="1:13" x14ac:dyDescent="0.25">
      <c r="A1044" s="100" t="str">
        <f t="shared" si="151"/>
        <v>GENERAL SERVICE 50 TO 999 KW SERVICE CLASSIFICATION</v>
      </c>
      <c r="C1044" s="117"/>
      <c r="D1044" s="129" t="s">
        <v>155</v>
      </c>
      <c r="E1044" s="119"/>
      <c r="F1044" s="120">
        <v>0</v>
      </c>
      <c r="G1044" s="121">
        <v>1</v>
      </c>
      <c r="H1044" s="122">
        <f t="shared" si="149"/>
        <v>0</v>
      </c>
      <c r="I1044" s="226">
        <f>'Rate Riders'!O10</f>
        <v>15.382147986295536</v>
      </c>
      <c r="J1044" s="124">
        <f>G1044</f>
        <v>1</v>
      </c>
      <c r="K1044" s="122">
        <f t="shared" ref="K1044:K1051" si="152">J1044*I1044</f>
        <v>15.382147986295536</v>
      </c>
      <c r="L1044" s="125">
        <f t="shared" si="148"/>
        <v>15.382147986295536</v>
      </c>
      <c r="M1044" s="126" t="str">
        <f t="shared" si="150"/>
        <v/>
      </c>
    </row>
    <row r="1045" spans="1:13" x14ac:dyDescent="0.25">
      <c r="A1045" s="100" t="str">
        <f t="shared" si="151"/>
        <v>GENERAL SERVICE 50 TO 999 KW SERVICE CLASSIFICATION</v>
      </c>
      <c r="C1045" s="117"/>
      <c r="D1045" s="118" t="s">
        <v>156</v>
      </c>
      <c r="E1045" s="119"/>
      <c r="F1045" s="127">
        <v>0</v>
      </c>
      <c r="G1045" s="121">
        <f>IF($E1033&gt;0, $E1033, $E1032)</f>
        <v>160</v>
      </c>
      <c r="H1045" s="122">
        <f t="shared" si="149"/>
        <v>0</v>
      </c>
      <c r="I1045" s="227">
        <f>'Rate Riders'!Q10</f>
        <v>0.68345418554794635</v>
      </c>
      <c r="J1045" s="124">
        <f>IF($E1033&gt;0, $E1033, $E1032)</f>
        <v>160</v>
      </c>
      <c r="K1045" s="122">
        <f t="shared" si="152"/>
        <v>109.35266968767141</v>
      </c>
      <c r="L1045" s="125">
        <f t="shared" si="148"/>
        <v>109.35266968767141</v>
      </c>
      <c r="M1045" s="126" t="str">
        <f t="shared" si="150"/>
        <v/>
      </c>
    </row>
    <row r="1046" spans="1:13" x14ac:dyDescent="0.25">
      <c r="A1046" s="100" t="str">
        <f t="shared" si="151"/>
        <v>GENERAL SERVICE 50 TO 999 KW SERVICE CLASSIFICATION</v>
      </c>
      <c r="B1046" s="130" t="s">
        <v>157</v>
      </c>
      <c r="C1046" s="117">
        <f>B47</f>
        <v>18</v>
      </c>
      <c r="D1046" s="131" t="s">
        <v>158</v>
      </c>
      <c r="E1046" s="132"/>
      <c r="F1046" s="133"/>
      <c r="G1046" s="134"/>
      <c r="H1046" s="135">
        <f>SUM(H1040:H1045)</f>
        <v>704.11</v>
      </c>
      <c r="I1046" s="136"/>
      <c r="J1046" s="137"/>
      <c r="K1046" s="135">
        <f>SUM(K1040:K1045)</f>
        <v>828.84481767396699</v>
      </c>
      <c r="L1046" s="138">
        <f t="shared" si="148"/>
        <v>124.73481767396697</v>
      </c>
      <c r="M1046" s="139">
        <f>IF((H1046)=0,"",(L1046/H1046))</f>
        <v>0.1771524586697632</v>
      </c>
    </row>
    <row r="1047" spans="1:13" x14ac:dyDescent="0.25">
      <c r="A1047" s="100" t="str">
        <f t="shared" si="151"/>
        <v>GENERAL SERVICE 50 TO 999 KW SERVICE CLASSIFICATION</v>
      </c>
      <c r="C1047" s="117"/>
      <c r="D1047" s="140" t="s">
        <v>159</v>
      </c>
      <c r="E1047" s="119"/>
      <c r="F1047" s="127">
        <f>IF((E1032*12&gt;=150000), 0, IF(E1031="RPP",(F1063*0.65+F1064*0.17+F1065*0.18),IF(E1031="Non-RPP (Retailer)",F1066,F1067)))</f>
        <v>0</v>
      </c>
      <c r="G1047" s="141">
        <f>IF(F1047=0, 0, $E1032*E1034-E1032)</f>
        <v>0</v>
      </c>
      <c r="H1047" s="122">
        <f>G1047*F1047</f>
        <v>0</v>
      </c>
      <c r="I1047" s="128">
        <v>0</v>
      </c>
      <c r="J1047" s="141">
        <f>IF(I1047=0, 0, E1032*E1035-E1032)</f>
        <v>0</v>
      </c>
      <c r="K1047" s="122">
        <f>J1047*I1047</f>
        <v>0</v>
      </c>
      <c r="L1047" s="125">
        <f>K1047-H1047</f>
        <v>0</v>
      </c>
      <c r="M1047" s="126" t="str">
        <f>IF(ISERROR(L1047/H1047), "", L1047/H1047)</f>
        <v/>
      </c>
    </row>
    <row r="1048" spans="1:13" ht="25.5" x14ac:dyDescent="0.25">
      <c r="A1048" s="100" t="str">
        <f t="shared" si="151"/>
        <v>GENERAL SERVICE 50 TO 999 KW SERVICE CLASSIFICATION</v>
      </c>
      <c r="C1048" s="117"/>
      <c r="D1048" s="140" t="s">
        <v>160</v>
      </c>
      <c r="E1048" s="119"/>
      <c r="F1048" s="127">
        <v>-0.70650000000000002</v>
      </c>
      <c r="G1048" s="142">
        <f>IF($E1033&gt;0, $E1033, $E1032)</f>
        <v>160</v>
      </c>
      <c r="H1048" s="122">
        <f t="shared" si="149"/>
        <v>-113.04</v>
      </c>
      <c r="I1048" s="128">
        <v>-0.70650000000000002</v>
      </c>
      <c r="J1048" s="142">
        <f>IF($E1033&gt;0, $E1033, $E1032)</f>
        <v>160</v>
      </c>
      <c r="K1048" s="122">
        <f t="shared" si="152"/>
        <v>-113.04</v>
      </c>
      <c r="L1048" s="125">
        <f t="shared" si="148"/>
        <v>0</v>
      </c>
      <c r="M1048" s="126">
        <f t="shared" si="150"/>
        <v>0</v>
      </c>
    </row>
    <row r="1049" spans="1:13" x14ac:dyDescent="0.25">
      <c r="A1049" s="100" t="str">
        <f t="shared" si="151"/>
        <v>GENERAL SERVICE 50 TO 999 KW SERVICE CLASSIFICATION</v>
      </c>
      <c r="C1049" s="117"/>
      <c r="D1049" s="140" t="s">
        <v>161</v>
      </c>
      <c r="E1049" s="119"/>
      <c r="F1049" s="127">
        <v>-2.76E-2</v>
      </c>
      <c r="G1049" s="142">
        <f>IF($E1033&gt;0, $E1033, $E1032)</f>
        <v>160</v>
      </c>
      <c r="H1049" s="122">
        <f>G1049*F1049</f>
        <v>-4.4160000000000004</v>
      </c>
      <c r="I1049" s="128">
        <v>-2.76E-2</v>
      </c>
      <c r="J1049" s="142">
        <f>IF($E1033&gt;0, $E1033, $E1032)</f>
        <v>160</v>
      </c>
      <c r="K1049" s="122">
        <f>J1049*I1049</f>
        <v>-4.4160000000000004</v>
      </c>
      <c r="L1049" s="125">
        <f t="shared" si="148"/>
        <v>0</v>
      </c>
      <c r="M1049" s="126">
        <f t="shared" si="150"/>
        <v>0</v>
      </c>
    </row>
    <row r="1050" spans="1:13" x14ac:dyDescent="0.25">
      <c r="A1050" s="100" t="str">
        <f t="shared" si="151"/>
        <v>GENERAL SERVICE 50 TO 999 KW SERVICE CLASSIFICATION</v>
      </c>
      <c r="C1050" s="117"/>
      <c r="D1050" s="140" t="s">
        <v>162</v>
      </c>
      <c r="E1050" s="119"/>
      <c r="F1050" s="127">
        <v>0</v>
      </c>
      <c r="G1050" s="142">
        <f>E1032</f>
        <v>69000</v>
      </c>
      <c r="H1050" s="122">
        <f>G1050*F1050</f>
        <v>0</v>
      </c>
      <c r="I1050" s="128">
        <v>0</v>
      </c>
      <c r="J1050" s="142">
        <f>E1032</f>
        <v>69000</v>
      </c>
      <c r="K1050" s="122">
        <f t="shared" si="152"/>
        <v>0</v>
      </c>
      <c r="L1050" s="125">
        <f t="shared" si="148"/>
        <v>0</v>
      </c>
      <c r="M1050" s="126" t="str">
        <f t="shared" si="150"/>
        <v/>
      </c>
    </row>
    <row r="1051" spans="1:13" x14ac:dyDescent="0.25">
      <c r="A1051" s="100" t="str">
        <f t="shared" si="151"/>
        <v>GENERAL SERVICE 50 TO 999 KW SERVICE CLASSIFICATION</v>
      </c>
      <c r="C1051" s="117"/>
      <c r="D1051" s="143" t="s">
        <v>163</v>
      </c>
      <c r="E1051" s="119"/>
      <c r="F1051" s="127">
        <v>1.0483</v>
      </c>
      <c r="G1051" s="142">
        <f>IF($E1033&gt;0, $E1033, $E1032)</f>
        <v>160</v>
      </c>
      <c r="H1051" s="122">
        <f t="shared" si="149"/>
        <v>167.72800000000001</v>
      </c>
      <c r="I1051" s="128">
        <v>1.0483</v>
      </c>
      <c r="J1051" s="142">
        <f>IF($E1033&gt;0, $E1033, $E1032)</f>
        <v>160</v>
      </c>
      <c r="K1051" s="122">
        <f t="shared" si="152"/>
        <v>167.72800000000001</v>
      </c>
      <c r="L1051" s="125">
        <f t="shared" si="148"/>
        <v>0</v>
      </c>
      <c r="M1051" s="126">
        <f t="shared" si="150"/>
        <v>0</v>
      </c>
    </row>
    <row r="1052" spans="1:13" ht="25.5" x14ac:dyDescent="0.25">
      <c r="A1052" s="100" t="str">
        <f t="shared" si="151"/>
        <v>GENERAL SERVICE 50 TO 999 KW SERVICE CLASSIFICATION</v>
      </c>
      <c r="C1052" s="117"/>
      <c r="D1052" s="144" t="s">
        <v>164</v>
      </c>
      <c r="E1052" s="119"/>
      <c r="F1052" s="145">
        <f>IF(OR(ISNUMBER(SEARCH("RESIDENTIAL", E1030))=TRUE, ISNUMBER(SEARCH("GENERAL SERVICE LESS THAN 50", E1030))=TRUE), SME, 0)</f>
        <v>0</v>
      </c>
      <c r="G1052" s="121">
        <v>1</v>
      </c>
      <c r="H1052" s="122">
        <f>G1052*F1052</f>
        <v>0</v>
      </c>
      <c r="I1052" s="146">
        <v>0</v>
      </c>
      <c r="J1052" s="121">
        <v>1</v>
      </c>
      <c r="K1052" s="122">
        <f>J1052*I1052</f>
        <v>0</v>
      </c>
      <c r="L1052" s="125">
        <f t="shared" si="148"/>
        <v>0</v>
      </c>
      <c r="M1052" s="126" t="str">
        <f>IF(ISERROR(L1052/H1052), "", L1052/H1052)</f>
        <v/>
      </c>
    </row>
    <row r="1053" spans="1:13" x14ac:dyDescent="0.25">
      <c r="A1053" s="100" t="str">
        <f t="shared" si="151"/>
        <v>GENERAL SERVICE 50 TO 999 KW SERVICE CLASSIFICATION</v>
      </c>
      <c r="C1053" s="117"/>
      <c r="D1053" s="143" t="s">
        <v>165</v>
      </c>
      <c r="E1053" s="119"/>
      <c r="F1053" s="120">
        <v>0</v>
      </c>
      <c r="G1053" s="121">
        <v>1</v>
      </c>
      <c r="H1053" s="122">
        <f t="shared" si="149"/>
        <v>0</v>
      </c>
      <c r="I1053" s="123">
        <v>0</v>
      </c>
      <c r="J1053" s="121">
        <v>1</v>
      </c>
      <c r="K1053" s="122">
        <f>J1053*I1053</f>
        <v>0</v>
      </c>
      <c r="L1053" s="125">
        <f>K1053-H1053</f>
        <v>0</v>
      </c>
      <c r="M1053" s="126" t="str">
        <f>IF(ISERROR(L1053/H1053), "", L1053/H1053)</f>
        <v/>
      </c>
    </row>
    <row r="1054" spans="1:13" x14ac:dyDescent="0.25">
      <c r="A1054" s="100" t="str">
        <f t="shared" si="151"/>
        <v>GENERAL SERVICE 50 TO 999 KW SERVICE CLASSIFICATION</v>
      </c>
      <c r="C1054" s="117"/>
      <c r="D1054" s="143" t="s">
        <v>166</v>
      </c>
      <c r="E1054" s="119"/>
      <c r="F1054" s="127"/>
      <c r="G1054" s="142">
        <f>IF($E1033&gt;0, $E1033, $E1032)</f>
        <v>160</v>
      </c>
      <c r="H1054" s="122">
        <f>G1054*F1054</f>
        <v>0</v>
      </c>
      <c r="I1054" s="128"/>
      <c r="J1054" s="142">
        <f>IF($E1033&gt;0, $E1033, $E1032)</f>
        <v>160</v>
      </c>
      <c r="K1054" s="122">
        <f>J1054*I1054</f>
        <v>0</v>
      </c>
      <c r="L1054" s="125">
        <f t="shared" si="148"/>
        <v>0</v>
      </c>
      <c r="M1054" s="126" t="str">
        <f>IF(ISERROR(L1054/H1054), "", L1054/H1054)</f>
        <v/>
      </c>
    </row>
    <row r="1055" spans="1:13" ht="25.5" x14ac:dyDescent="0.25">
      <c r="A1055" s="100" t="str">
        <f t="shared" si="151"/>
        <v>GENERAL SERVICE 50 TO 999 KW SERVICE CLASSIFICATION</v>
      </c>
      <c r="B1055" s="105" t="s">
        <v>167</v>
      </c>
      <c r="C1055" s="117">
        <f>B47</f>
        <v>18</v>
      </c>
      <c r="D1055" s="147" t="s">
        <v>168</v>
      </c>
      <c r="E1055" s="148"/>
      <c r="F1055" s="149"/>
      <c r="G1055" s="150"/>
      <c r="H1055" s="151">
        <f>SUM(H1046:H1054)</f>
        <v>754.38200000000006</v>
      </c>
      <c r="I1055" s="152"/>
      <c r="J1055" s="153"/>
      <c r="K1055" s="151">
        <f>SUM(K1046:K1054)</f>
        <v>879.11681767396703</v>
      </c>
      <c r="L1055" s="138">
        <f t="shared" si="148"/>
        <v>124.73481767396697</v>
      </c>
      <c r="M1055" s="139">
        <f>IF((H1055)=0,"",(L1055/H1055))</f>
        <v>0.16534702269402898</v>
      </c>
    </row>
    <row r="1056" spans="1:13" x14ac:dyDescent="0.25">
      <c r="A1056" s="100" t="str">
        <f t="shared" si="151"/>
        <v>GENERAL SERVICE 50 TO 999 KW SERVICE CLASSIFICATION</v>
      </c>
      <c r="C1056" s="117"/>
      <c r="D1056" s="154" t="s">
        <v>169</v>
      </c>
      <c r="E1056" s="119"/>
      <c r="F1056" s="127">
        <v>2.6217000000000001</v>
      </c>
      <c r="G1056" s="141">
        <f>IF($E1033&gt;0, $E1033, $E1032*$E1034)</f>
        <v>160</v>
      </c>
      <c r="H1056" s="122">
        <f>G1056*F1056</f>
        <v>419.47200000000004</v>
      </c>
      <c r="I1056" s="128">
        <v>2.6217000000000001</v>
      </c>
      <c r="J1056" s="141">
        <f>IF($E1033&gt;0, $E1033, $E1032*$E1035)</f>
        <v>160</v>
      </c>
      <c r="K1056" s="122">
        <f>J1056*I1056</f>
        <v>419.47200000000004</v>
      </c>
      <c r="L1056" s="125">
        <f t="shared" si="148"/>
        <v>0</v>
      </c>
      <c r="M1056" s="126">
        <f>IF(ISERROR(L1056/H1056), "", L1056/H1056)</f>
        <v>0</v>
      </c>
    </row>
    <row r="1057" spans="1:13" ht="25.5" x14ac:dyDescent="0.25">
      <c r="A1057" s="100" t="str">
        <f t="shared" si="151"/>
        <v>GENERAL SERVICE 50 TO 999 KW SERVICE CLASSIFICATION</v>
      </c>
      <c r="C1057" s="117"/>
      <c r="D1057" s="155" t="s">
        <v>170</v>
      </c>
      <c r="E1057" s="119"/>
      <c r="F1057" s="127">
        <v>2.2145999999999999</v>
      </c>
      <c r="G1057" s="141">
        <f>IF($E1033&gt;0, $E1033, $E1032*$E1034)</f>
        <v>160</v>
      </c>
      <c r="H1057" s="122">
        <f>G1057*F1057</f>
        <v>354.33600000000001</v>
      </c>
      <c r="I1057" s="128">
        <v>2.2145999999999999</v>
      </c>
      <c r="J1057" s="141">
        <f>IF($E1033&gt;0, $E1033, $E1032*$E1035)</f>
        <v>160</v>
      </c>
      <c r="K1057" s="122">
        <f>J1057*I1057</f>
        <v>354.33600000000001</v>
      </c>
      <c r="L1057" s="125">
        <f t="shared" si="148"/>
        <v>0</v>
      </c>
      <c r="M1057" s="126">
        <f>IF(ISERROR(L1057/H1057), "", L1057/H1057)</f>
        <v>0</v>
      </c>
    </row>
    <row r="1058" spans="1:13" ht="25.5" x14ac:dyDescent="0.25">
      <c r="A1058" s="100" t="str">
        <f t="shared" si="151"/>
        <v>GENERAL SERVICE 50 TO 999 KW SERVICE CLASSIFICATION</v>
      </c>
      <c r="B1058" s="105" t="s">
        <v>171</v>
      </c>
      <c r="C1058" s="117">
        <f>B47</f>
        <v>18</v>
      </c>
      <c r="D1058" s="147" t="s">
        <v>172</v>
      </c>
      <c r="E1058" s="132"/>
      <c r="F1058" s="149"/>
      <c r="G1058" s="150"/>
      <c r="H1058" s="151">
        <f>SUM(H1055:H1057)</f>
        <v>1528.19</v>
      </c>
      <c r="I1058" s="152"/>
      <c r="J1058" s="137"/>
      <c r="K1058" s="151">
        <f>SUM(K1055:K1057)</f>
        <v>1652.924817673967</v>
      </c>
      <c r="L1058" s="138">
        <f t="shared" si="148"/>
        <v>124.73481767396697</v>
      </c>
      <c r="M1058" s="139">
        <f>IF((H1058)=0,"",(L1058/H1058))</f>
        <v>8.1622584674658896E-2</v>
      </c>
    </row>
    <row r="1059" spans="1:13" ht="25.5" x14ac:dyDescent="0.25">
      <c r="A1059" s="100" t="str">
        <f t="shared" si="151"/>
        <v>GENERAL SERVICE 50 TO 999 KW SERVICE CLASSIFICATION</v>
      </c>
      <c r="C1059" s="117"/>
      <c r="D1059" s="156" t="s">
        <v>173</v>
      </c>
      <c r="E1059" s="119"/>
      <c r="F1059" s="127">
        <v>3.6000000000000003E-3</v>
      </c>
      <c r="G1059" s="141">
        <f>E1032*E1034</f>
        <v>72864</v>
      </c>
      <c r="H1059" s="157">
        <f t="shared" ref="H1059:H1065" si="153">G1059*F1059</f>
        <v>262.31040000000002</v>
      </c>
      <c r="I1059" s="128">
        <v>3.6000000000000003E-3</v>
      </c>
      <c r="J1059" s="141">
        <f>E1032*E1035</f>
        <v>72864</v>
      </c>
      <c r="K1059" s="157">
        <f t="shared" ref="K1059:K1065" si="154">J1059*I1059</f>
        <v>262.31040000000002</v>
      </c>
      <c r="L1059" s="125">
        <f t="shared" si="148"/>
        <v>0</v>
      </c>
      <c r="M1059" s="126">
        <f t="shared" ref="M1059:M1067" si="155">IF(ISERROR(L1059/H1059), "", L1059/H1059)</f>
        <v>0</v>
      </c>
    </row>
    <row r="1060" spans="1:13" ht="25.5" x14ac:dyDescent="0.25">
      <c r="A1060" s="100" t="str">
        <f t="shared" si="151"/>
        <v>GENERAL SERVICE 50 TO 999 KW SERVICE CLASSIFICATION</v>
      </c>
      <c r="C1060" s="117"/>
      <c r="D1060" s="156" t="s">
        <v>174</v>
      </c>
      <c r="E1060" s="119"/>
      <c r="F1060" s="127">
        <f>'[1]17. Regulatory Charges'!$D$16</f>
        <v>2.9999999999999997E-4</v>
      </c>
      <c r="G1060" s="141">
        <f>E1032*E1034</f>
        <v>72864</v>
      </c>
      <c r="H1060" s="157">
        <f t="shared" si="153"/>
        <v>21.859199999999998</v>
      </c>
      <c r="I1060" s="128">
        <v>2.9999999999999997E-4</v>
      </c>
      <c r="J1060" s="141">
        <f>E1032*E1035</f>
        <v>72864</v>
      </c>
      <c r="K1060" s="157">
        <f t="shared" si="154"/>
        <v>21.859199999999998</v>
      </c>
      <c r="L1060" s="125">
        <f t="shared" si="148"/>
        <v>0</v>
      </c>
      <c r="M1060" s="126">
        <f t="shared" si="155"/>
        <v>0</v>
      </c>
    </row>
    <row r="1061" spans="1:13" x14ac:dyDescent="0.25">
      <c r="A1061" s="100" t="str">
        <f t="shared" si="151"/>
        <v>GENERAL SERVICE 50 TO 999 KW SERVICE CLASSIFICATION</v>
      </c>
      <c r="C1061" s="117"/>
      <c r="D1061" s="158" t="s">
        <v>175</v>
      </c>
      <c r="E1061" s="119"/>
      <c r="F1061" s="145">
        <v>0.25</v>
      </c>
      <c r="G1061" s="121">
        <v>1</v>
      </c>
      <c r="H1061" s="157">
        <f t="shared" si="153"/>
        <v>0.25</v>
      </c>
      <c r="I1061" s="146">
        <v>0.25</v>
      </c>
      <c r="J1061" s="124">
        <v>1</v>
      </c>
      <c r="K1061" s="157">
        <f t="shared" si="154"/>
        <v>0.25</v>
      </c>
      <c r="L1061" s="125">
        <f t="shared" si="148"/>
        <v>0</v>
      </c>
      <c r="M1061" s="126">
        <f t="shared" si="155"/>
        <v>0</v>
      </c>
    </row>
    <row r="1062" spans="1:13" ht="25.5" x14ac:dyDescent="0.25">
      <c r="A1062" s="100" t="str">
        <f t="shared" si="151"/>
        <v>GENERAL SERVICE 50 TO 999 KW SERVICE CLASSIFICATION</v>
      </c>
      <c r="C1062" s="117"/>
      <c r="D1062" s="156" t="s">
        <v>176</v>
      </c>
      <c r="E1062" s="119"/>
      <c r="F1062" s="127"/>
      <c r="G1062" s="141"/>
      <c r="H1062" s="157"/>
      <c r="I1062" s="128"/>
      <c r="J1062" s="141"/>
      <c r="K1062" s="157"/>
      <c r="L1062" s="125"/>
      <c r="M1062" s="126"/>
    </row>
    <row r="1063" spans="1:13" x14ac:dyDescent="0.25">
      <c r="A1063" s="100" t="str">
        <f t="shared" si="151"/>
        <v>GENERAL SERVICE 50 TO 999 KW SERVICE CLASSIFICATION</v>
      </c>
      <c r="B1063" s="105" t="s">
        <v>117</v>
      </c>
      <c r="C1063" s="117"/>
      <c r="D1063" s="159" t="s">
        <v>177</v>
      </c>
      <c r="E1063" s="119"/>
      <c r="F1063" s="160">
        <f>OffPeak</f>
        <v>6.5000000000000002E-2</v>
      </c>
      <c r="G1063" s="161">
        <f>IF(AND(E1032*12&gt;=150000),0.65*E1032*E1034,0.65*E1032)</f>
        <v>47361.600000000006</v>
      </c>
      <c r="H1063" s="157">
        <f t="shared" si="153"/>
        <v>3078.5040000000004</v>
      </c>
      <c r="I1063" s="162">
        <v>6.5000000000000002E-2</v>
      </c>
      <c r="J1063" s="161">
        <f>IF(AND(E1032*12&gt;=150000),0.65*E1032*E1035,0.65*E1032)</f>
        <v>47361.600000000006</v>
      </c>
      <c r="K1063" s="157">
        <f t="shared" si="154"/>
        <v>3078.5040000000004</v>
      </c>
      <c r="L1063" s="125">
        <f>K1063-H1063</f>
        <v>0</v>
      </c>
      <c r="M1063" s="126">
        <f t="shared" si="155"/>
        <v>0</v>
      </c>
    </row>
    <row r="1064" spans="1:13" x14ac:dyDescent="0.25">
      <c r="A1064" s="100" t="str">
        <f t="shared" si="151"/>
        <v>GENERAL SERVICE 50 TO 999 KW SERVICE CLASSIFICATION</v>
      </c>
      <c r="B1064" s="105" t="s">
        <v>117</v>
      </c>
      <c r="C1064" s="117"/>
      <c r="D1064" s="159" t="s">
        <v>178</v>
      </c>
      <c r="E1064" s="119"/>
      <c r="F1064" s="160">
        <f>MidPeak</f>
        <v>9.4E-2</v>
      </c>
      <c r="G1064" s="161">
        <f>IF(AND(E1032*12&gt;=150000),0.17*E1032*E1034,0.17*E1032)</f>
        <v>12386.880000000001</v>
      </c>
      <c r="H1064" s="157">
        <f t="shared" si="153"/>
        <v>1164.36672</v>
      </c>
      <c r="I1064" s="162">
        <v>9.4E-2</v>
      </c>
      <c r="J1064" s="161">
        <f>IF(AND(E1032*12&gt;=150000),0.17*E1032*E1035,0.17*E1032)</f>
        <v>12386.880000000001</v>
      </c>
      <c r="K1064" s="157">
        <f t="shared" si="154"/>
        <v>1164.36672</v>
      </c>
      <c r="L1064" s="125">
        <f>K1064-H1064</f>
        <v>0</v>
      </c>
      <c r="M1064" s="126">
        <f t="shared" si="155"/>
        <v>0</v>
      </c>
    </row>
    <row r="1065" spans="1:13" ht="15.75" thickBot="1" x14ac:dyDescent="0.3">
      <c r="A1065" s="100" t="str">
        <f t="shared" si="151"/>
        <v>GENERAL SERVICE 50 TO 999 KW SERVICE CLASSIFICATION</v>
      </c>
      <c r="B1065" s="105" t="s">
        <v>117</v>
      </c>
      <c r="C1065" s="117"/>
      <c r="D1065" s="105" t="s">
        <v>179</v>
      </c>
      <c r="E1065" s="119"/>
      <c r="F1065" s="160">
        <f>OnPeak</f>
        <v>0.13200000000000001</v>
      </c>
      <c r="G1065" s="161">
        <f>IF(AND(E1032*12&gt;=150000),0.18*E1032*E1034,0.18*E1032)</f>
        <v>13115.52</v>
      </c>
      <c r="H1065" s="157">
        <f t="shared" si="153"/>
        <v>1731.2486400000003</v>
      </c>
      <c r="I1065" s="162">
        <v>0.13200000000000001</v>
      </c>
      <c r="J1065" s="161">
        <f>IF(AND(E1032*12&gt;=150000),0.18*E1032*E1035,0.18*E1032)</f>
        <v>13115.52</v>
      </c>
      <c r="K1065" s="157">
        <f t="shared" si="154"/>
        <v>1731.2486400000003</v>
      </c>
      <c r="L1065" s="125">
        <f>K1065-H1065</f>
        <v>0</v>
      </c>
      <c r="M1065" s="126">
        <f t="shared" si="155"/>
        <v>0</v>
      </c>
    </row>
    <row r="1066" spans="1:13" hidden="1" x14ac:dyDescent="0.25">
      <c r="A1066" s="100" t="str">
        <f t="shared" si="151"/>
        <v>GENERAL SERVICE 50 TO 999 KW SERVICE CLASSIFICATION</v>
      </c>
      <c r="B1066" s="100" t="s">
        <v>180</v>
      </c>
      <c r="C1066" s="117"/>
      <c r="D1066" s="159" t="s">
        <v>181</v>
      </c>
      <c r="E1066" s="119"/>
      <c r="F1066" s="163">
        <v>0.1101</v>
      </c>
      <c r="G1066" s="161">
        <f>IF(AND(E1032*12&gt;=150000),E1032*E1034,E1032)</f>
        <v>72864</v>
      </c>
      <c r="H1066" s="157">
        <f>G1066*F1066</f>
        <v>8022.3263999999999</v>
      </c>
      <c r="I1066" s="164">
        <v>0.1101</v>
      </c>
      <c r="J1066" s="161">
        <f>IF(AND(E1032*12&gt;=150000),E1032*E1035,E1032)</f>
        <v>72864</v>
      </c>
      <c r="K1066" s="157">
        <f>J1066*I1066</f>
        <v>8022.3263999999999</v>
      </c>
      <c r="L1066" s="125">
        <f>K1066-H1066</f>
        <v>0</v>
      </c>
      <c r="M1066" s="126">
        <f t="shared" si="155"/>
        <v>0</v>
      </c>
    </row>
    <row r="1067" spans="1:13" ht="15.75" hidden="1" thickBot="1" x14ac:dyDescent="0.3">
      <c r="A1067" s="100" t="str">
        <f t="shared" si="151"/>
        <v>GENERAL SERVICE 50 TO 999 KW SERVICE CLASSIFICATION</v>
      </c>
      <c r="B1067" s="100" t="s">
        <v>121</v>
      </c>
      <c r="C1067" s="117"/>
      <c r="D1067" s="159" t="s">
        <v>182</v>
      </c>
      <c r="E1067" s="119"/>
      <c r="F1067" s="163">
        <v>0.1101</v>
      </c>
      <c r="G1067" s="161">
        <f>IF(AND(E1032*12&gt;=150000),E1032*E1034,E1032)</f>
        <v>72864</v>
      </c>
      <c r="H1067" s="157">
        <f>G1067*F1067</f>
        <v>8022.3263999999999</v>
      </c>
      <c r="I1067" s="164">
        <v>0.1101</v>
      </c>
      <c r="J1067" s="161">
        <f>IF(AND(E1032*12&gt;=150000),E1032*E1035,E1032)</f>
        <v>72864</v>
      </c>
      <c r="K1067" s="157">
        <f>J1067*I1067</f>
        <v>8022.3263999999999</v>
      </c>
      <c r="L1067" s="125">
        <f>K1067-H1067</f>
        <v>0</v>
      </c>
      <c r="M1067" s="126">
        <f t="shared" si="155"/>
        <v>0</v>
      </c>
    </row>
    <row r="1068" spans="1:13" ht="15.75" thickBot="1" x14ac:dyDescent="0.3">
      <c r="A1068" s="100" t="str">
        <f t="shared" si="151"/>
        <v>GENERAL SERVICE 50 TO 999 KW SERVICE CLASSIFICATION</v>
      </c>
      <c r="B1068" s="105"/>
      <c r="C1068" s="117"/>
      <c r="D1068" s="165"/>
      <c r="E1068" s="166"/>
      <c r="F1068" s="167"/>
      <c r="G1068" s="168"/>
      <c r="H1068" s="169"/>
      <c r="I1068" s="167"/>
      <c r="J1068" s="170"/>
      <c r="K1068" s="169"/>
      <c r="L1068" s="171"/>
      <c r="M1068" s="172"/>
    </row>
    <row r="1069" spans="1:13" x14ac:dyDescent="0.25">
      <c r="A1069" s="100" t="str">
        <f t="shared" si="151"/>
        <v>GENERAL SERVICE 50 TO 999 KW SERVICE CLASSIFICATION</v>
      </c>
      <c r="B1069" s="105" t="s">
        <v>117</v>
      </c>
      <c r="C1069" s="117"/>
      <c r="D1069" s="173" t="s">
        <v>183</v>
      </c>
      <c r="E1069" s="158"/>
      <c r="F1069" s="174"/>
      <c r="G1069" s="175"/>
      <c r="H1069" s="176">
        <f>SUM(H1059:H1065,H1058)</f>
        <v>7786.7289600000004</v>
      </c>
      <c r="I1069" s="177"/>
      <c r="J1069" s="177"/>
      <c r="K1069" s="176">
        <f>SUM(K1059:K1065,K1058)</f>
        <v>7911.4637776739673</v>
      </c>
      <c r="L1069" s="178">
        <f>K1069-H1069</f>
        <v>124.73481767396697</v>
      </c>
      <c r="M1069" s="179">
        <f>IF((H1069)=0,"",(L1069/H1069))</f>
        <v>1.6018898091191166E-2</v>
      </c>
    </row>
    <row r="1070" spans="1:13" x14ac:dyDescent="0.25">
      <c r="A1070" s="100" t="str">
        <f t="shared" si="151"/>
        <v>GENERAL SERVICE 50 TO 999 KW SERVICE CLASSIFICATION</v>
      </c>
      <c r="B1070" s="105" t="s">
        <v>117</v>
      </c>
      <c r="C1070" s="117"/>
      <c r="D1070" s="180" t="s">
        <v>184</v>
      </c>
      <c r="E1070" s="158"/>
      <c r="F1070" s="174">
        <v>0.13</v>
      </c>
      <c r="G1070" s="181"/>
      <c r="H1070" s="182">
        <f>H1069*F1070</f>
        <v>1012.2747648000001</v>
      </c>
      <c r="I1070" s="183">
        <v>0.13</v>
      </c>
      <c r="J1070" s="121"/>
      <c r="K1070" s="182">
        <f>K1069*I1070</f>
        <v>1028.4902910976157</v>
      </c>
      <c r="L1070" s="184">
        <f>K1070-H1070</f>
        <v>16.215526297615611</v>
      </c>
      <c r="M1070" s="185">
        <f>IF((H1070)=0,"",(L1070/H1070))</f>
        <v>1.6018898091191069E-2</v>
      </c>
    </row>
    <row r="1071" spans="1:13" x14ac:dyDescent="0.25">
      <c r="A1071" s="100" t="str">
        <f t="shared" si="151"/>
        <v>GENERAL SERVICE 50 TO 999 KW SERVICE CLASSIFICATION</v>
      </c>
      <c r="B1071" s="105" t="s">
        <v>117</v>
      </c>
      <c r="C1071" s="117"/>
      <c r="D1071" s="180" t="s">
        <v>185</v>
      </c>
      <c r="E1071" s="158"/>
      <c r="F1071" s="174">
        <v>0.08</v>
      </c>
      <c r="G1071" s="181"/>
      <c r="H1071" s="182">
        <v>0</v>
      </c>
      <c r="I1071" s="174">
        <v>0.08</v>
      </c>
      <c r="J1071" s="121"/>
      <c r="K1071" s="182">
        <v>0</v>
      </c>
      <c r="L1071" s="184">
        <f>K1071-H1071</f>
        <v>0</v>
      </c>
      <c r="M1071" s="185"/>
    </row>
    <row r="1072" spans="1:13" ht="15.75" thickBot="1" x14ac:dyDescent="0.3">
      <c r="A1072" s="100" t="str">
        <f t="shared" si="151"/>
        <v>GENERAL SERVICE 50 TO 999 KW SERVICE CLASSIFICATION</v>
      </c>
      <c r="B1072" s="105" t="s">
        <v>186</v>
      </c>
      <c r="C1072" s="117">
        <f>B47</f>
        <v>18</v>
      </c>
      <c r="D1072" s="301" t="s">
        <v>187</v>
      </c>
      <c r="E1072" s="301"/>
      <c r="F1072" s="186"/>
      <c r="G1072" s="187"/>
      <c r="H1072" s="188">
        <f>H1069+H1070+H1071</f>
        <v>8799.0037248000008</v>
      </c>
      <c r="I1072" s="189"/>
      <c r="J1072" s="189"/>
      <c r="K1072" s="190">
        <f>K1069+K1070+K1071</f>
        <v>8939.9540687715835</v>
      </c>
      <c r="L1072" s="191">
        <f>K1072-H1072</f>
        <v>140.9503439715827</v>
      </c>
      <c r="M1072" s="192">
        <f>IF((H1072)=0,"",(L1072/H1072))</f>
        <v>1.6018898091191166E-2</v>
      </c>
    </row>
    <row r="1073" spans="1:13" ht="15.75" hidden="1" thickBot="1" x14ac:dyDescent="0.3">
      <c r="A1073" s="100" t="str">
        <f t="shared" si="151"/>
        <v>GENERAL SERVICE 50 TO 999 KW SERVICE CLASSIFICATION</v>
      </c>
      <c r="B1073" s="100" t="s">
        <v>117</v>
      </c>
      <c r="C1073" s="117"/>
      <c r="D1073" s="165"/>
      <c r="E1073" s="166"/>
      <c r="F1073" s="167"/>
      <c r="G1073" s="168"/>
      <c r="H1073" s="169"/>
      <c r="I1073" s="167"/>
      <c r="J1073" s="170"/>
      <c r="K1073" s="169"/>
      <c r="L1073" s="171"/>
      <c r="M1073" s="172"/>
    </row>
    <row r="1074" spans="1:13" hidden="1" x14ac:dyDescent="0.25">
      <c r="A1074" s="100" t="str">
        <f t="shared" si="151"/>
        <v>GENERAL SERVICE 50 TO 999 KW SERVICE CLASSIFICATION</v>
      </c>
      <c r="B1074" s="100" t="s">
        <v>180</v>
      </c>
      <c r="C1074" s="117"/>
      <c r="D1074" s="173" t="s">
        <v>188</v>
      </c>
      <c r="E1074" s="158"/>
      <c r="F1074" s="174"/>
      <c r="G1074" s="175"/>
      <c r="H1074" s="176">
        <f>SUM(H1066,H1059:H1062,H1058)</f>
        <v>9834.9360000000015</v>
      </c>
      <c r="I1074" s="177"/>
      <c r="J1074" s="177"/>
      <c r="K1074" s="176">
        <f>SUM(K1066,K1059:K1062,K1058)</f>
        <v>9959.6708176739685</v>
      </c>
      <c r="L1074" s="178">
        <f>K1074-H1074</f>
        <v>124.73481767396697</v>
      </c>
      <c r="M1074" s="179">
        <f>IF((H1074)=0,"",(L1074/H1074))</f>
        <v>1.2682829626340928E-2</v>
      </c>
    </row>
    <row r="1075" spans="1:13" hidden="1" x14ac:dyDescent="0.25">
      <c r="A1075" s="100" t="str">
        <f t="shared" si="151"/>
        <v>GENERAL SERVICE 50 TO 999 KW SERVICE CLASSIFICATION</v>
      </c>
      <c r="B1075" s="100" t="s">
        <v>180</v>
      </c>
      <c r="C1075" s="117"/>
      <c r="D1075" s="180" t="s">
        <v>184</v>
      </c>
      <c r="E1075" s="158"/>
      <c r="F1075" s="174">
        <v>0.13</v>
      </c>
      <c r="G1075" s="175"/>
      <c r="H1075" s="182">
        <f>H1074*F1075</f>
        <v>1278.5416800000003</v>
      </c>
      <c r="I1075" s="174">
        <v>0.13</v>
      </c>
      <c r="J1075" s="183"/>
      <c r="K1075" s="182">
        <f>K1074*I1075</f>
        <v>1294.757206297616</v>
      </c>
      <c r="L1075" s="184">
        <f>K1075-H1075</f>
        <v>16.215526297615725</v>
      </c>
      <c r="M1075" s="185">
        <f>IF((H1075)=0,"",(L1075/H1075))</f>
        <v>1.2682829626340942E-2</v>
      </c>
    </row>
    <row r="1076" spans="1:13" hidden="1" x14ac:dyDescent="0.25">
      <c r="A1076" s="100" t="str">
        <f t="shared" si="151"/>
        <v>GENERAL SERVICE 50 TO 999 KW SERVICE CLASSIFICATION</v>
      </c>
      <c r="B1076" s="100" t="s">
        <v>180</v>
      </c>
      <c r="C1076" s="117"/>
      <c r="D1076" s="180" t="s">
        <v>185</v>
      </c>
      <c r="E1076" s="158"/>
      <c r="F1076" s="174">
        <v>0.08</v>
      </c>
      <c r="G1076" s="175"/>
      <c r="H1076" s="182">
        <v>0</v>
      </c>
      <c r="I1076" s="174">
        <v>0.08</v>
      </c>
      <c r="J1076" s="183"/>
      <c r="K1076" s="182">
        <v>0</v>
      </c>
      <c r="L1076" s="184"/>
      <c r="M1076" s="185"/>
    </row>
    <row r="1077" spans="1:13" ht="15.75" hidden="1" thickBot="1" x14ac:dyDescent="0.3">
      <c r="A1077" s="100" t="str">
        <f t="shared" si="151"/>
        <v>GENERAL SERVICE 50 TO 999 KW SERVICE CLASSIFICATION</v>
      </c>
      <c r="B1077" s="100" t="s">
        <v>189</v>
      </c>
      <c r="C1077" s="117"/>
      <c r="D1077" s="301" t="s">
        <v>188</v>
      </c>
      <c r="E1077" s="301"/>
      <c r="F1077" s="193"/>
      <c r="G1077" s="194"/>
      <c r="H1077" s="188">
        <f>SUM(H1074,H1075)</f>
        <v>11113.477680000002</v>
      </c>
      <c r="I1077" s="195"/>
      <c r="J1077" s="195"/>
      <c r="K1077" s="188">
        <f>SUM(K1074,K1075)</f>
        <v>11254.428023971584</v>
      </c>
      <c r="L1077" s="196">
        <f>K1077-H1077</f>
        <v>140.9503439715827</v>
      </c>
      <c r="M1077" s="197">
        <f>IF((H1077)=0,"",(L1077/H1077))</f>
        <v>1.268282962634093E-2</v>
      </c>
    </row>
    <row r="1078" spans="1:13" ht="15.75" hidden="1" thickBot="1" x14ac:dyDescent="0.3">
      <c r="A1078" s="100" t="str">
        <f t="shared" si="151"/>
        <v>GENERAL SERVICE 50 TO 999 KW SERVICE CLASSIFICATION</v>
      </c>
      <c r="B1078" s="100" t="s">
        <v>180</v>
      </c>
      <c r="C1078" s="117"/>
      <c r="D1078" s="165"/>
      <c r="E1078" s="166"/>
      <c r="F1078" s="198"/>
      <c r="G1078" s="199"/>
      <c r="H1078" s="200"/>
      <c r="I1078" s="198"/>
      <c r="J1078" s="168"/>
      <c r="K1078" s="200"/>
      <c r="L1078" s="201"/>
      <c r="M1078" s="172"/>
    </row>
    <row r="1079" spans="1:13" hidden="1" x14ac:dyDescent="0.25">
      <c r="A1079" s="100" t="str">
        <f t="shared" si="151"/>
        <v>GENERAL SERVICE 50 TO 999 KW SERVICE CLASSIFICATION</v>
      </c>
      <c r="B1079" s="100" t="s">
        <v>121</v>
      </c>
      <c r="C1079" s="117"/>
      <c r="D1079" s="173" t="s">
        <v>190</v>
      </c>
      <c r="E1079" s="158"/>
      <c r="F1079" s="174"/>
      <c r="G1079" s="175"/>
      <c r="H1079" s="176">
        <f>SUM(H1067,H1059:H1062,H1058)</f>
        <v>9834.9360000000015</v>
      </c>
      <c r="I1079" s="177"/>
      <c r="J1079" s="177"/>
      <c r="K1079" s="176">
        <f>SUM(K1067,K1059:K1062,K1058)</f>
        <v>9959.6708176739685</v>
      </c>
      <c r="L1079" s="178">
        <f>K1079-H1079</f>
        <v>124.73481767396697</v>
      </c>
      <c r="M1079" s="179">
        <f>IF((H1079)=0,"",(L1079/H1079))</f>
        <v>1.2682829626340928E-2</v>
      </c>
    </row>
    <row r="1080" spans="1:13" hidden="1" x14ac:dyDescent="0.25">
      <c r="A1080" s="100" t="str">
        <f t="shared" si="151"/>
        <v>GENERAL SERVICE 50 TO 999 KW SERVICE CLASSIFICATION</v>
      </c>
      <c r="B1080" s="100" t="s">
        <v>121</v>
      </c>
      <c r="C1080" s="117"/>
      <c r="D1080" s="180" t="s">
        <v>184</v>
      </c>
      <c r="E1080" s="158"/>
      <c r="F1080" s="174">
        <v>0.13</v>
      </c>
      <c r="G1080" s="175"/>
      <c r="H1080" s="182">
        <f>H1079*F1080</f>
        <v>1278.5416800000003</v>
      </c>
      <c r="I1080" s="174">
        <v>0.13</v>
      </c>
      <c r="J1080" s="183"/>
      <c r="K1080" s="182">
        <f>K1079*I1080</f>
        <v>1294.757206297616</v>
      </c>
      <c r="L1080" s="184">
        <f>K1080-H1080</f>
        <v>16.215526297615725</v>
      </c>
      <c r="M1080" s="185">
        <f>IF((H1080)=0,"",(L1080/H1080))</f>
        <v>1.2682829626340942E-2</v>
      </c>
    </row>
    <row r="1081" spans="1:13" hidden="1" x14ac:dyDescent="0.25">
      <c r="A1081" s="100" t="str">
        <f t="shared" si="151"/>
        <v>GENERAL SERVICE 50 TO 999 KW SERVICE CLASSIFICATION</v>
      </c>
      <c r="B1081" s="100" t="s">
        <v>121</v>
      </c>
      <c r="C1081" s="117"/>
      <c r="D1081" s="180" t="s">
        <v>185</v>
      </c>
      <c r="E1081" s="158"/>
      <c r="F1081" s="174">
        <v>0.08</v>
      </c>
      <c r="G1081" s="175"/>
      <c r="H1081" s="182">
        <v>0</v>
      </c>
      <c r="I1081" s="174">
        <v>0.08</v>
      </c>
      <c r="J1081" s="183"/>
      <c r="K1081" s="182">
        <v>0</v>
      </c>
      <c r="L1081" s="184"/>
      <c r="M1081" s="185"/>
    </row>
    <row r="1082" spans="1:13" ht="15.75" hidden="1" thickBot="1" x14ac:dyDescent="0.3">
      <c r="A1082" s="100" t="str">
        <f t="shared" si="151"/>
        <v>GENERAL SERVICE 50 TO 999 KW SERVICE CLASSIFICATION</v>
      </c>
      <c r="B1082" s="100" t="s">
        <v>191</v>
      </c>
      <c r="C1082" s="117"/>
      <c r="D1082" s="301" t="s">
        <v>190</v>
      </c>
      <c r="E1082" s="301"/>
      <c r="F1082" s="193"/>
      <c r="G1082" s="194"/>
      <c r="H1082" s="188">
        <f>SUM(H1079,H1080)</f>
        <v>11113.477680000002</v>
      </c>
      <c r="I1082" s="195"/>
      <c r="J1082" s="195"/>
      <c r="K1082" s="188">
        <f>SUM(K1079,K1080)</f>
        <v>11254.428023971584</v>
      </c>
      <c r="L1082" s="196">
        <f>K1082-H1082</f>
        <v>140.9503439715827</v>
      </c>
      <c r="M1082" s="197">
        <f>IF((H1082)=0,"",(L1082/H1082))</f>
        <v>1.268282962634093E-2</v>
      </c>
    </row>
    <row r="1083" spans="1:13" ht="15.75" thickBot="1" x14ac:dyDescent="0.3">
      <c r="A1083" s="100" t="str">
        <f t="shared" si="151"/>
        <v>GENERAL SERVICE 50 TO 999 KW SERVICE CLASSIFICATION</v>
      </c>
      <c r="B1083" s="100" t="s">
        <v>121</v>
      </c>
      <c r="C1083" s="117"/>
      <c r="D1083" s="165"/>
      <c r="E1083" s="166"/>
      <c r="F1083" s="202"/>
      <c r="G1083" s="203"/>
      <c r="H1083" s="204"/>
      <c r="I1083" s="202"/>
      <c r="J1083" s="205"/>
      <c r="K1083" s="204"/>
      <c r="L1083" s="206"/>
      <c r="M1083" s="207"/>
    </row>
  </sheetData>
  <sheetProtection password="CC7B" sheet="1" objects="1" scenarios="1"/>
  <mergeCells count="232">
    <mergeCell ref="D1072:E1072"/>
    <mergeCell ref="D1077:E1077"/>
    <mergeCell ref="D1082:E1082"/>
    <mergeCell ref="E1030:J1030"/>
    <mergeCell ref="E1031:G1031"/>
    <mergeCell ref="F1037:H1037"/>
    <mergeCell ref="I1037:K1037"/>
    <mergeCell ref="L1037:M1037"/>
    <mergeCell ref="E1038:E1039"/>
    <mergeCell ref="L1038:L1039"/>
    <mergeCell ref="M1038:M1039"/>
    <mergeCell ref="E982:E983"/>
    <mergeCell ref="L982:L983"/>
    <mergeCell ref="M982:M983"/>
    <mergeCell ref="D1016:E1016"/>
    <mergeCell ref="D1021:E1021"/>
    <mergeCell ref="D1026:E1026"/>
    <mergeCell ref="D970:E970"/>
    <mergeCell ref="E974:J974"/>
    <mergeCell ref="E975:G975"/>
    <mergeCell ref="F981:H981"/>
    <mergeCell ref="I981:K981"/>
    <mergeCell ref="L981:M981"/>
    <mergeCell ref="L925:M925"/>
    <mergeCell ref="E926:E927"/>
    <mergeCell ref="L926:L927"/>
    <mergeCell ref="M926:M927"/>
    <mergeCell ref="D960:E960"/>
    <mergeCell ref="D965:E965"/>
    <mergeCell ref="D904:E904"/>
    <mergeCell ref="D909:E909"/>
    <mergeCell ref="D914:E914"/>
    <mergeCell ref="E918:J918"/>
    <mergeCell ref="E919:G919"/>
    <mergeCell ref="F925:H925"/>
    <mergeCell ref="I925:K925"/>
    <mergeCell ref="E862:J862"/>
    <mergeCell ref="E863:G863"/>
    <mergeCell ref="F869:H869"/>
    <mergeCell ref="I869:K869"/>
    <mergeCell ref="L869:M869"/>
    <mergeCell ref="E870:E871"/>
    <mergeCell ref="L870:L871"/>
    <mergeCell ref="M870:M871"/>
    <mergeCell ref="E814:E815"/>
    <mergeCell ref="L814:L815"/>
    <mergeCell ref="M814:M815"/>
    <mergeCell ref="D848:E848"/>
    <mergeCell ref="D853:E853"/>
    <mergeCell ref="D858:E858"/>
    <mergeCell ref="D802:E802"/>
    <mergeCell ref="E806:J806"/>
    <mergeCell ref="E807:G807"/>
    <mergeCell ref="F813:H813"/>
    <mergeCell ref="I813:K813"/>
    <mergeCell ref="L813:M813"/>
    <mergeCell ref="L757:M757"/>
    <mergeCell ref="E758:E759"/>
    <mergeCell ref="L758:L759"/>
    <mergeCell ref="M758:M759"/>
    <mergeCell ref="D792:E792"/>
    <mergeCell ref="D797:E797"/>
    <mergeCell ref="D736:E736"/>
    <mergeCell ref="D741:E741"/>
    <mergeCell ref="D746:E746"/>
    <mergeCell ref="E750:J750"/>
    <mergeCell ref="E751:G751"/>
    <mergeCell ref="F757:H757"/>
    <mergeCell ref="I757:K757"/>
    <mergeCell ref="E694:J694"/>
    <mergeCell ref="E695:G695"/>
    <mergeCell ref="F701:H701"/>
    <mergeCell ref="I701:K701"/>
    <mergeCell ref="L701:M701"/>
    <mergeCell ref="E702:E703"/>
    <mergeCell ref="L702:L703"/>
    <mergeCell ref="M702:M703"/>
    <mergeCell ref="E646:E647"/>
    <mergeCell ref="L646:L647"/>
    <mergeCell ref="M646:M647"/>
    <mergeCell ref="D680:E680"/>
    <mergeCell ref="D685:E685"/>
    <mergeCell ref="D690:E690"/>
    <mergeCell ref="D634:E634"/>
    <mergeCell ref="E638:J638"/>
    <mergeCell ref="E639:G639"/>
    <mergeCell ref="F645:H645"/>
    <mergeCell ref="I645:K645"/>
    <mergeCell ref="L645:M645"/>
    <mergeCell ref="L589:M589"/>
    <mergeCell ref="E590:E591"/>
    <mergeCell ref="L590:L591"/>
    <mergeCell ref="M590:M591"/>
    <mergeCell ref="D624:E624"/>
    <mergeCell ref="D629:E629"/>
    <mergeCell ref="D568:E568"/>
    <mergeCell ref="D573:E573"/>
    <mergeCell ref="D578:E578"/>
    <mergeCell ref="E582:J582"/>
    <mergeCell ref="E583:G583"/>
    <mergeCell ref="F589:H589"/>
    <mergeCell ref="I589:K589"/>
    <mergeCell ref="E526:J526"/>
    <mergeCell ref="E527:G527"/>
    <mergeCell ref="F533:H533"/>
    <mergeCell ref="I533:K533"/>
    <mergeCell ref="L533:M533"/>
    <mergeCell ref="E534:E535"/>
    <mergeCell ref="L534:L535"/>
    <mergeCell ref="M534:M535"/>
    <mergeCell ref="E478:E479"/>
    <mergeCell ref="L478:L479"/>
    <mergeCell ref="M478:M479"/>
    <mergeCell ref="D512:E512"/>
    <mergeCell ref="D517:E517"/>
    <mergeCell ref="D522:E522"/>
    <mergeCell ref="D466:E466"/>
    <mergeCell ref="E470:J470"/>
    <mergeCell ref="E471:G471"/>
    <mergeCell ref="F477:H477"/>
    <mergeCell ref="I477:K477"/>
    <mergeCell ref="L477:M477"/>
    <mergeCell ref="L421:M421"/>
    <mergeCell ref="E422:E423"/>
    <mergeCell ref="L422:L423"/>
    <mergeCell ref="M422:M423"/>
    <mergeCell ref="D456:E456"/>
    <mergeCell ref="D461:E461"/>
    <mergeCell ref="D400:E400"/>
    <mergeCell ref="D405:E405"/>
    <mergeCell ref="D410:E410"/>
    <mergeCell ref="E414:J414"/>
    <mergeCell ref="E415:G415"/>
    <mergeCell ref="F421:H421"/>
    <mergeCell ref="I421:K421"/>
    <mergeCell ref="E358:J358"/>
    <mergeCell ref="E359:G359"/>
    <mergeCell ref="F365:H365"/>
    <mergeCell ref="I365:K365"/>
    <mergeCell ref="L365:M365"/>
    <mergeCell ref="E366:E367"/>
    <mergeCell ref="L366:L367"/>
    <mergeCell ref="M366:M367"/>
    <mergeCell ref="E310:E311"/>
    <mergeCell ref="L310:L311"/>
    <mergeCell ref="M310:M311"/>
    <mergeCell ref="D344:E344"/>
    <mergeCell ref="D349:E349"/>
    <mergeCell ref="D354:E354"/>
    <mergeCell ref="D298:E298"/>
    <mergeCell ref="E302:J302"/>
    <mergeCell ref="E303:G303"/>
    <mergeCell ref="F309:H309"/>
    <mergeCell ref="I309:K309"/>
    <mergeCell ref="L309:M309"/>
    <mergeCell ref="L253:M253"/>
    <mergeCell ref="E254:E255"/>
    <mergeCell ref="L254:L255"/>
    <mergeCell ref="M254:M255"/>
    <mergeCell ref="D288:E288"/>
    <mergeCell ref="D293:E293"/>
    <mergeCell ref="D232:E232"/>
    <mergeCell ref="D237:E237"/>
    <mergeCell ref="D242:E242"/>
    <mergeCell ref="E246:J246"/>
    <mergeCell ref="E247:G247"/>
    <mergeCell ref="F253:H253"/>
    <mergeCell ref="I253:K253"/>
    <mergeCell ref="E190:J190"/>
    <mergeCell ref="E191:G191"/>
    <mergeCell ref="F197:H197"/>
    <mergeCell ref="I197:K197"/>
    <mergeCell ref="L197:M197"/>
    <mergeCell ref="E198:E199"/>
    <mergeCell ref="L198:L199"/>
    <mergeCell ref="M198:M199"/>
    <mergeCell ref="E142:E143"/>
    <mergeCell ref="L142:L143"/>
    <mergeCell ref="M142:M143"/>
    <mergeCell ref="D176:E176"/>
    <mergeCell ref="D181:E181"/>
    <mergeCell ref="D186:E186"/>
    <mergeCell ref="D130:E130"/>
    <mergeCell ref="E134:J134"/>
    <mergeCell ref="E135:G135"/>
    <mergeCell ref="F141:H141"/>
    <mergeCell ref="I141:K141"/>
    <mergeCell ref="L141:M141"/>
    <mergeCell ref="L85:M85"/>
    <mergeCell ref="E86:E87"/>
    <mergeCell ref="L86:L87"/>
    <mergeCell ref="M86:M87"/>
    <mergeCell ref="D120:E120"/>
    <mergeCell ref="D125:E125"/>
    <mergeCell ref="D73:F73"/>
    <mergeCell ref="D74:F74"/>
    <mergeCell ref="E78:J78"/>
    <mergeCell ref="E79:G79"/>
    <mergeCell ref="F85:H85"/>
    <mergeCell ref="I85:K85"/>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52:F54"/>
    <mergeCell ref="G52:G54"/>
    <mergeCell ref="H52:M52"/>
    <mergeCell ref="N52:O52"/>
    <mergeCell ref="H53:I53"/>
    <mergeCell ref="J53:K53"/>
    <mergeCell ref="L53:M53"/>
    <mergeCell ref="N53:O53"/>
    <mergeCell ref="C3:K3"/>
    <mergeCell ref="D10:M10"/>
    <mergeCell ref="D11:M11"/>
    <mergeCell ref="N11:O11"/>
    <mergeCell ref="D12:N12"/>
    <mergeCell ref="D29:F29"/>
  </mergeCells>
  <conditionalFormatting sqref="L39:L49">
    <cfRule type="expression" dxfId="31" priority="8">
      <formula>$G39="kW"</formula>
    </cfRule>
  </conditionalFormatting>
  <conditionalFormatting sqref="K39:K49">
    <cfRule type="expression" dxfId="30" priority="5">
      <formula>$G39="kW"</formula>
    </cfRule>
    <cfRule type="expression" dxfId="29" priority="6">
      <formula>$G39="kVa"</formula>
    </cfRule>
    <cfRule type="expression" dxfId="28" priority="7">
      <formula>$G39="kWh"</formula>
    </cfRule>
  </conditionalFormatting>
  <conditionalFormatting sqref="L30:L38">
    <cfRule type="expression" dxfId="27" priority="4">
      <formula>$G30="kW"</formula>
    </cfRule>
  </conditionalFormatting>
  <conditionalFormatting sqref="K30:K38">
    <cfRule type="expression" dxfId="26" priority="1">
      <formula>$G30="kW"</formula>
    </cfRule>
    <cfRule type="expression" dxfId="25" priority="2">
      <formula>$G30="kVa"</formula>
    </cfRule>
    <cfRule type="expression" dxfId="24" priority="3">
      <formula>$G30="kWh"</formula>
    </cfRule>
  </conditionalFormatting>
  <dataValidations count="4">
    <dataValidation type="list" allowBlank="1" showInputMessage="1" showErrorMessage="1" sqref="H30:H49">
      <formula1>"RPP, Non-RPP (Retailer), Non-RPP (Other)"</formula1>
    </dataValidation>
    <dataValidation type="list" allowBlank="1" showInputMessage="1" showErrorMessage="1" sqref="M30:M49">
      <formula1>"N/A, DEMAND, DEMAND - INTERVAL"</formula1>
    </dataValidation>
    <dataValidation allowBlank="1" showInputMessage="1" showErrorMessage="1" sqref="D30:D36"/>
    <dataValidation type="list" allowBlank="1" showInputMessage="1" showErrorMessage="1" prompt="Select Charge Unit - monthly, per kWh, per kW" sqref="E121 E126 E131 E116 E177 E182 E187 E172 E233 E238 E243 E228 E289 E294 E299 E284 E345 E350 E355 E340 E401 E406 E411 E396 E457 E462 E467 E452 E513 E518 E523 E508 E569 E574 E579 E564 E625 E630 E635 E620 E681 E686 E691 E676 E737 E742 E747 E732 E793 E798 E803 E788 E849 E854 E859 E844 E905 E910 E915 E900 E961 E966 E971 E956 E1017 E1022 E1027 E1012 E1073 E1078 E1083 E1068">
      <formula1>"Monthly, per kWh, per kW"</formula1>
    </dataValidation>
  </dataValidations>
  <pageMargins left="0.11811023622047245" right="0.11811023622047245" top="0.35433070866141736" bottom="0.35433070866141736" header="0.11811023622047245" footer="0.11811023622047245"/>
  <pageSetup scale="63" orientation="landscape" verticalDpi="0" r:id="rId1"/>
  <headerFooter>
    <oddFooter>&amp;L&amp;9&amp;Z&amp;F  &amp;A  &amp;D  &amp;T&amp;R&amp;P</oddFooter>
  </headerFooter>
  <rowBreaks count="17" manualBreakCount="17">
    <brk id="133" max="16383" man="1"/>
    <brk id="189" max="16383" man="1"/>
    <brk id="245" max="16383" man="1"/>
    <brk id="301" max="16383" man="1"/>
    <brk id="357" max="16383" man="1"/>
    <brk id="413" max="16383" man="1"/>
    <brk id="469" max="16383" man="1"/>
    <brk id="525" max="16383" man="1"/>
    <brk id="581" max="16383" man="1"/>
    <brk id="637" max="16383" man="1"/>
    <brk id="693" max="16383" man="1"/>
    <brk id="749" max="16383" man="1"/>
    <brk id="805" max="16383" man="1"/>
    <brk id="861" max="16383" man="1"/>
    <brk id="917" max="16383" man="1"/>
    <brk id="973" max="16383" man="1"/>
    <brk id="1029" max="16383" man="1"/>
  </rowBreaks>
  <ignoredErrors>
    <ignoredError sqref="D90:M91 E78:J83 D88:H88 J88:M88 D89:H89 J89:M89 D98:M102 D96:H96 J96:M96 D97:H97 J97:M97 D107:M143 D104:H104 J104:M104 D105:H105 J105:M105 D95:M95 D94:G94 D103:G103 D106:G106 D146:M147 D144:H144 J144:M144 D145:H145 J145:M145 D172:M199 D150:G150 D151:H158 J151:M158 D160:H161 D159:G159 J160:M161 D163:H171 D162:G162 J163:M171 D202:M203 D200:H200 J200:M200 D201:H201 J201:M201 D228:M255 D206:G206 D207:H214 J207:M214 D216:H217 D215:G215 J216:M217 D219:H227 D218:G218 J219:M227 D258:M259 D256:H256 J256:M256 D257:H257 J257:M257 D284:M311 D262:G262 D263:H270 J263:M270 D272:E273 D271:G271 J272:M273 D275:H283 D274:G274 J275:M283 D314:M315 D312:F312 J312:M312 D313:H313 J313:M313 D340:M367 D318:G318 D319:H326 J319:M326 D328:H329 D327:G327 J328:M329 D331:H339 D330:G330 J331:M339 D370:M371 D368:F368 J368:M368 D369:H369 J369:M369 D396:M423 D374:G374 D375:H382 J375:M382 D384:H385 D383:G383 J384:M385 D387:H395 D386:G386 J387:M395 D426:M427 D424:F424 J424:M424 D425:H425 J425:M425 D452:M479 D430:G430 D431:H438 J431:M438 D440:H441 D439:G439 J440:M441 D443:H451 D442:G442 J443:M451 D482:M483 D480:H480 J480:M480 D481:H481 J481:M481 D508:M535 D486:G486 D487:H494 J487:M494 D496:H497 D495:G495 J496:M497 D499:H507 D498:G498 J499:M507 H312 H368 H424 G272:H273 D956:M983 D944:E945 G944:G945 D1012:M1039 D1000:E1001 G1000:G1001 G30:G49 D93:M93 D92:E92 G92:H92 A94:C131 A150:C187 C206:C243 C262:C299 C318:C355 C374:C411 A430:C467 C486:C523 D564:M591 D542:G558 A542:C569 D538:M539 D536:H536 J536:M536 D537:H537 J537:M537 D559:H563 J559:M563 D620:M647 D598:G610 A598:C624 D594:M595 D592:H592 J592:M592 D593:H593 J593:M593 D611:H619 J611:M619 D650:M651 D648:H648 J648:M648 D649:H649 J649:M649 D676:M703 D654:G666 C654:C681 D667:H675 J667:M675 D732:M759 D710:G722 C710:C736 D706:M707 D704:H704 J704:M704 D705:H705 J705:M705 D723:H731 J723:M731 D788:M815 D766:G778 A766:C793 D762:M763 D760:H760 J760:M760 D761:H761 J761:M761 D779:H787 J779:M787 D844:M871 D822:G834 C822:C859 D818:M819 D816:H816 J816:M816 D817:H817 J817:M817 D835:H843 J835:M843 D900:M927 D878:G897 C878:C918 D874:M875 D872:H873 J872:M873 D898:H899 J898:M899 D946:G947 D934:G943 A934:C972 D930:M931 D928:H929 J928:M929 D948:H955 J948:M955 D990:G999 D1002:G1002 C990:C1028 D986:M987 D984:H985 J984:M985 D1003:H1011 J1003:M1011 D1068:M1083 D1046:G1058 A1046:C1083 D1042:M1043 D1040:H1041 J1040:M1041 D1059:H1067 J1059:M1067 J92:M92 D149:H149 D148:H148 J148:M148 J149:M149 K78 D205:H205 D204:H204 J204:M204 J205:M205 D261:H261 D260:H260 J260:M260 J261:M261 D317:H317 D316:H316 J316:M316 J317:M317 D373:H373 D372:H372 J372:M372 J373:M373 D429:H429 D428:H428 J428:M428 J429:M429 D485:M485 D484:H484 J484:M484 D541:M541 D540:H540 J540:M540 D597:M597 D596:H596 J596:M596 D653:H653 D652:H652 J652:M652 J653:M653 D709:H709 D708:H708 J708:M708 J709:M709 D765:H765 D764:H764 J764:M764 J765:M765 D821:H821 D820:H820 J820:M820 J821:M821 D877:H877 D876:H876 J876:M876 J877:M877 D933:H933 D932:H932 J932:M932 J933:M933 D989:H989 D988:H988 J988:M988 J989:M989 D1045:H1045 D1044:H1044 J1044:M1044 J1045:M1045" unlockedFormula="1"/>
    <ignoredError sqref="H94:M94 H103:M103 H106:M106 H150:M150 J159:M159 H159 J162:M162 H162 H206:M206 J215:M215 H215 J218:M218 H218 H262:M262 J271:M271 H271 J274:M274 H274 H318:M318 J327:M327 H327 J330:M330 H330 H374:M374 J383:M383 H383 J386:M386 H386 H430:M430 J439:M439 H439 J442:M442 H442 H486:M486 J495:M495 H495 J498:M498 H498 H542:M542 H543:H558 J543:M558 H598:M598 H599:H610 J599:M610 H654:M654 H655:H666 J655:M666 H710:M710 H711:H722 J711:M722 H766:M766 H767:H778 J767:M778 H822:M822 H823:H834 J823:M834 H878:M878 H879:H897 J879:M897 H934:M934 J944:M945 H944:H945 H946:H947 H935:H943 J935:M943 J946:M947 J1000:M1001 H1000:H1001 H1002 H990:M990 J1002:M1002 H991:H999 J991:M999 H1046:M1046 H1047:H1058 J1047:M1058" formula="1" unlockedFormula="1"/>
    <ignoredError sqref="I159 I162 I215 I218 I271 I274 I327 I330 I383 I386 I439 I442 I495 I498" formula="1"/>
  </ignoredErrors>
  <drawing r:id="rId2"/>
  <extLst>
    <ext xmlns:x14="http://schemas.microsoft.com/office/spreadsheetml/2009/9/main" uri="{CCE6A557-97BC-4b89-ADB6-D9C93CAAB3DF}">
      <x14:dataValidations xmlns:xm="http://schemas.microsoft.com/office/excel/2006/main" count="1">
        <x14:dataValidation type="list" operator="equal" allowBlank="1" showInputMessage="1" showErrorMessage="1">
          <x14:formula1>
            <xm:f>'[1]2016 List'!#REF!</xm:f>
          </x14:formula1>
          <xm:sqref>D37:D49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1056"/>
  <sheetViews>
    <sheetView topLeftCell="C233" zoomScale="80" zoomScaleNormal="80" workbookViewId="0">
      <selection activeCell="G19" sqref="G19"/>
    </sheetView>
  </sheetViews>
  <sheetFormatPr defaultRowHeight="15" x14ac:dyDescent="0.25"/>
  <cols>
    <col min="1" max="1" width="9" style="100" hidden="1" customWidth="1"/>
    <col min="2" max="2" width="4.7109375" style="100" hidden="1" customWidth="1"/>
    <col min="3" max="3" width="3.42578125" style="208" customWidth="1"/>
    <col min="4" max="4" width="34.7109375" style="100" customWidth="1"/>
    <col min="5" max="5" width="13.140625" style="100" customWidth="1"/>
    <col min="6" max="6" width="10.7109375" style="100" bestFit="1" customWidth="1"/>
    <col min="7" max="7" width="11.28515625" style="100" bestFit="1" customWidth="1"/>
    <col min="8" max="8" width="19.140625" style="100" bestFit="1" customWidth="1"/>
    <col min="9" max="9" width="12.85546875" style="100" customWidth="1"/>
    <col min="10" max="10" width="16.5703125" style="100" bestFit="1" customWidth="1"/>
    <col min="11" max="11" width="21.28515625" style="100" bestFit="1" customWidth="1"/>
    <col min="12" max="12" width="14.42578125" style="100" bestFit="1" customWidth="1"/>
    <col min="13" max="13" width="20" style="100" bestFit="1" customWidth="1"/>
    <col min="14" max="14" width="22.140625" style="100" customWidth="1"/>
    <col min="15" max="15" width="14.42578125" style="100" customWidth="1"/>
    <col min="16" max="16384" width="9.140625" style="8"/>
  </cols>
  <sheetData>
    <row r="1" spans="1:15" ht="15.75" x14ac:dyDescent="0.25">
      <c r="A1" s="71"/>
      <c r="B1" s="71"/>
      <c r="C1" s="72"/>
      <c r="D1" s="75" t="s">
        <v>106</v>
      </c>
      <c r="E1" s="71"/>
      <c r="F1" s="71"/>
      <c r="G1" s="71"/>
      <c r="H1" s="71"/>
      <c r="I1" s="71"/>
      <c r="J1" s="71"/>
      <c r="K1" s="71"/>
      <c r="L1" s="71"/>
      <c r="M1" s="71"/>
      <c r="N1" s="71"/>
      <c r="O1" s="71"/>
    </row>
    <row r="2" spans="1:15" ht="64.5" x14ac:dyDescent="0.25">
      <c r="A2" s="71"/>
      <c r="B2" s="71"/>
      <c r="C2" s="72"/>
      <c r="D2" s="278" t="s">
        <v>107</v>
      </c>
      <c r="E2" s="279"/>
      <c r="F2" s="280"/>
      <c r="G2" s="232" t="s">
        <v>108</v>
      </c>
      <c r="H2" s="77" t="s">
        <v>109</v>
      </c>
      <c r="I2" s="77" t="s">
        <v>110</v>
      </c>
      <c r="J2" s="77" t="s">
        <v>111</v>
      </c>
      <c r="K2" s="77" t="s">
        <v>112</v>
      </c>
      <c r="L2" s="77" t="s">
        <v>113</v>
      </c>
      <c r="M2" s="78" t="s">
        <v>114</v>
      </c>
      <c r="N2" s="79" t="s">
        <v>115</v>
      </c>
      <c r="O2" s="71"/>
    </row>
    <row r="3" spans="1:15" x14ac:dyDescent="0.25">
      <c r="A3" s="71"/>
      <c r="B3" s="71">
        <v>1</v>
      </c>
      <c r="C3" s="80">
        <v>1</v>
      </c>
      <c r="D3" s="81" t="s">
        <v>116</v>
      </c>
      <c r="E3" s="82"/>
      <c r="F3" s="83"/>
      <c r="G3" s="84" t="str">
        <f>IF(ISERROR(VLOOKUP(D3, '[1]4. Billing Det. for Def-Var'!$A$16:$B$16, 2, FALSE)),"", VLOOKUP(D3,'[1]4. Billing Det. for Def-Var'!$A$16:$B$16, 2, FALSE))</f>
        <v/>
      </c>
      <c r="H3" s="85" t="s">
        <v>117</v>
      </c>
      <c r="I3" s="86">
        <v>1.056</v>
      </c>
      <c r="J3" s="87">
        <f t="shared" ref="J3:J22" si="0">IF(ISBLANK(I3),"", I3)</f>
        <v>1.056</v>
      </c>
      <c r="K3" s="88">
        <v>750</v>
      </c>
      <c r="L3" s="88"/>
      <c r="M3" s="85" t="s">
        <v>118</v>
      </c>
      <c r="N3" s="89"/>
      <c r="O3" s="71"/>
    </row>
    <row r="4" spans="1:15" x14ac:dyDescent="0.25">
      <c r="A4" s="71"/>
      <c r="B4" s="71">
        <v>2</v>
      </c>
      <c r="C4" s="80">
        <v>2</v>
      </c>
      <c r="D4" s="81" t="s">
        <v>119</v>
      </c>
      <c r="E4" s="82"/>
      <c r="F4" s="83"/>
      <c r="G4" s="84" t="str">
        <f>IF(ISERROR(VLOOKUP(D4, '[1]4. Billing Det. for Def-Var'!$A$16:$B$16, 2, FALSE)),"", VLOOKUP(D4,'[1]4. Billing Det. for Def-Var'!$A$16:$B$16, 2, FALSE))</f>
        <v/>
      </c>
      <c r="H4" s="85" t="s">
        <v>117</v>
      </c>
      <c r="I4" s="86">
        <v>1.056</v>
      </c>
      <c r="J4" s="87">
        <f t="shared" si="0"/>
        <v>1.056</v>
      </c>
      <c r="K4" s="88">
        <v>2000</v>
      </c>
      <c r="L4" s="88"/>
      <c r="M4" s="85" t="s">
        <v>118</v>
      </c>
      <c r="N4" s="89"/>
      <c r="O4" s="71"/>
    </row>
    <row r="5" spans="1:15" x14ac:dyDescent="0.25">
      <c r="A5" s="71"/>
      <c r="B5" s="71">
        <v>3</v>
      </c>
      <c r="C5" s="80">
        <v>3</v>
      </c>
      <c r="D5" s="81" t="s">
        <v>120</v>
      </c>
      <c r="E5" s="82"/>
      <c r="F5" s="83"/>
      <c r="G5" s="84" t="str">
        <f>IF(ISERROR(VLOOKUP(D5, '[1]4. Billing Det. for Def-Var'!$A$16:$B$16, 2, FALSE)),"", VLOOKUP(D5,'[1]4. Billing Det. for Def-Var'!$A$16:$B$16, 2, FALSE))</f>
        <v/>
      </c>
      <c r="H5" s="85" t="s">
        <v>121</v>
      </c>
      <c r="I5" s="86">
        <v>1.056</v>
      </c>
      <c r="J5" s="87">
        <f t="shared" si="0"/>
        <v>1.056</v>
      </c>
      <c r="K5" s="88">
        <v>328500</v>
      </c>
      <c r="L5" s="88">
        <v>500</v>
      </c>
      <c r="M5" s="85" t="s">
        <v>122</v>
      </c>
      <c r="N5" s="89"/>
      <c r="O5" s="71"/>
    </row>
    <row r="6" spans="1:15" x14ac:dyDescent="0.25">
      <c r="A6" s="71"/>
      <c r="B6" s="71">
        <v>4</v>
      </c>
      <c r="C6" s="80">
        <v>4</v>
      </c>
      <c r="D6" s="81" t="s">
        <v>123</v>
      </c>
      <c r="E6" s="82"/>
      <c r="F6" s="83"/>
      <c r="G6" s="84" t="str">
        <f>IF(ISERROR(VLOOKUP(D6, '[1]4. Billing Det. for Def-Var'!$A$16:$B$16, 2, FALSE)),"", VLOOKUP(D6,'[1]4. Billing Det. for Def-Var'!$A$16:$B$16, 2, FALSE))</f>
        <v/>
      </c>
      <c r="H6" s="85" t="s">
        <v>121</v>
      </c>
      <c r="I6" s="86">
        <v>1.056</v>
      </c>
      <c r="J6" s="87">
        <f t="shared" si="0"/>
        <v>1.056</v>
      </c>
      <c r="K6" s="88">
        <v>1600000</v>
      </c>
      <c r="L6" s="88">
        <v>2500</v>
      </c>
      <c r="M6" s="85" t="s">
        <v>124</v>
      </c>
      <c r="N6" s="89"/>
      <c r="O6" s="71"/>
    </row>
    <row r="7" spans="1:15" x14ac:dyDescent="0.25">
      <c r="A7" s="71"/>
      <c r="B7" s="71">
        <v>5</v>
      </c>
      <c r="C7" s="80">
        <v>5</v>
      </c>
      <c r="D7" s="81" t="s">
        <v>125</v>
      </c>
      <c r="E7" s="82"/>
      <c r="F7" s="83"/>
      <c r="G7" s="84" t="str">
        <f>IF(ISERROR(VLOOKUP(D7, '[1]4. Billing Det. for Def-Var'!$A$16:$B$16, 2, FALSE)),"", VLOOKUP(D7,'[1]4. Billing Det. for Def-Var'!$A$16:$B$16, 2, FALSE))</f>
        <v/>
      </c>
      <c r="H7" s="85" t="s">
        <v>117</v>
      </c>
      <c r="I7" s="86">
        <v>1.056</v>
      </c>
      <c r="J7" s="87">
        <f t="shared" si="0"/>
        <v>1.056</v>
      </c>
      <c r="K7" s="88">
        <v>150</v>
      </c>
      <c r="L7" s="88"/>
      <c r="M7" s="85" t="s">
        <v>118</v>
      </c>
      <c r="N7" s="90"/>
      <c r="O7" s="71"/>
    </row>
    <row r="8" spans="1:15" x14ac:dyDescent="0.25">
      <c r="A8" s="71"/>
      <c r="B8" s="71">
        <v>6</v>
      </c>
      <c r="C8" s="80">
        <v>6</v>
      </c>
      <c r="D8" s="81" t="s">
        <v>126</v>
      </c>
      <c r="E8" s="82"/>
      <c r="F8" s="83"/>
      <c r="G8" s="84" t="str">
        <f>IF(ISERROR(VLOOKUP(D8, '[1]4. Billing Det. for Def-Var'!$A$16:$B$16, 2, FALSE)),"", VLOOKUP(D8,'[1]4. Billing Det. for Def-Var'!$A$16:$B$16, 2, FALSE))</f>
        <v/>
      </c>
      <c r="H8" s="85" t="s">
        <v>117</v>
      </c>
      <c r="I8" s="86">
        <v>1.056</v>
      </c>
      <c r="J8" s="87">
        <f t="shared" si="0"/>
        <v>1.056</v>
      </c>
      <c r="K8" s="88">
        <v>650</v>
      </c>
      <c r="L8" s="88">
        <v>1</v>
      </c>
      <c r="M8" s="85" t="s">
        <v>122</v>
      </c>
      <c r="N8" s="90"/>
      <c r="O8" s="71"/>
    </row>
    <row r="9" spans="1:15" x14ac:dyDescent="0.25">
      <c r="A9" s="71"/>
      <c r="B9" s="71">
        <v>7</v>
      </c>
      <c r="C9" s="80">
        <v>7</v>
      </c>
      <c r="D9" s="81" t="s">
        <v>127</v>
      </c>
      <c r="E9" s="82"/>
      <c r="F9" s="83"/>
      <c r="G9" s="84" t="str">
        <f>IF(ISERROR(VLOOKUP(D9, '[1]4. Billing Det. for Def-Var'!$A$16:$B$16, 2, FALSE)),"", VLOOKUP(D9,'[1]4. Billing Det. for Def-Var'!$A$16:$B$16, 2, FALSE))</f>
        <v/>
      </c>
      <c r="H9" s="85" t="s">
        <v>121</v>
      </c>
      <c r="I9" s="86">
        <v>1.056</v>
      </c>
      <c r="J9" s="87">
        <f t="shared" si="0"/>
        <v>1.056</v>
      </c>
      <c r="K9" s="88">
        <v>94033.37</v>
      </c>
      <c r="L9" s="88">
        <v>251</v>
      </c>
      <c r="M9" s="85" t="s">
        <v>122</v>
      </c>
      <c r="N9" s="90"/>
      <c r="O9" s="71"/>
    </row>
    <row r="10" spans="1:15" x14ac:dyDescent="0.25">
      <c r="A10" s="71"/>
      <c r="B10" s="71">
        <v>8</v>
      </c>
      <c r="C10" s="80">
        <f>IF(ISERROR(VLOOKUP(D10, D3:AS22, 42, FALSE)),"", VLOOKUP(D10, D3:AS22, 42, FALSE))</f>
        <v>0</v>
      </c>
      <c r="D10" s="91" t="s">
        <v>116</v>
      </c>
      <c r="E10" s="92"/>
      <c r="F10" s="93"/>
      <c r="G10" s="84" t="str">
        <f>IF(ISERROR(VLOOKUP(D10, '[1]4. Billing Det. for Def-Var'!$A$16:$B$16, 2, FALSE)),"", VLOOKUP(D10,'[1]4. Billing Det. for Def-Var'!$A$16:$B$16, 2, FALSE))</f>
        <v/>
      </c>
      <c r="H10" s="85" t="s">
        <v>117</v>
      </c>
      <c r="I10" s="86">
        <v>1.056</v>
      </c>
      <c r="J10" s="87">
        <f t="shared" si="0"/>
        <v>1.056</v>
      </c>
      <c r="K10" s="88">
        <v>342</v>
      </c>
      <c r="L10" s="88"/>
      <c r="M10" s="85" t="s">
        <v>118</v>
      </c>
      <c r="N10" s="89"/>
      <c r="O10" s="71"/>
    </row>
    <row r="11" spans="1:15" x14ac:dyDescent="0.25">
      <c r="A11" s="71"/>
      <c r="B11" s="71">
        <v>9</v>
      </c>
      <c r="C11" s="80">
        <f>IF(ISERROR(VLOOKUP(D11, D3:AS22, 42, FALSE)),"", VLOOKUP(D11, D3:AS22, 42, FALSE))</f>
        <v>0</v>
      </c>
      <c r="D11" s="91" t="s">
        <v>116</v>
      </c>
      <c r="E11" s="92"/>
      <c r="F11" s="93"/>
      <c r="G11" s="84" t="str">
        <f>IF(ISERROR(VLOOKUP(D11, '[1]4. Billing Det. for Def-Var'!$A$16:$B$16, 2, FALSE)),"", VLOOKUP(D11,'[1]4. Billing Det. for Def-Var'!$A$16:$B$16, 2, FALSE))</f>
        <v/>
      </c>
      <c r="H11" s="85" t="s">
        <v>117</v>
      </c>
      <c r="I11" s="86">
        <v>1.056</v>
      </c>
      <c r="J11" s="87">
        <f t="shared" si="0"/>
        <v>1.056</v>
      </c>
      <c r="K11" s="88">
        <v>1000</v>
      </c>
      <c r="L11" s="88"/>
      <c r="M11" s="85" t="s">
        <v>118</v>
      </c>
      <c r="N11" s="89"/>
      <c r="O11" s="71"/>
    </row>
    <row r="12" spans="1:15" x14ac:dyDescent="0.25">
      <c r="A12" s="71"/>
      <c r="B12" s="71">
        <v>10</v>
      </c>
      <c r="C12" s="80">
        <f>IF(ISERROR(VLOOKUP(D12, D3:AS22, 42, FALSE)),"", VLOOKUP(D12, D3:AS22, 42, FALSE))</f>
        <v>0</v>
      </c>
      <c r="D12" s="91" t="s">
        <v>116</v>
      </c>
      <c r="E12" s="92"/>
      <c r="F12" s="93"/>
      <c r="G12" s="84" t="str">
        <f>IF(ISERROR(VLOOKUP(D12, '[1]4. Billing Det. for Def-Var'!$A$16:$B$16, 2, FALSE)),"", VLOOKUP(D12,'[1]4. Billing Det. for Def-Var'!$A$16:$B$16, 2, FALSE))</f>
        <v/>
      </c>
      <c r="H12" s="85" t="s">
        <v>117</v>
      </c>
      <c r="I12" s="86">
        <v>1.056</v>
      </c>
      <c r="J12" s="87">
        <f t="shared" si="0"/>
        <v>1.056</v>
      </c>
      <c r="K12" s="88">
        <v>2500</v>
      </c>
      <c r="L12" s="88"/>
      <c r="M12" s="85" t="s">
        <v>118</v>
      </c>
      <c r="N12" s="89"/>
      <c r="O12" s="71"/>
    </row>
    <row r="13" spans="1:15" x14ac:dyDescent="0.25">
      <c r="A13" s="71"/>
      <c r="B13" s="71">
        <v>11</v>
      </c>
      <c r="C13" s="80">
        <f>IF(ISERROR(VLOOKUP(D13, D3:AS22, 42, FALSE)),"", VLOOKUP(D13, D3:AS22, 42, FALSE))</f>
        <v>0</v>
      </c>
      <c r="D13" s="91" t="s">
        <v>119</v>
      </c>
      <c r="E13" s="92"/>
      <c r="F13" s="93"/>
      <c r="G13" s="84" t="str">
        <f>IF(ISERROR(VLOOKUP(D13, '[1]4. Billing Det. for Def-Var'!$A$16:$B$16, 2, FALSE)),"", VLOOKUP(D13,'[1]4. Billing Det. for Def-Var'!$A$16:$B$16, 2, FALSE))</f>
        <v/>
      </c>
      <c r="H13" s="85" t="s">
        <v>117</v>
      </c>
      <c r="I13" s="86">
        <v>1.056</v>
      </c>
      <c r="J13" s="87">
        <f t="shared" si="0"/>
        <v>1.056</v>
      </c>
      <c r="K13" s="88">
        <v>500</v>
      </c>
      <c r="L13" s="88"/>
      <c r="M13" s="85" t="s">
        <v>118</v>
      </c>
      <c r="N13" s="89"/>
      <c r="O13" s="71"/>
    </row>
    <row r="14" spans="1:15" x14ac:dyDescent="0.25">
      <c r="A14" s="71"/>
      <c r="B14" s="71">
        <v>12</v>
      </c>
      <c r="C14" s="80">
        <f>IF(ISERROR(VLOOKUP(D14, D3:AS22, 42, FALSE)),"", VLOOKUP(D14, D3:AS22, 42, FALSE))</f>
        <v>0</v>
      </c>
      <c r="D14" s="91" t="s">
        <v>119</v>
      </c>
      <c r="E14" s="92"/>
      <c r="F14" s="93"/>
      <c r="G14" s="84" t="str">
        <f>IF(ISERROR(VLOOKUP(D14, '[1]4. Billing Det. for Def-Var'!$A$16:$B$16, 2, FALSE)),"", VLOOKUP(D14,'[1]4. Billing Det. for Def-Var'!$A$16:$B$16, 2, FALSE))</f>
        <v/>
      </c>
      <c r="H14" s="85" t="s">
        <v>117</v>
      </c>
      <c r="I14" s="86">
        <v>1.056</v>
      </c>
      <c r="J14" s="87">
        <f t="shared" si="0"/>
        <v>1.056</v>
      </c>
      <c r="K14" s="88">
        <v>5000</v>
      </c>
      <c r="L14" s="88"/>
      <c r="M14" s="85" t="s">
        <v>118</v>
      </c>
      <c r="N14" s="89"/>
      <c r="O14" s="71"/>
    </row>
    <row r="15" spans="1:15" x14ac:dyDescent="0.25">
      <c r="A15" s="71"/>
      <c r="B15" s="71">
        <v>13</v>
      </c>
      <c r="C15" s="80">
        <f>IF(ISERROR(VLOOKUP(D15, D3:AS22, 42, FALSE)),"", VLOOKUP(D15, D3:AS22, 42, FALSE))</f>
        <v>0</v>
      </c>
      <c r="D15" s="91" t="s">
        <v>119</v>
      </c>
      <c r="E15" s="92"/>
      <c r="F15" s="93"/>
      <c r="G15" s="84" t="str">
        <f>IF(ISERROR(VLOOKUP(D15, '[1]4. Billing Det. for Def-Var'!$A$16:$B$16, 2, FALSE)),"", VLOOKUP(D15,'[1]4. Billing Det. for Def-Var'!$A$16:$B$16, 2, FALSE))</f>
        <v/>
      </c>
      <c r="H15" s="85" t="s">
        <v>117</v>
      </c>
      <c r="I15" s="86">
        <v>1.056</v>
      </c>
      <c r="J15" s="87">
        <f t="shared" si="0"/>
        <v>1.056</v>
      </c>
      <c r="K15" s="88">
        <v>15000</v>
      </c>
      <c r="L15" s="88"/>
      <c r="M15" s="85" t="s">
        <v>118</v>
      </c>
      <c r="N15" s="89"/>
      <c r="O15" s="71"/>
    </row>
    <row r="16" spans="1:15" x14ac:dyDescent="0.25">
      <c r="A16" s="71"/>
      <c r="B16" s="71">
        <v>14</v>
      </c>
      <c r="C16" s="80">
        <f>IF(ISERROR(VLOOKUP(D16, D3:AS22, 42, FALSE)),"", VLOOKUP(D16, D3:AS22, 42, FALSE))</f>
        <v>0</v>
      </c>
      <c r="D16" s="91" t="s">
        <v>120</v>
      </c>
      <c r="E16" s="92"/>
      <c r="F16" s="93"/>
      <c r="G16" s="84" t="str">
        <f>IF(ISERROR(VLOOKUP(D16, '[1]4. Billing Det. for Def-Var'!$A$16:$B$16, 2, FALSE)),"", VLOOKUP(D16,'[1]4. Billing Det. for Def-Var'!$A$16:$B$16, 2, FALSE))</f>
        <v/>
      </c>
      <c r="H16" s="85" t="s">
        <v>121</v>
      </c>
      <c r="I16" s="86">
        <v>1.056</v>
      </c>
      <c r="J16" s="87">
        <f t="shared" si="0"/>
        <v>1.056</v>
      </c>
      <c r="K16" s="88">
        <v>20000</v>
      </c>
      <c r="L16" s="88">
        <v>60</v>
      </c>
      <c r="M16" s="85" t="s">
        <v>122</v>
      </c>
      <c r="N16" s="89"/>
      <c r="O16" s="71"/>
    </row>
    <row r="17" spans="1:15" x14ac:dyDescent="0.25">
      <c r="A17" s="71"/>
      <c r="B17" s="71">
        <v>15</v>
      </c>
      <c r="C17" s="80">
        <f>IF(ISERROR(VLOOKUP(D17, D3:AS22, 42, FALSE)),"", VLOOKUP(D17, D3:AS22, 42, FALSE))</f>
        <v>0</v>
      </c>
      <c r="D17" s="91" t="s">
        <v>120</v>
      </c>
      <c r="E17" s="92"/>
      <c r="F17" s="93"/>
      <c r="G17" s="84" t="str">
        <f>IF(ISERROR(VLOOKUP(D17, '[1]4. Billing Det. for Def-Var'!$A$16:$B$16, 2, FALSE)),"", VLOOKUP(D17,'[1]4. Billing Det. for Def-Var'!$A$16:$B$16, 2, FALSE))</f>
        <v/>
      </c>
      <c r="H17" s="85" t="s">
        <v>121</v>
      </c>
      <c r="I17" s="86">
        <v>1.056</v>
      </c>
      <c r="J17" s="87">
        <f t="shared" si="0"/>
        <v>1.056</v>
      </c>
      <c r="K17" s="88">
        <v>500000</v>
      </c>
      <c r="L17" s="88">
        <v>750</v>
      </c>
      <c r="M17" s="85" t="s">
        <v>122</v>
      </c>
      <c r="N17" s="89"/>
      <c r="O17" s="71"/>
    </row>
    <row r="18" spans="1:15" x14ac:dyDescent="0.25">
      <c r="A18" s="71"/>
      <c r="B18" s="71">
        <v>16</v>
      </c>
      <c r="C18" s="80">
        <f>IF(ISERROR(VLOOKUP(D18, D3:AS22, 42, FALSE)),"", VLOOKUP(D18, D3:AS22, 42, FALSE))</f>
        <v>0</v>
      </c>
      <c r="D18" s="91" t="s">
        <v>123</v>
      </c>
      <c r="E18" s="92"/>
      <c r="F18" s="93"/>
      <c r="G18" s="84" t="str">
        <f>IF(ISERROR(VLOOKUP(D18, '[1]4. Billing Det. for Def-Var'!$A$16:$B$16, 2, FALSE)),"", VLOOKUP(D18,'[1]4. Billing Det. for Def-Var'!$A$16:$B$16, 2, FALSE))</f>
        <v/>
      </c>
      <c r="H18" s="85" t="s">
        <v>121</v>
      </c>
      <c r="I18" s="86">
        <v>1.056</v>
      </c>
      <c r="J18" s="87">
        <f t="shared" si="0"/>
        <v>1.056</v>
      </c>
      <c r="K18" s="88">
        <v>1000000</v>
      </c>
      <c r="L18" s="88">
        <v>2000</v>
      </c>
      <c r="M18" s="85" t="s">
        <v>124</v>
      </c>
      <c r="N18" s="89"/>
      <c r="O18" s="71"/>
    </row>
    <row r="19" spans="1:15" x14ac:dyDescent="0.25">
      <c r="A19" s="71"/>
      <c r="B19" s="71">
        <v>17</v>
      </c>
      <c r="C19" s="80">
        <f>IF(ISERROR(VLOOKUP(D19, D3:AS22, 42, FALSE)),"", VLOOKUP(D19, D3:AS22, 42, FALSE))</f>
        <v>0</v>
      </c>
      <c r="D19" s="91" t="s">
        <v>123</v>
      </c>
      <c r="E19" s="92"/>
      <c r="F19" s="93"/>
      <c r="G19" s="84" t="str">
        <f>IF(ISERROR(VLOOKUP(D19, '[1]4. Billing Det. for Def-Var'!$A$16:$B$16, 2, FALSE)),"", VLOOKUP(D19,'[1]4. Billing Det. for Def-Var'!$A$16:$B$16, 2, FALSE))</f>
        <v/>
      </c>
      <c r="H19" s="85" t="s">
        <v>121</v>
      </c>
      <c r="I19" s="86">
        <v>1.056</v>
      </c>
      <c r="J19" s="87">
        <f t="shared" si="0"/>
        <v>1.056</v>
      </c>
      <c r="K19" s="88">
        <v>3000000</v>
      </c>
      <c r="L19" s="88">
        <v>4000</v>
      </c>
      <c r="M19" s="85" t="s">
        <v>124</v>
      </c>
      <c r="N19" s="89"/>
      <c r="O19" s="71"/>
    </row>
    <row r="20" spans="1:15" x14ac:dyDescent="0.25">
      <c r="A20" s="71"/>
      <c r="B20" s="71">
        <v>18</v>
      </c>
      <c r="C20" s="80">
        <f>IF(ISERROR(VLOOKUP(D20, D3:AS22, 42, FALSE)),"", VLOOKUP(D20, D3:AS22, 42, FALSE))</f>
        <v>0</v>
      </c>
      <c r="D20" s="91" t="s">
        <v>120</v>
      </c>
      <c r="E20" s="92"/>
      <c r="F20" s="93"/>
      <c r="G20" s="84" t="str">
        <f>IF(ISERROR(VLOOKUP(D20, '[1]4. Billing Det. for Def-Var'!$A$16:$B$16, 2, FALSE)),"", VLOOKUP(D20,'[1]4. Billing Det. for Def-Var'!$A$16:$B$16, 2, FALSE))</f>
        <v/>
      </c>
      <c r="H20" s="85" t="s">
        <v>117</v>
      </c>
      <c r="I20" s="86">
        <v>1.056</v>
      </c>
      <c r="J20" s="87">
        <f t="shared" si="0"/>
        <v>1.056</v>
      </c>
      <c r="K20" s="88">
        <v>69000</v>
      </c>
      <c r="L20" s="88">
        <v>160</v>
      </c>
      <c r="M20" s="85" t="s">
        <v>122</v>
      </c>
      <c r="N20" s="89"/>
      <c r="O20" s="71"/>
    </row>
    <row r="21" spans="1:15" x14ac:dyDescent="0.25">
      <c r="A21" s="71"/>
      <c r="B21" s="71">
        <v>19</v>
      </c>
      <c r="C21" s="80">
        <f>IF(ISERROR(VLOOKUP(D10, D3:AS22, 42, FALSE)),"", VLOOKUP(D10, D3:AS22, 42, FALSE))</f>
        <v>0</v>
      </c>
      <c r="D21" s="91" t="s">
        <v>128</v>
      </c>
      <c r="E21" s="92"/>
      <c r="F21" s="93"/>
      <c r="G21" s="84" t="str">
        <f>IF(ISERROR(VLOOKUP(D21, '[1]4. Billing Det. for Def-Var'!$A$16:$B$16, 2, FALSE)),"", VLOOKUP(D21,'[1]4. Billing Det. for Def-Var'!$A$16:$B$16, 2, FALSE))</f>
        <v/>
      </c>
      <c r="H21" s="85"/>
      <c r="I21" s="86"/>
      <c r="J21" s="87" t="str">
        <f t="shared" si="0"/>
        <v/>
      </c>
      <c r="K21" s="88"/>
      <c r="L21" s="88"/>
      <c r="M21" s="85"/>
      <c r="N21" s="89"/>
      <c r="O21" s="71"/>
    </row>
    <row r="22" spans="1:15" x14ac:dyDescent="0.25">
      <c r="A22" s="71"/>
      <c r="B22" s="71">
        <v>20</v>
      </c>
      <c r="C22" s="80">
        <f>IF(ISERROR(VLOOKUP(D11, D3:AS22, 42, FALSE)),"", VLOOKUP(D11, D3:AS22, 42, FALSE))</f>
        <v>0</v>
      </c>
      <c r="D22" s="91" t="s">
        <v>128</v>
      </c>
      <c r="E22" s="92"/>
      <c r="F22" s="93"/>
      <c r="G22" s="84" t="str">
        <f>IF(ISERROR(VLOOKUP(D22, '[1]4. Billing Det. for Def-Var'!$A$16:$B$16, 2, FALSE)),"", VLOOKUP(D22,'[1]4. Billing Det. for Def-Var'!$A$16:$B$16, 2, FALSE))</f>
        <v/>
      </c>
      <c r="H22" s="85"/>
      <c r="I22" s="86"/>
      <c r="J22" s="87" t="str">
        <f t="shared" si="0"/>
        <v/>
      </c>
      <c r="K22" s="88"/>
      <c r="L22" s="88"/>
      <c r="M22" s="85"/>
      <c r="N22" s="89"/>
      <c r="O22" s="71"/>
    </row>
    <row r="23" spans="1:15" x14ac:dyDescent="0.25">
      <c r="A23" s="71"/>
      <c r="B23" s="71"/>
      <c r="C23" s="72"/>
      <c r="D23" s="71"/>
      <c r="E23" s="71"/>
      <c r="F23" s="71"/>
      <c r="G23" s="71"/>
      <c r="H23" s="71"/>
      <c r="I23" s="71"/>
      <c r="J23" s="71"/>
      <c r="K23" s="71"/>
      <c r="L23" s="71"/>
      <c r="M23" s="71"/>
      <c r="N23" s="71"/>
      <c r="O23" s="71"/>
    </row>
    <row r="24" spans="1:15" ht="15.75" x14ac:dyDescent="0.25">
      <c r="A24" s="71"/>
      <c r="B24" s="71"/>
      <c r="C24" s="72"/>
      <c r="D24" s="75" t="s">
        <v>129</v>
      </c>
      <c r="E24" s="71"/>
      <c r="F24" s="71"/>
      <c r="G24" s="71"/>
      <c r="H24" s="71"/>
      <c r="I24" s="71"/>
      <c r="J24" s="71"/>
      <c r="K24" s="71"/>
      <c r="L24" s="71"/>
      <c r="M24" s="71"/>
      <c r="N24" s="71"/>
      <c r="O24" s="71"/>
    </row>
    <row r="25" spans="1:15" x14ac:dyDescent="0.25">
      <c r="A25" s="71"/>
      <c r="B25" s="71"/>
      <c r="C25" s="72"/>
      <c r="D25" s="281" t="s">
        <v>107</v>
      </c>
      <c r="E25" s="282"/>
      <c r="F25" s="283"/>
      <c r="G25" s="290" t="s">
        <v>108</v>
      </c>
      <c r="H25" s="291" t="s">
        <v>130</v>
      </c>
      <c r="I25" s="291"/>
      <c r="J25" s="291"/>
      <c r="K25" s="291"/>
      <c r="L25" s="291"/>
      <c r="M25" s="291"/>
      <c r="N25" s="291" t="s">
        <v>93</v>
      </c>
      <c r="O25" s="291"/>
    </row>
    <row r="26" spans="1:15" x14ac:dyDescent="0.25">
      <c r="A26" s="71"/>
      <c r="B26" s="71"/>
      <c r="C26" s="72"/>
      <c r="D26" s="284"/>
      <c r="E26" s="285"/>
      <c r="F26" s="286"/>
      <c r="G26" s="290"/>
      <c r="H26" s="292" t="s">
        <v>3</v>
      </c>
      <c r="I26" s="292"/>
      <c r="J26" s="292" t="s">
        <v>6</v>
      </c>
      <c r="K26" s="292"/>
      <c r="L26" s="292" t="s">
        <v>8</v>
      </c>
      <c r="M26" s="292"/>
      <c r="N26" s="292" t="s">
        <v>131</v>
      </c>
      <c r="O26" s="292"/>
    </row>
    <row r="27" spans="1:15" x14ac:dyDescent="0.25">
      <c r="A27" s="71"/>
      <c r="B27" s="71"/>
      <c r="C27" s="72"/>
      <c r="D27" s="287"/>
      <c r="E27" s="288"/>
      <c r="F27" s="289"/>
      <c r="G27" s="290"/>
      <c r="H27" s="94" t="s">
        <v>132</v>
      </c>
      <c r="I27" s="94" t="s">
        <v>133</v>
      </c>
      <c r="J27" s="94" t="s">
        <v>132</v>
      </c>
      <c r="K27" s="94" t="s">
        <v>133</v>
      </c>
      <c r="L27" s="94" t="s">
        <v>132</v>
      </c>
      <c r="M27" s="94" t="s">
        <v>133</v>
      </c>
      <c r="N27" s="94" t="s">
        <v>132</v>
      </c>
      <c r="O27" s="94" t="s">
        <v>133</v>
      </c>
    </row>
    <row r="28" spans="1:15" x14ac:dyDescent="0.25">
      <c r="A28" s="71"/>
      <c r="B28" s="71" t="str">
        <f>H3</f>
        <v>RPP</v>
      </c>
      <c r="C28" s="72">
        <v>1</v>
      </c>
      <c r="D28" s="293" t="str">
        <f t="shared" ref="D28:D47" si="1">IF(ISBLANK(D3), "", IF(D3 = "Add additional scenarios if required", "", IF(M3="YES", D3 &amp; " - " &amp; H3 &amp; " - Interval Customers", D3 &amp; " - " &amp;H3)))</f>
        <v>RESIDENTIAL SERVICE CLASSIFICATION - RPP</v>
      </c>
      <c r="E28" s="294"/>
      <c r="F28" s="294"/>
      <c r="G28" s="95" t="str">
        <f t="shared" ref="G28:G42" si="2">IF(ISBLANK(G3), "", G3)</f>
        <v/>
      </c>
      <c r="H28" s="96" t="str">
        <f>IF(LEN($G28)&gt;1, (SUMPRODUCT(--($C$51:$C$1973=$B3), --($A$51:$A$1973=$D3), --($B$51:$B$1973="ST_A"), $L$51:$L$1973)), "")</f>
        <v/>
      </c>
      <c r="I28" s="97" t="str">
        <f>IF(LEN($G28)&gt;1, (SUMPRODUCT(--($C$51:$C$1973=$B3), --($A$51:$A$1973=$D3), --($B$51:$B$1973="ST_A"), $M$51:$M$1973)), "")</f>
        <v/>
      </c>
      <c r="J28" s="96" t="str">
        <f>IF(LEN($G28)&gt;1, (SUMPRODUCT(--($C$51:$C$1973=$B3), --($A$51:$A$1973=$D3), --($B$51:$B$1973="ST_B"), $L$51:$L$1973)), "")</f>
        <v/>
      </c>
      <c r="K28" s="97" t="str">
        <f>IF(LEN($G28)&gt;1, (SUMPRODUCT(--($C$51:$C$1973=$B3), --($A$51:$A$1973=$D3), --($B$51:$B$1973="ST_B"), $M$51:$M$1973)), "")</f>
        <v/>
      </c>
      <c r="L28" s="96" t="str">
        <f>IF(LEN($G28)&gt;1, (SUMPRODUCT(--($C$51:$C$1973=$B3), --($A$51:$A$1973=$D3), --($B$51:$B$1973="ST_C"), $L$51:$L$1973)), "")</f>
        <v/>
      </c>
      <c r="M28" s="97" t="str">
        <f>IF(LEN($G28)&gt;1, (SUMPRODUCT(--($C$51:$C$1973=$B3), --($A$51:$A$1973=$D3), --($B$51:$B$1973="ST_C"), $M$51:$M$1973)), "")</f>
        <v/>
      </c>
      <c r="N28" s="96" t="str">
        <f>IF(LEN($G28)&gt;1, (SUMPRODUCT(--($C$51:$C$1973=$B3), --($A$51:$A$1973=$D3), --($B$51:$B$1973=$B28&amp;"_TOTAL"), $L$51:$L$1973)), "")</f>
        <v/>
      </c>
      <c r="O28" s="97" t="str">
        <f>IF(LEN($G28)&gt;1, (SUMPRODUCT(--($C$51:$C$1973=$B3), --($A$51:$A$1973=$D3), --($B$51:$B$1973=$B28&amp;"_TOTAL"), $M$51:$M$1973)), "")</f>
        <v/>
      </c>
    </row>
    <row r="29" spans="1:15" x14ac:dyDescent="0.25">
      <c r="A29" s="71"/>
      <c r="B29" s="71" t="str">
        <f t="shared" ref="B29:B47" si="3">H4</f>
        <v>RPP</v>
      </c>
      <c r="C29" s="72">
        <v>2</v>
      </c>
      <c r="D29" s="293" t="str">
        <f t="shared" si="1"/>
        <v>GENERAL SERVICE LESS THAN 50 KW SERVICE CLASSIFICATION - RPP</v>
      </c>
      <c r="E29" s="294"/>
      <c r="F29" s="294"/>
      <c r="G29" s="95" t="str">
        <f t="shared" si="2"/>
        <v/>
      </c>
      <c r="H29" s="96" t="str">
        <f t="shared" ref="H29:H47" si="4">IF(LEN($G29)&gt;1, (SUMPRODUCT(--($C$51:$C$1973=$B4), --($A$51:$A$1973=$D4), --($B$51:$B$1973="ST_A"), $L$51:$L$1973)), "")</f>
        <v/>
      </c>
      <c r="I29" s="97" t="str">
        <f t="shared" ref="I29:I47" si="5">IF(LEN($G29)&gt;1, (SUMPRODUCT(--($C$51:$C$1973=$B4), --($A$51:$A$1973=$D4), --($B$51:$B$1973="ST_A"), $M$51:$M$1973)), "")</f>
        <v/>
      </c>
      <c r="J29" s="96" t="str">
        <f t="shared" ref="J29:J47" si="6">IF(LEN($G29)&gt;1, (SUMPRODUCT(--($C$51:$C$1973=$B4), --($A$51:$A$1973=$D4), --($B$51:$B$1973="ST_B"), $L$51:$L$1973)), "")</f>
        <v/>
      </c>
      <c r="K29" s="97" t="str">
        <f t="shared" ref="K29:K47" si="7">IF(LEN($G29)&gt;1, (SUMPRODUCT(--($C$51:$C$1973=$B4), --($A$51:$A$1973=$D4), --($B$51:$B$1973="ST_B"), $M$51:$M$1973)), "")</f>
        <v/>
      </c>
      <c r="L29" s="96" t="str">
        <f t="shared" ref="L29:L47" si="8">IF(LEN($G29)&gt;1, (SUMPRODUCT(--($C$51:$C$1973=$B4), --($A$51:$A$1973=$D4), --($B$51:$B$1973="ST_C"), $L$51:$L$1973)), "")</f>
        <v/>
      </c>
      <c r="M29" s="97" t="str">
        <f t="shared" ref="M29:M47" si="9">IF(LEN($G29)&gt;1, (SUMPRODUCT(--($C$51:$C$1973=$B4), --($A$51:$A$1973=$D4), --($B$51:$B$1973="ST_C"), $M$51:$M$1973)), "")</f>
        <v/>
      </c>
      <c r="N29" s="96" t="str">
        <f t="shared" ref="N29:N47" si="10">IF(LEN($G29)&gt;1, (SUMPRODUCT(--($C$51:$C$1973=$B4), --($A$51:$A$1973=$D4), --($B$51:$B$1973=$B29&amp;"_TOTAL"), $L$51:$L$1973)), "")</f>
        <v/>
      </c>
      <c r="O29" s="97" t="str">
        <f t="shared" ref="O29:O47" si="11">IF(LEN($G29)&gt;1, (SUMPRODUCT(--($C$51:$C$1973=$B4), --($A$51:$A$1973=$D4), --($B$51:$B$1973=$B29&amp;"_TOTAL"), $M$51:$M$1973)), "")</f>
        <v/>
      </c>
    </row>
    <row r="30" spans="1:15" x14ac:dyDescent="0.25">
      <c r="A30" s="71"/>
      <c r="B30" s="71" t="str">
        <f t="shared" si="3"/>
        <v>Non-RPP (Other)</v>
      </c>
      <c r="C30" s="72">
        <v>3</v>
      </c>
      <c r="D30" s="293" t="str">
        <f t="shared" si="1"/>
        <v>GENERAL SERVICE 50 TO 999 KW SERVICE CLASSIFICATION - Non-RPP (Other)</v>
      </c>
      <c r="E30" s="294"/>
      <c r="F30" s="294"/>
      <c r="G30" s="95" t="str">
        <f t="shared" si="2"/>
        <v/>
      </c>
      <c r="H30" s="96" t="str">
        <f t="shared" si="4"/>
        <v/>
      </c>
      <c r="I30" s="97" t="str">
        <f t="shared" si="5"/>
        <v/>
      </c>
      <c r="J30" s="96" t="str">
        <f t="shared" si="6"/>
        <v/>
      </c>
      <c r="K30" s="97" t="str">
        <f t="shared" si="7"/>
        <v/>
      </c>
      <c r="L30" s="96" t="str">
        <f t="shared" si="8"/>
        <v/>
      </c>
      <c r="M30" s="97" t="str">
        <f t="shared" si="9"/>
        <v/>
      </c>
      <c r="N30" s="96" t="str">
        <f t="shared" si="10"/>
        <v/>
      </c>
      <c r="O30" s="97" t="str">
        <f t="shared" si="11"/>
        <v/>
      </c>
    </row>
    <row r="31" spans="1:15" x14ac:dyDescent="0.25">
      <c r="A31" s="71"/>
      <c r="B31" s="71" t="str">
        <f t="shared" si="3"/>
        <v>Non-RPP (Other)</v>
      </c>
      <c r="C31" s="72">
        <v>4</v>
      </c>
      <c r="D31" s="293" t="str">
        <f t="shared" si="1"/>
        <v>GENERAL SERVICE 1,000 TO 4,999 KW SERVICE CLASSIFICATION - Non-RPP (Other)</v>
      </c>
      <c r="E31" s="294"/>
      <c r="F31" s="294"/>
      <c r="G31" s="95" t="str">
        <f t="shared" si="2"/>
        <v/>
      </c>
      <c r="H31" s="96" t="str">
        <f t="shared" si="4"/>
        <v/>
      </c>
      <c r="I31" s="97" t="str">
        <f t="shared" si="5"/>
        <v/>
      </c>
      <c r="J31" s="96" t="str">
        <f t="shared" si="6"/>
        <v/>
      </c>
      <c r="K31" s="97" t="str">
        <f t="shared" si="7"/>
        <v/>
      </c>
      <c r="L31" s="96" t="str">
        <f t="shared" si="8"/>
        <v/>
      </c>
      <c r="M31" s="97" t="str">
        <f t="shared" si="9"/>
        <v/>
      </c>
      <c r="N31" s="96" t="str">
        <f t="shared" si="10"/>
        <v/>
      </c>
      <c r="O31" s="97" t="str">
        <f t="shared" si="11"/>
        <v/>
      </c>
    </row>
    <row r="32" spans="1:15" x14ac:dyDescent="0.25">
      <c r="A32" s="71"/>
      <c r="B32" s="71" t="str">
        <f t="shared" si="3"/>
        <v>RPP</v>
      </c>
      <c r="C32" s="72">
        <v>5</v>
      </c>
      <c r="D32" s="293" t="str">
        <f t="shared" si="1"/>
        <v>UNMETERED SCATTERED LOAD SERVICE CLASSIFICATION - RPP</v>
      </c>
      <c r="E32" s="294"/>
      <c r="F32" s="294"/>
      <c r="G32" s="95" t="str">
        <f t="shared" si="2"/>
        <v/>
      </c>
      <c r="H32" s="96" t="str">
        <f t="shared" si="4"/>
        <v/>
      </c>
      <c r="I32" s="97" t="str">
        <f t="shared" si="5"/>
        <v/>
      </c>
      <c r="J32" s="96" t="str">
        <f t="shared" si="6"/>
        <v/>
      </c>
      <c r="K32" s="97" t="str">
        <f t="shared" si="7"/>
        <v/>
      </c>
      <c r="L32" s="96" t="str">
        <f t="shared" si="8"/>
        <v/>
      </c>
      <c r="M32" s="97" t="str">
        <f t="shared" si="9"/>
        <v/>
      </c>
      <c r="N32" s="96" t="str">
        <f t="shared" si="10"/>
        <v/>
      </c>
      <c r="O32" s="97" t="str">
        <f t="shared" si="11"/>
        <v/>
      </c>
    </row>
    <row r="33" spans="1:15" x14ac:dyDescent="0.25">
      <c r="A33" s="71"/>
      <c r="B33" s="71" t="str">
        <f t="shared" si="3"/>
        <v>RPP</v>
      </c>
      <c r="C33" s="72">
        <v>6</v>
      </c>
      <c r="D33" s="293" t="str">
        <f t="shared" si="1"/>
        <v>SENTINEL LIGHTING SERVICE CLASSIFICATION - RPP</v>
      </c>
      <c r="E33" s="294"/>
      <c r="F33" s="294"/>
      <c r="G33" s="95" t="str">
        <f t="shared" si="2"/>
        <v/>
      </c>
      <c r="H33" s="96" t="str">
        <f t="shared" si="4"/>
        <v/>
      </c>
      <c r="I33" s="97" t="str">
        <f t="shared" si="5"/>
        <v/>
      </c>
      <c r="J33" s="96" t="str">
        <f t="shared" si="6"/>
        <v/>
      </c>
      <c r="K33" s="97" t="str">
        <f t="shared" si="7"/>
        <v/>
      </c>
      <c r="L33" s="96" t="str">
        <f t="shared" si="8"/>
        <v/>
      </c>
      <c r="M33" s="97" t="str">
        <f t="shared" si="9"/>
        <v/>
      </c>
      <c r="N33" s="96" t="str">
        <f t="shared" si="10"/>
        <v/>
      </c>
      <c r="O33" s="97" t="str">
        <f t="shared" si="11"/>
        <v/>
      </c>
    </row>
    <row r="34" spans="1:15" x14ac:dyDescent="0.25">
      <c r="A34" s="71"/>
      <c r="B34" s="71" t="str">
        <f t="shared" si="3"/>
        <v>Non-RPP (Other)</v>
      </c>
      <c r="C34" s="72">
        <v>7</v>
      </c>
      <c r="D34" s="293" t="str">
        <f t="shared" si="1"/>
        <v>STREET LIGHTING SERVICE CLASSIFICATION - Non-RPP (Other)</v>
      </c>
      <c r="E34" s="294"/>
      <c r="F34" s="294"/>
      <c r="G34" s="95" t="str">
        <f t="shared" si="2"/>
        <v/>
      </c>
      <c r="H34" s="96" t="str">
        <f t="shared" si="4"/>
        <v/>
      </c>
      <c r="I34" s="97" t="str">
        <f t="shared" si="5"/>
        <v/>
      </c>
      <c r="J34" s="96" t="str">
        <f t="shared" si="6"/>
        <v/>
      </c>
      <c r="K34" s="97" t="str">
        <f t="shared" si="7"/>
        <v/>
      </c>
      <c r="L34" s="96" t="str">
        <f t="shared" si="8"/>
        <v/>
      </c>
      <c r="M34" s="97" t="str">
        <f t="shared" si="9"/>
        <v/>
      </c>
      <c r="N34" s="96" t="str">
        <f t="shared" si="10"/>
        <v/>
      </c>
      <c r="O34" s="97" t="str">
        <f t="shared" si="11"/>
        <v/>
      </c>
    </row>
    <row r="35" spans="1:15" x14ac:dyDescent="0.25">
      <c r="A35" s="71"/>
      <c r="B35" s="71" t="str">
        <f t="shared" si="3"/>
        <v>RPP</v>
      </c>
      <c r="C35" s="72">
        <v>8</v>
      </c>
      <c r="D35" s="293" t="str">
        <f t="shared" si="1"/>
        <v>RESIDENTIAL SERVICE CLASSIFICATION - RPP</v>
      </c>
      <c r="E35" s="294"/>
      <c r="F35" s="294"/>
      <c r="G35" s="95" t="str">
        <f t="shared" si="2"/>
        <v/>
      </c>
      <c r="H35" s="96" t="str">
        <f t="shared" si="4"/>
        <v/>
      </c>
      <c r="I35" s="97" t="str">
        <f t="shared" si="5"/>
        <v/>
      </c>
      <c r="J35" s="96" t="str">
        <f t="shared" si="6"/>
        <v/>
      </c>
      <c r="K35" s="97" t="str">
        <f t="shared" si="7"/>
        <v/>
      </c>
      <c r="L35" s="96" t="str">
        <f t="shared" si="8"/>
        <v/>
      </c>
      <c r="M35" s="97" t="str">
        <f t="shared" si="9"/>
        <v/>
      </c>
      <c r="N35" s="96" t="str">
        <f t="shared" si="10"/>
        <v/>
      </c>
      <c r="O35" s="97" t="str">
        <f t="shared" si="11"/>
        <v/>
      </c>
    </row>
    <row r="36" spans="1:15" x14ac:dyDescent="0.25">
      <c r="A36" s="71"/>
      <c r="B36" s="71" t="str">
        <f t="shared" si="3"/>
        <v>RPP</v>
      </c>
      <c r="C36" s="72">
        <v>9</v>
      </c>
      <c r="D36" s="293" t="str">
        <f t="shared" si="1"/>
        <v>RESIDENTIAL SERVICE CLASSIFICATION - RPP</v>
      </c>
      <c r="E36" s="294"/>
      <c r="F36" s="294"/>
      <c r="G36" s="95" t="str">
        <f t="shared" si="2"/>
        <v/>
      </c>
      <c r="H36" s="96" t="str">
        <f t="shared" si="4"/>
        <v/>
      </c>
      <c r="I36" s="97" t="str">
        <f t="shared" si="5"/>
        <v/>
      </c>
      <c r="J36" s="96" t="str">
        <f t="shared" si="6"/>
        <v/>
      </c>
      <c r="K36" s="97" t="str">
        <f t="shared" si="7"/>
        <v/>
      </c>
      <c r="L36" s="96" t="str">
        <f t="shared" si="8"/>
        <v/>
      </c>
      <c r="M36" s="97" t="str">
        <f t="shared" si="9"/>
        <v/>
      </c>
      <c r="N36" s="96" t="str">
        <f t="shared" si="10"/>
        <v/>
      </c>
      <c r="O36" s="97" t="str">
        <f t="shared" si="11"/>
        <v/>
      </c>
    </row>
    <row r="37" spans="1:15" x14ac:dyDescent="0.25">
      <c r="A37" s="71"/>
      <c r="B37" s="71" t="str">
        <f t="shared" si="3"/>
        <v>RPP</v>
      </c>
      <c r="C37" s="72">
        <v>10</v>
      </c>
      <c r="D37" s="293" t="str">
        <f t="shared" si="1"/>
        <v>RESIDENTIAL SERVICE CLASSIFICATION - RPP</v>
      </c>
      <c r="E37" s="294"/>
      <c r="F37" s="294"/>
      <c r="G37" s="95" t="str">
        <f t="shared" si="2"/>
        <v/>
      </c>
      <c r="H37" s="96" t="str">
        <f t="shared" si="4"/>
        <v/>
      </c>
      <c r="I37" s="97" t="str">
        <f t="shared" si="5"/>
        <v/>
      </c>
      <c r="J37" s="96" t="str">
        <f t="shared" si="6"/>
        <v/>
      </c>
      <c r="K37" s="97" t="str">
        <f t="shared" si="7"/>
        <v/>
      </c>
      <c r="L37" s="96" t="str">
        <f t="shared" si="8"/>
        <v/>
      </c>
      <c r="M37" s="97" t="str">
        <f t="shared" si="9"/>
        <v/>
      </c>
      <c r="N37" s="96" t="str">
        <f t="shared" si="10"/>
        <v/>
      </c>
      <c r="O37" s="97" t="str">
        <f t="shared" si="11"/>
        <v/>
      </c>
    </row>
    <row r="38" spans="1:15" x14ac:dyDescent="0.25">
      <c r="A38" s="71"/>
      <c r="B38" s="71" t="str">
        <f t="shared" si="3"/>
        <v>RPP</v>
      </c>
      <c r="C38" s="72">
        <v>11</v>
      </c>
      <c r="D38" s="293" t="str">
        <f t="shared" si="1"/>
        <v>GENERAL SERVICE LESS THAN 50 KW SERVICE CLASSIFICATION - RPP</v>
      </c>
      <c r="E38" s="294"/>
      <c r="F38" s="294"/>
      <c r="G38" s="95" t="str">
        <f t="shared" si="2"/>
        <v/>
      </c>
      <c r="H38" s="96" t="str">
        <f t="shared" si="4"/>
        <v/>
      </c>
      <c r="I38" s="97" t="str">
        <f t="shared" si="5"/>
        <v/>
      </c>
      <c r="J38" s="96" t="str">
        <f t="shared" si="6"/>
        <v/>
      </c>
      <c r="K38" s="97" t="str">
        <f t="shared" si="7"/>
        <v/>
      </c>
      <c r="L38" s="96" t="str">
        <f t="shared" si="8"/>
        <v/>
      </c>
      <c r="M38" s="97" t="str">
        <f t="shared" si="9"/>
        <v/>
      </c>
      <c r="N38" s="96" t="str">
        <f t="shared" si="10"/>
        <v/>
      </c>
      <c r="O38" s="97" t="str">
        <f t="shared" si="11"/>
        <v/>
      </c>
    </row>
    <row r="39" spans="1:15" x14ac:dyDescent="0.25">
      <c r="A39" s="71"/>
      <c r="B39" s="71" t="str">
        <f t="shared" si="3"/>
        <v>RPP</v>
      </c>
      <c r="C39" s="72">
        <v>12</v>
      </c>
      <c r="D39" s="293" t="str">
        <f t="shared" si="1"/>
        <v>GENERAL SERVICE LESS THAN 50 KW SERVICE CLASSIFICATION - RPP</v>
      </c>
      <c r="E39" s="294"/>
      <c r="F39" s="294"/>
      <c r="G39" s="95" t="str">
        <f t="shared" si="2"/>
        <v/>
      </c>
      <c r="H39" s="96" t="str">
        <f t="shared" si="4"/>
        <v/>
      </c>
      <c r="I39" s="97" t="str">
        <f t="shared" si="5"/>
        <v/>
      </c>
      <c r="J39" s="96" t="str">
        <f t="shared" si="6"/>
        <v/>
      </c>
      <c r="K39" s="97" t="str">
        <f t="shared" si="7"/>
        <v/>
      </c>
      <c r="L39" s="96" t="str">
        <f t="shared" si="8"/>
        <v/>
      </c>
      <c r="M39" s="97" t="str">
        <f t="shared" si="9"/>
        <v/>
      </c>
      <c r="N39" s="96" t="str">
        <f t="shared" si="10"/>
        <v/>
      </c>
      <c r="O39" s="97" t="str">
        <f t="shared" si="11"/>
        <v/>
      </c>
    </row>
    <row r="40" spans="1:15" x14ac:dyDescent="0.25">
      <c r="A40" s="71"/>
      <c r="B40" s="71" t="str">
        <f t="shared" si="3"/>
        <v>RPP</v>
      </c>
      <c r="C40" s="72">
        <v>13</v>
      </c>
      <c r="D40" s="293" t="str">
        <f t="shared" si="1"/>
        <v>GENERAL SERVICE LESS THAN 50 KW SERVICE CLASSIFICATION - RPP</v>
      </c>
      <c r="E40" s="294"/>
      <c r="F40" s="294"/>
      <c r="G40" s="95" t="str">
        <f t="shared" si="2"/>
        <v/>
      </c>
      <c r="H40" s="96" t="str">
        <f t="shared" si="4"/>
        <v/>
      </c>
      <c r="I40" s="97" t="str">
        <f t="shared" si="5"/>
        <v/>
      </c>
      <c r="J40" s="96" t="str">
        <f t="shared" si="6"/>
        <v/>
      </c>
      <c r="K40" s="97" t="str">
        <f t="shared" si="7"/>
        <v/>
      </c>
      <c r="L40" s="96" t="str">
        <f t="shared" si="8"/>
        <v/>
      </c>
      <c r="M40" s="97" t="str">
        <f t="shared" si="9"/>
        <v/>
      </c>
      <c r="N40" s="96" t="str">
        <f t="shared" si="10"/>
        <v/>
      </c>
      <c r="O40" s="97" t="str">
        <f t="shared" si="11"/>
        <v/>
      </c>
    </row>
    <row r="41" spans="1:15" x14ac:dyDescent="0.25">
      <c r="A41" s="71"/>
      <c r="B41" s="71" t="str">
        <f t="shared" si="3"/>
        <v>Non-RPP (Other)</v>
      </c>
      <c r="C41" s="72">
        <v>14</v>
      </c>
      <c r="D41" s="293" t="str">
        <f t="shared" si="1"/>
        <v>GENERAL SERVICE 50 TO 999 KW SERVICE CLASSIFICATION - Non-RPP (Other)</v>
      </c>
      <c r="E41" s="294"/>
      <c r="F41" s="294"/>
      <c r="G41" s="95" t="str">
        <f t="shared" si="2"/>
        <v/>
      </c>
      <c r="H41" s="96" t="str">
        <f t="shared" si="4"/>
        <v/>
      </c>
      <c r="I41" s="97" t="str">
        <f t="shared" si="5"/>
        <v/>
      </c>
      <c r="J41" s="96" t="str">
        <f t="shared" si="6"/>
        <v/>
      </c>
      <c r="K41" s="97" t="str">
        <f t="shared" si="7"/>
        <v/>
      </c>
      <c r="L41" s="96" t="str">
        <f t="shared" si="8"/>
        <v/>
      </c>
      <c r="M41" s="97" t="str">
        <f t="shared" si="9"/>
        <v/>
      </c>
      <c r="N41" s="96" t="str">
        <f t="shared" si="10"/>
        <v/>
      </c>
      <c r="O41" s="97" t="str">
        <f t="shared" si="11"/>
        <v/>
      </c>
    </row>
    <row r="42" spans="1:15" x14ac:dyDescent="0.25">
      <c r="A42" s="71"/>
      <c r="B42" s="71" t="str">
        <f t="shared" si="3"/>
        <v>Non-RPP (Other)</v>
      </c>
      <c r="C42" s="72">
        <v>15</v>
      </c>
      <c r="D42" s="293" t="str">
        <f t="shared" si="1"/>
        <v>GENERAL SERVICE 50 TO 999 KW SERVICE CLASSIFICATION - Non-RPP (Other)</v>
      </c>
      <c r="E42" s="294"/>
      <c r="F42" s="294"/>
      <c r="G42" s="95" t="str">
        <f t="shared" si="2"/>
        <v/>
      </c>
      <c r="H42" s="96" t="str">
        <f t="shared" si="4"/>
        <v/>
      </c>
      <c r="I42" s="97" t="str">
        <f t="shared" si="5"/>
        <v/>
      </c>
      <c r="J42" s="96" t="str">
        <f t="shared" si="6"/>
        <v/>
      </c>
      <c r="K42" s="97" t="str">
        <f t="shared" si="7"/>
        <v/>
      </c>
      <c r="L42" s="96" t="str">
        <f t="shared" si="8"/>
        <v/>
      </c>
      <c r="M42" s="97" t="str">
        <f t="shared" si="9"/>
        <v/>
      </c>
      <c r="N42" s="96" t="str">
        <f t="shared" si="10"/>
        <v/>
      </c>
      <c r="O42" s="97" t="str">
        <f t="shared" si="11"/>
        <v/>
      </c>
    </row>
    <row r="43" spans="1:15" x14ac:dyDescent="0.25">
      <c r="A43" s="71"/>
      <c r="B43" s="71" t="str">
        <f t="shared" si="3"/>
        <v>Non-RPP (Other)</v>
      </c>
      <c r="C43" s="72">
        <v>16</v>
      </c>
      <c r="D43" s="293" t="str">
        <f t="shared" si="1"/>
        <v>GENERAL SERVICE 1,000 TO 4,999 KW SERVICE CLASSIFICATION - Non-RPP (Other)</v>
      </c>
      <c r="E43" s="294"/>
      <c r="F43" s="294"/>
      <c r="G43" s="95" t="str">
        <f>IF(ISBLANK(G18), "", G18)</f>
        <v/>
      </c>
      <c r="H43" s="96" t="str">
        <f t="shared" si="4"/>
        <v/>
      </c>
      <c r="I43" s="97" t="str">
        <f t="shared" si="5"/>
        <v/>
      </c>
      <c r="J43" s="96" t="str">
        <f t="shared" si="6"/>
        <v/>
      </c>
      <c r="K43" s="97" t="str">
        <f t="shared" si="7"/>
        <v/>
      </c>
      <c r="L43" s="96" t="str">
        <f t="shared" si="8"/>
        <v/>
      </c>
      <c r="M43" s="97" t="str">
        <f t="shared" si="9"/>
        <v/>
      </c>
      <c r="N43" s="96" t="str">
        <f t="shared" si="10"/>
        <v/>
      </c>
      <c r="O43" s="97" t="str">
        <f t="shared" si="11"/>
        <v/>
      </c>
    </row>
    <row r="44" spans="1:15" x14ac:dyDescent="0.25">
      <c r="A44" s="71"/>
      <c r="B44" s="71" t="str">
        <f t="shared" si="3"/>
        <v>Non-RPP (Other)</v>
      </c>
      <c r="C44" s="72">
        <v>17</v>
      </c>
      <c r="D44" s="293" t="str">
        <f t="shared" si="1"/>
        <v>GENERAL SERVICE 1,000 TO 4,999 KW SERVICE CLASSIFICATION - Non-RPP (Other)</v>
      </c>
      <c r="E44" s="294"/>
      <c r="F44" s="294"/>
      <c r="G44" s="95" t="str">
        <f>IF(ISBLANK(G19), "", G19)</f>
        <v/>
      </c>
      <c r="H44" s="96" t="str">
        <f t="shared" si="4"/>
        <v/>
      </c>
      <c r="I44" s="97" t="str">
        <f t="shared" si="5"/>
        <v/>
      </c>
      <c r="J44" s="96" t="str">
        <f t="shared" si="6"/>
        <v/>
      </c>
      <c r="K44" s="97" t="str">
        <f t="shared" si="7"/>
        <v/>
      </c>
      <c r="L44" s="96" t="str">
        <f t="shared" si="8"/>
        <v/>
      </c>
      <c r="M44" s="97" t="str">
        <f t="shared" si="9"/>
        <v/>
      </c>
      <c r="N44" s="96" t="str">
        <f t="shared" si="10"/>
        <v/>
      </c>
      <c r="O44" s="97" t="str">
        <f t="shared" si="11"/>
        <v/>
      </c>
    </row>
    <row r="45" spans="1:15" x14ac:dyDescent="0.25">
      <c r="A45" s="71"/>
      <c r="B45" s="71" t="str">
        <f t="shared" si="3"/>
        <v>RPP</v>
      </c>
      <c r="C45" s="72">
        <v>18</v>
      </c>
      <c r="D45" s="293" t="str">
        <f t="shared" si="1"/>
        <v>GENERAL SERVICE 50 TO 999 KW SERVICE CLASSIFICATION - RPP</v>
      </c>
      <c r="E45" s="294"/>
      <c r="F45" s="294"/>
      <c r="G45" s="95" t="str">
        <f>IF(ISBLANK(G20), "", G20)</f>
        <v/>
      </c>
      <c r="H45" s="96" t="str">
        <f t="shared" si="4"/>
        <v/>
      </c>
      <c r="I45" s="97" t="str">
        <f t="shared" si="5"/>
        <v/>
      </c>
      <c r="J45" s="96" t="str">
        <f t="shared" si="6"/>
        <v/>
      </c>
      <c r="K45" s="97" t="str">
        <f t="shared" si="7"/>
        <v/>
      </c>
      <c r="L45" s="96" t="str">
        <f t="shared" si="8"/>
        <v/>
      </c>
      <c r="M45" s="97" t="str">
        <f t="shared" si="9"/>
        <v/>
      </c>
      <c r="N45" s="96" t="str">
        <f t="shared" si="10"/>
        <v/>
      </c>
      <c r="O45" s="97" t="str">
        <f t="shared" si="11"/>
        <v/>
      </c>
    </row>
    <row r="46" spans="1:15" x14ac:dyDescent="0.25">
      <c r="A46" s="71"/>
      <c r="B46" s="71">
        <f t="shared" si="3"/>
        <v>0</v>
      </c>
      <c r="C46" s="72">
        <v>19</v>
      </c>
      <c r="D46" s="293" t="str">
        <f t="shared" si="1"/>
        <v/>
      </c>
      <c r="E46" s="294"/>
      <c r="F46" s="294"/>
      <c r="G46" s="95" t="str">
        <f>IF(ISBLANK(G21), "", G21)</f>
        <v/>
      </c>
      <c r="H46" s="96" t="str">
        <f t="shared" si="4"/>
        <v/>
      </c>
      <c r="I46" s="97" t="str">
        <f t="shared" si="5"/>
        <v/>
      </c>
      <c r="J46" s="96" t="str">
        <f t="shared" si="6"/>
        <v/>
      </c>
      <c r="K46" s="97" t="str">
        <f t="shared" si="7"/>
        <v/>
      </c>
      <c r="L46" s="96" t="str">
        <f t="shared" si="8"/>
        <v/>
      </c>
      <c r="M46" s="97" t="str">
        <f t="shared" si="9"/>
        <v/>
      </c>
      <c r="N46" s="96" t="str">
        <f t="shared" si="10"/>
        <v/>
      </c>
      <c r="O46" s="97" t="str">
        <f t="shared" si="11"/>
        <v/>
      </c>
    </row>
    <row r="47" spans="1:15" x14ac:dyDescent="0.25">
      <c r="A47" s="71"/>
      <c r="B47" s="71">
        <f t="shared" si="3"/>
        <v>0</v>
      </c>
      <c r="C47" s="72">
        <v>20</v>
      </c>
      <c r="D47" s="293" t="str">
        <f t="shared" si="1"/>
        <v/>
      </c>
      <c r="E47" s="294"/>
      <c r="F47" s="294"/>
      <c r="G47" s="95" t="str">
        <f>IF(ISBLANK(G22), "", G22)</f>
        <v/>
      </c>
      <c r="H47" s="96" t="str">
        <f t="shared" si="4"/>
        <v/>
      </c>
      <c r="I47" s="97" t="str">
        <f t="shared" si="5"/>
        <v/>
      </c>
      <c r="J47" s="96" t="str">
        <f t="shared" si="6"/>
        <v/>
      </c>
      <c r="K47" s="97" t="str">
        <f t="shared" si="7"/>
        <v/>
      </c>
      <c r="L47" s="96" t="str">
        <f t="shared" si="8"/>
        <v/>
      </c>
      <c r="M47" s="97" t="str">
        <f t="shared" si="9"/>
        <v/>
      </c>
      <c r="N47" s="96" t="str">
        <f t="shared" si="10"/>
        <v/>
      </c>
      <c r="O47" s="97" t="str">
        <f t="shared" si="11"/>
        <v/>
      </c>
    </row>
    <row r="48" spans="1:15" x14ac:dyDescent="0.25">
      <c r="A48" s="71"/>
      <c r="B48" s="71"/>
      <c r="C48" s="72"/>
      <c r="D48" s="71"/>
      <c r="E48" s="71"/>
      <c r="F48" s="71"/>
      <c r="G48" s="71"/>
      <c r="H48" s="71"/>
      <c r="I48" s="71"/>
      <c r="J48" s="71"/>
      <c r="K48" s="71"/>
      <c r="L48" s="71"/>
      <c r="M48" s="71"/>
      <c r="N48" s="71"/>
      <c r="O48" s="71"/>
    </row>
    <row r="49" spans="1:15" x14ac:dyDescent="0.25">
      <c r="A49" s="98"/>
      <c r="B49" s="98"/>
      <c r="C49" s="99"/>
      <c r="D49" s="98"/>
      <c r="E49" s="98"/>
      <c r="F49" s="98"/>
      <c r="G49" s="98"/>
      <c r="H49" s="98"/>
      <c r="I49" s="98"/>
      <c r="J49" s="98"/>
      <c r="K49" s="98"/>
      <c r="L49" s="98"/>
      <c r="M49" s="98"/>
      <c r="N49" s="98"/>
      <c r="O49" s="98"/>
    </row>
    <row r="50" spans="1:15" x14ac:dyDescent="0.25">
      <c r="A50" s="71"/>
      <c r="B50" s="71"/>
      <c r="C50" s="72"/>
      <c r="D50" s="71"/>
      <c r="E50" s="71"/>
      <c r="F50" s="71"/>
      <c r="G50" s="71"/>
      <c r="H50" s="71"/>
      <c r="I50" s="71"/>
      <c r="J50" s="71"/>
      <c r="K50" s="71"/>
      <c r="L50" s="71"/>
      <c r="M50" s="71"/>
      <c r="N50" s="71"/>
      <c r="O50" s="71"/>
    </row>
    <row r="51" spans="1:15" x14ac:dyDescent="0.25">
      <c r="C51" s="100"/>
      <c r="D51" s="101" t="s">
        <v>134</v>
      </c>
      <c r="E51" s="302" t="str">
        <f>D3</f>
        <v>RESIDENTIAL SERVICE CLASSIFICATION</v>
      </c>
      <c r="F51" s="302"/>
      <c r="G51" s="302"/>
      <c r="H51" s="302"/>
      <c r="I51" s="302"/>
      <c r="J51" s="302"/>
      <c r="K51" s="100" t="str">
        <f>IF(N3="DEMAND - INTERVAL","RTSR - INTERVAL METERED","")</f>
        <v/>
      </c>
    </row>
    <row r="52" spans="1:15" x14ac:dyDescent="0.25">
      <c r="C52" s="100"/>
      <c r="D52" s="101" t="s">
        <v>135</v>
      </c>
      <c r="E52" s="303" t="str">
        <f>H3</f>
        <v>RPP</v>
      </c>
      <c r="F52" s="303"/>
      <c r="G52" s="303"/>
      <c r="H52" s="102"/>
      <c r="I52" s="102"/>
    </row>
    <row r="53" spans="1:15" ht="15.75" x14ac:dyDescent="0.25">
      <c r="C53" s="100"/>
      <c r="D53" s="101" t="s">
        <v>136</v>
      </c>
      <c r="E53" s="103">
        <f>K3</f>
        <v>750</v>
      </c>
      <c r="F53" s="104" t="s">
        <v>137</v>
      </c>
      <c r="G53" s="105"/>
      <c r="J53" s="106"/>
      <c r="K53" s="106"/>
      <c r="L53" s="106"/>
      <c r="M53" s="106"/>
    </row>
    <row r="54" spans="1:15" ht="15.75" x14ac:dyDescent="0.25">
      <c r="C54" s="100"/>
      <c r="D54" s="101" t="s">
        <v>138</v>
      </c>
      <c r="E54" s="103">
        <f>L3</f>
        <v>0</v>
      </c>
      <c r="F54" s="107" t="s">
        <v>139</v>
      </c>
      <c r="G54" s="108"/>
      <c r="H54" s="109"/>
      <c r="I54" s="109"/>
      <c r="J54" s="109"/>
    </row>
    <row r="55" spans="1:15" x14ac:dyDescent="0.25">
      <c r="C55" s="100"/>
      <c r="D55" s="101" t="s">
        <v>140</v>
      </c>
      <c r="E55" s="110">
        <f>I3</f>
        <v>1.056</v>
      </c>
    </row>
    <row r="56" spans="1:15" x14ac:dyDescent="0.25">
      <c r="C56" s="100"/>
      <c r="D56" s="101" t="s">
        <v>141</v>
      </c>
      <c r="E56" s="110">
        <f>J3</f>
        <v>1.056</v>
      </c>
    </row>
    <row r="57" spans="1:15" x14ac:dyDescent="0.25">
      <c r="C57" s="100"/>
      <c r="D57" s="105"/>
    </row>
    <row r="58" spans="1:15" x14ac:dyDescent="0.25">
      <c r="C58" s="100"/>
      <c r="D58" s="105"/>
      <c r="E58" s="111"/>
      <c r="F58" s="304" t="s">
        <v>142</v>
      </c>
      <c r="G58" s="305"/>
      <c r="H58" s="306"/>
      <c r="I58" s="304" t="s">
        <v>143</v>
      </c>
      <c r="J58" s="305"/>
      <c r="K58" s="306"/>
      <c r="L58" s="304" t="s">
        <v>144</v>
      </c>
      <c r="M58" s="306"/>
    </row>
    <row r="59" spans="1:15" x14ac:dyDescent="0.25">
      <c r="C59" s="100"/>
      <c r="D59" s="105"/>
      <c r="E59" s="295"/>
      <c r="F59" s="112" t="s">
        <v>145</v>
      </c>
      <c r="G59" s="112" t="s">
        <v>146</v>
      </c>
      <c r="H59" s="113" t="s">
        <v>147</v>
      </c>
      <c r="I59" s="112" t="s">
        <v>145</v>
      </c>
      <c r="J59" s="114" t="s">
        <v>146</v>
      </c>
      <c r="K59" s="113" t="s">
        <v>147</v>
      </c>
      <c r="L59" s="297" t="s">
        <v>148</v>
      </c>
      <c r="M59" s="299" t="s">
        <v>149</v>
      </c>
    </row>
    <row r="60" spans="1:15" x14ac:dyDescent="0.25">
      <c r="C60" s="100"/>
      <c r="D60" s="105"/>
      <c r="E60" s="296"/>
      <c r="F60" s="115" t="s">
        <v>150</v>
      </c>
      <c r="G60" s="115"/>
      <c r="H60" s="116" t="s">
        <v>150</v>
      </c>
      <c r="I60" s="115" t="s">
        <v>150</v>
      </c>
      <c r="J60" s="116"/>
      <c r="K60" s="116" t="s">
        <v>150</v>
      </c>
      <c r="L60" s="298"/>
      <c r="M60" s="300"/>
    </row>
    <row r="61" spans="1:15" x14ac:dyDescent="0.25">
      <c r="A61" s="100" t="str">
        <f>$E51</f>
        <v>RESIDENTIAL SERVICE CLASSIFICATION</v>
      </c>
      <c r="C61" s="117"/>
      <c r="D61" s="118" t="s">
        <v>151</v>
      </c>
      <c r="E61" s="119"/>
      <c r="F61" s="120">
        <v>23.48</v>
      </c>
      <c r="G61" s="121">
        <v>1</v>
      </c>
      <c r="H61" s="122">
        <f>G61*F61</f>
        <v>23.48</v>
      </c>
      <c r="I61" s="123">
        <v>26.72</v>
      </c>
      <c r="J61" s="124">
        <f>G61</f>
        <v>1</v>
      </c>
      <c r="K61" s="122">
        <f>H61</f>
        <v>23.48</v>
      </c>
      <c r="L61" s="125">
        <f t="shared" ref="L61:L82" si="12">K61-H61</f>
        <v>0</v>
      </c>
      <c r="M61" s="126">
        <f>IF(ISERROR(L61/H61), "", L61/H61)</f>
        <v>0</v>
      </c>
    </row>
    <row r="62" spans="1:15" x14ac:dyDescent="0.25">
      <c r="A62" s="100" t="str">
        <f>A61</f>
        <v>RESIDENTIAL SERVICE CLASSIFICATION</v>
      </c>
      <c r="C62" s="117"/>
      <c r="D62" s="118" t="s">
        <v>152</v>
      </c>
      <c r="E62" s="119"/>
      <c r="F62" s="127">
        <v>3.3999999999999998E-3</v>
      </c>
      <c r="G62" s="121">
        <f>IF($E54&gt;0, $E54, $E53)</f>
        <v>750</v>
      </c>
      <c r="H62" s="122">
        <f t="shared" ref="H62:H74" si="13">G62*F62</f>
        <v>2.5499999999999998</v>
      </c>
      <c r="I62" s="128">
        <v>0</v>
      </c>
      <c r="J62" s="124">
        <f>IF($E54&gt;0, $E54, $E53)</f>
        <v>750</v>
      </c>
      <c r="K62" s="122">
        <f>H62</f>
        <v>2.5499999999999998</v>
      </c>
      <c r="L62" s="125">
        <f t="shared" si="12"/>
        <v>0</v>
      </c>
      <c r="M62" s="126">
        <f t="shared" ref="M62:M72" si="14">IF(ISERROR(L62/H62), "", L62/H62)</f>
        <v>0</v>
      </c>
    </row>
    <row r="63" spans="1:15" x14ac:dyDescent="0.25">
      <c r="A63" s="100" t="str">
        <f t="shared" ref="A63:A104" si="15">A62</f>
        <v>RESIDENTIAL SERVICE CLASSIFICATION</v>
      </c>
      <c r="C63" s="117"/>
      <c r="D63" s="118" t="s">
        <v>153</v>
      </c>
      <c r="E63" s="119"/>
      <c r="F63" s="127"/>
      <c r="G63" s="121">
        <f>IF($E54&gt;0, $E54, $E53)</f>
        <v>750</v>
      </c>
      <c r="H63" s="122">
        <v>0</v>
      </c>
      <c r="I63" s="128"/>
      <c r="J63" s="124">
        <f>IF($E54&gt;0, $E54, $E53)</f>
        <v>750</v>
      </c>
      <c r="K63" s="122">
        <v>0</v>
      </c>
      <c r="L63" s="125"/>
      <c r="M63" s="126"/>
    </row>
    <row r="64" spans="1:15" x14ac:dyDescent="0.25">
      <c r="A64" s="100" t="str">
        <f t="shared" si="15"/>
        <v>RESIDENTIAL SERVICE CLASSIFICATION</v>
      </c>
      <c r="C64" s="117"/>
      <c r="D64" s="118" t="s">
        <v>154</v>
      </c>
      <c r="E64" s="119"/>
      <c r="F64" s="127"/>
      <c r="G64" s="121">
        <f>IF($E54&gt;0, $E54, $E53)</f>
        <v>750</v>
      </c>
      <c r="H64" s="122">
        <v>0</v>
      </c>
      <c r="I64" s="128"/>
      <c r="J64" s="121">
        <f>IF($E54&gt;0, $E54, $E53)</f>
        <v>750</v>
      </c>
      <c r="K64" s="122">
        <v>0</v>
      </c>
      <c r="L64" s="125">
        <f>K64-H64</f>
        <v>0</v>
      </c>
      <c r="M64" s="126" t="str">
        <f>IF(ISERROR(L64/H64), "", L64/H64)</f>
        <v/>
      </c>
    </row>
    <row r="65" spans="1:13" x14ac:dyDescent="0.25">
      <c r="A65" s="100" t="str">
        <f t="shared" si="15"/>
        <v>RESIDENTIAL SERVICE CLASSIFICATION</v>
      </c>
      <c r="C65" s="117"/>
      <c r="D65" s="129" t="s">
        <v>155</v>
      </c>
      <c r="E65" s="119"/>
      <c r="F65" s="120">
        <v>0</v>
      </c>
      <c r="G65" s="121">
        <v>1</v>
      </c>
      <c r="H65" s="122">
        <f t="shared" si="13"/>
        <v>0</v>
      </c>
      <c r="I65" s="123">
        <v>0</v>
      </c>
      <c r="J65" s="124">
        <f>G65</f>
        <v>1</v>
      </c>
      <c r="K65" s="122">
        <f t="shared" ref="K65:K72" si="16">J65*I65</f>
        <v>0</v>
      </c>
      <c r="L65" s="125">
        <f t="shared" si="12"/>
        <v>0</v>
      </c>
      <c r="M65" s="126" t="str">
        <f t="shared" si="14"/>
        <v/>
      </c>
    </row>
    <row r="66" spans="1:13" x14ac:dyDescent="0.25">
      <c r="A66" s="100" t="str">
        <f t="shared" si="15"/>
        <v>RESIDENTIAL SERVICE CLASSIFICATION</v>
      </c>
      <c r="C66" s="117"/>
      <c r="D66" s="118" t="s">
        <v>156</v>
      </c>
      <c r="E66" s="119"/>
      <c r="F66" s="127">
        <v>0</v>
      </c>
      <c r="G66" s="121">
        <f>IF($E54&gt;0, $E54, $E53)</f>
        <v>750</v>
      </c>
      <c r="H66" s="122">
        <f t="shared" si="13"/>
        <v>0</v>
      </c>
      <c r="I66" s="128">
        <v>0</v>
      </c>
      <c r="J66" s="124">
        <f>IF($E54&gt;0, $E54, $E53)</f>
        <v>750</v>
      </c>
      <c r="K66" s="122">
        <f t="shared" si="16"/>
        <v>0</v>
      </c>
      <c r="L66" s="125">
        <f t="shared" si="12"/>
        <v>0</v>
      </c>
      <c r="M66" s="126" t="str">
        <f t="shared" si="14"/>
        <v/>
      </c>
    </row>
    <row r="67" spans="1:13" x14ac:dyDescent="0.25">
      <c r="A67" s="100" t="str">
        <f t="shared" si="15"/>
        <v>RESIDENTIAL SERVICE CLASSIFICATION</v>
      </c>
      <c r="B67" s="130" t="s">
        <v>157</v>
      </c>
      <c r="C67" s="117">
        <f>B3</f>
        <v>1</v>
      </c>
      <c r="D67" s="131" t="s">
        <v>158</v>
      </c>
      <c r="E67" s="132"/>
      <c r="F67" s="133"/>
      <c r="G67" s="134"/>
      <c r="H67" s="135">
        <f>SUM(H61:H66)</f>
        <v>26.03</v>
      </c>
      <c r="I67" s="136"/>
      <c r="J67" s="137"/>
      <c r="K67" s="135">
        <f>SUM(K61:K66)</f>
        <v>26.03</v>
      </c>
      <c r="L67" s="138">
        <f t="shared" si="12"/>
        <v>0</v>
      </c>
      <c r="M67" s="139">
        <f>IF((H67)=0,"",(L67/H67))</f>
        <v>0</v>
      </c>
    </row>
    <row r="68" spans="1:13" x14ac:dyDescent="0.25">
      <c r="A68" s="100" t="str">
        <f t="shared" si="15"/>
        <v>RESIDENTIAL SERVICE CLASSIFICATION</v>
      </c>
      <c r="C68" s="117"/>
      <c r="D68" s="140" t="s">
        <v>159</v>
      </c>
      <c r="E68" s="119"/>
      <c r="F68" s="127">
        <f>IF((E53*12&gt;=150000), 0, IF(E52="RPP",(F84*0.65+F85*0.17+F86*0.18),IF(E52="Non-RPP (Retailer)",F87,F88)))</f>
        <v>8.1990000000000007E-2</v>
      </c>
      <c r="G68" s="141">
        <f>IF(F68=0, 0, $E53*E55-E53)</f>
        <v>42</v>
      </c>
      <c r="H68" s="122">
        <f>G68*F68</f>
        <v>3.4435800000000003</v>
      </c>
      <c r="I68" s="128">
        <f>IF((E53*12&gt;=150000), 0, IF(E52="RPP",(I84*0.65+I85*0.17+I86*0.18),IF(E52="Non-RPP (Retailer)",I87,I88)))</f>
        <v>8.1990000000000007E-2</v>
      </c>
      <c r="J68" s="141">
        <f>IF(I68=0, 0, E53*E56-E53)</f>
        <v>42</v>
      </c>
      <c r="K68" s="122">
        <f>J68*I68</f>
        <v>3.4435800000000003</v>
      </c>
      <c r="L68" s="125">
        <f>K68-H68</f>
        <v>0</v>
      </c>
      <c r="M68" s="126">
        <f>IF(ISERROR(L68/H68), "", L68/H68)</f>
        <v>0</v>
      </c>
    </row>
    <row r="69" spans="1:13" ht="25.5" x14ac:dyDescent="0.25">
      <c r="A69" s="100" t="str">
        <f t="shared" si="15"/>
        <v>RESIDENTIAL SERVICE CLASSIFICATION</v>
      </c>
      <c r="C69" s="117"/>
      <c r="D69" s="140" t="s">
        <v>160</v>
      </c>
      <c r="E69" s="119"/>
      <c r="F69" s="127">
        <v>-1.4E-3</v>
      </c>
      <c r="G69" s="142">
        <f>IF($E54&gt;0, $E54, $E53)</f>
        <v>750</v>
      </c>
      <c r="H69" s="122">
        <f t="shared" si="13"/>
        <v>-1.05</v>
      </c>
      <c r="I69" s="128">
        <v>-5.3E-3</v>
      </c>
      <c r="J69" s="142">
        <f>IF($E54&gt;0, $E54, $E53)</f>
        <v>750</v>
      </c>
      <c r="K69" s="122">
        <f>H69</f>
        <v>-1.05</v>
      </c>
      <c r="L69" s="125">
        <f t="shared" si="12"/>
        <v>0</v>
      </c>
      <c r="M69" s="126">
        <f t="shared" si="14"/>
        <v>0</v>
      </c>
    </row>
    <row r="70" spans="1:13" x14ac:dyDescent="0.25">
      <c r="A70" s="100" t="str">
        <f t="shared" si="15"/>
        <v>RESIDENTIAL SERVICE CLASSIFICATION</v>
      </c>
      <c r="C70" s="117"/>
      <c r="D70" s="140" t="s">
        <v>161</v>
      </c>
      <c r="E70" s="119"/>
      <c r="F70" s="127">
        <v>-1E-4</v>
      </c>
      <c r="G70" s="142">
        <f>IF($E54&gt;0, $E54, $E53)</f>
        <v>750</v>
      </c>
      <c r="H70" s="122">
        <f>G70*F70</f>
        <v>-7.4999999999999997E-2</v>
      </c>
      <c r="I70" s="128">
        <v>0</v>
      </c>
      <c r="J70" s="142">
        <f>IF($E54&gt;0, $E54, $E53)</f>
        <v>750</v>
      </c>
      <c r="K70" s="122">
        <f>H70</f>
        <v>-7.4999999999999997E-2</v>
      </c>
      <c r="L70" s="125">
        <f t="shared" si="12"/>
        <v>0</v>
      </c>
      <c r="M70" s="126">
        <f t="shared" si="14"/>
        <v>0</v>
      </c>
    </row>
    <row r="71" spans="1:13" x14ac:dyDescent="0.25">
      <c r="A71" s="100" t="str">
        <f t="shared" si="15"/>
        <v>RESIDENTIAL SERVICE CLASSIFICATION</v>
      </c>
      <c r="C71" s="117"/>
      <c r="D71" s="140" t="s">
        <v>162</v>
      </c>
      <c r="E71" s="119"/>
      <c r="F71" s="127">
        <v>0</v>
      </c>
      <c r="G71" s="142">
        <f>E53</f>
        <v>750</v>
      </c>
      <c r="H71" s="122">
        <f>G71*F71</f>
        <v>0</v>
      </c>
      <c r="I71" s="128">
        <v>0</v>
      </c>
      <c r="J71" s="142">
        <f>E53</f>
        <v>750</v>
      </c>
      <c r="K71" s="122">
        <f t="shared" si="16"/>
        <v>0</v>
      </c>
      <c r="L71" s="125">
        <f t="shared" si="12"/>
        <v>0</v>
      </c>
      <c r="M71" s="126" t="str">
        <f t="shared" si="14"/>
        <v/>
      </c>
    </row>
    <row r="72" spans="1:13" x14ac:dyDescent="0.25">
      <c r="A72" s="100" t="str">
        <f t="shared" si="15"/>
        <v>RESIDENTIAL SERVICE CLASSIFICATION</v>
      </c>
      <c r="C72" s="117"/>
      <c r="D72" s="143" t="s">
        <v>163</v>
      </c>
      <c r="E72" s="119"/>
      <c r="F72" s="127">
        <v>2.5999999999999999E-3</v>
      </c>
      <c r="G72" s="142">
        <f>IF($E54&gt;0, $E54, $E53)</f>
        <v>750</v>
      </c>
      <c r="H72" s="122">
        <f t="shared" si="13"/>
        <v>1.95</v>
      </c>
      <c r="I72" s="128">
        <v>2.5999999999999999E-3</v>
      </c>
      <c r="J72" s="142">
        <f>IF($E54&gt;0, $E54, $E53)</f>
        <v>750</v>
      </c>
      <c r="K72" s="122">
        <f t="shared" si="16"/>
        <v>1.95</v>
      </c>
      <c r="L72" s="125">
        <f t="shared" si="12"/>
        <v>0</v>
      </c>
      <c r="M72" s="126">
        <f t="shared" si="14"/>
        <v>0</v>
      </c>
    </row>
    <row r="73" spans="1:13" ht="25.5" x14ac:dyDescent="0.25">
      <c r="A73" s="100" t="str">
        <f t="shared" si="15"/>
        <v>RESIDENTIAL SERVICE CLASSIFICATION</v>
      </c>
      <c r="C73" s="117"/>
      <c r="D73" s="144" t="s">
        <v>164</v>
      </c>
      <c r="E73" s="119"/>
      <c r="F73" s="145">
        <f>IF(OR(ISNUMBER(SEARCH("RESIDENTIAL", E51))=TRUE, ISNUMBER(SEARCH("GENERAL SERVICE LESS THAN 50", E51))=TRUE), SME, 0)</f>
        <v>0.56999999999999995</v>
      </c>
      <c r="G73" s="121">
        <v>1</v>
      </c>
      <c r="H73" s="122">
        <f>G73*F73</f>
        <v>0.56999999999999995</v>
      </c>
      <c r="I73" s="146">
        <f>IF(OR(ISNUMBER(SEARCH("RESIDENTIAL", E51))=TRUE, ISNUMBER(SEARCH("GENERAL SERVICE LESS THAN 50", E51))=TRUE), SME, 0)</f>
        <v>0.56999999999999995</v>
      </c>
      <c r="J73" s="121">
        <v>1</v>
      </c>
      <c r="K73" s="122">
        <f>J73*I73</f>
        <v>0.56999999999999995</v>
      </c>
      <c r="L73" s="125">
        <f t="shared" si="12"/>
        <v>0</v>
      </c>
      <c r="M73" s="126">
        <f>IF(ISERROR(L73/H73), "", L73/H73)</f>
        <v>0</v>
      </c>
    </row>
    <row r="74" spans="1:13" x14ac:dyDescent="0.25">
      <c r="A74" s="100" t="str">
        <f t="shared" si="15"/>
        <v>RESIDENTIAL SERVICE CLASSIFICATION</v>
      </c>
      <c r="C74" s="117"/>
      <c r="D74" s="143" t="s">
        <v>165</v>
      </c>
      <c r="E74" s="119"/>
      <c r="F74" s="120">
        <v>0</v>
      </c>
      <c r="G74" s="121">
        <v>1</v>
      </c>
      <c r="H74" s="122">
        <f t="shared" si="13"/>
        <v>0</v>
      </c>
      <c r="I74" s="123">
        <v>0</v>
      </c>
      <c r="J74" s="121">
        <v>1</v>
      </c>
      <c r="K74" s="122">
        <f>J74*I74</f>
        <v>0</v>
      </c>
      <c r="L74" s="125">
        <f>K74-H74</f>
        <v>0</v>
      </c>
      <c r="M74" s="126" t="str">
        <f>IF(ISERROR(L74/H74), "", L74/H74)</f>
        <v/>
      </c>
    </row>
    <row r="75" spans="1:13" x14ac:dyDescent="0.25">
      <c r="A75" s="100" t="str">
        <f t="shared" si="15"/>
        <v>RESIDENTIAL SERVICE CLASSIFICATION</v>
      </c>
      <c r="C75" s="117"/>
      <c r="D75" s="143" t="s">
        <v>166</v>
      </c>
      <c r="E75" s="119"/>
      <c r="F75" s="127"/>
      <c r="G75" s="142">
        <f>IF($E54&gt;0, $E54, $E53)</f>
        <v>750</v>
      </c>
      <c r="H75" s="122">
        <f>G75*F75</f>
        <v>0</v>
      </c>
      <c r="I75" s="128">
        <v>0</v>
      </c>
      <c r="J75" s="142">
        <f>IF($E54&gt;0, $E54, $E53)</f>
        <v>750</v>
      </c>
      <c r="K75" s="122">
        <f>J75*I75</f>
        <v>0</v>
      </c>
      <c r="L75" s="125">
        <f t="shared" si="12"/>
        <v>0</v>
      </c>
      <c r="M75" s="126" t="str">
        <f>IF(ISERROR(L75/H75), "", L75/H75)</f>
        <v/>
      </c>
    </row>
    <row r="76" spans="1:13" ht="25.5" x14ac:dyDescent="0.25">
      <c r="A76" s="100" t="str">
        <f t="shared" si="15"/>
        <v>RESIDENTIAL SERVICE CLASSIFICATION</v>
      </c>
      <c r="B76" s="105" t="s">
        <v>167</v>
      </c>
      <c r="C76" s="117">
        <f>B3</f>
        <v>1</v>
      </c>
      <c r="D76" s="147" t="s">
        <v>168</v>
      </c>
      <c r="E76" s="148"/>
      <c r="F76" s="149"/>
      <c r="G76" s="150"/>
      <c r="H76" s="151">
        <f>SUM(H67:H75)</f>
        <v>30.868580000000001</v>
      </c>
      <c r="I76" s="152"/>
      <c r="J76" s="153"/>
      <c r="K76" s="151">
        <f>SUM(K67:K75)</f>
        <v>30.868580000000001</v>
      </c>
      <c r="L76" s="138">
        <f t="shared" si="12"/>
        <v>0</v>
      </c>
      <c r="M76" s="139">
        <f>IF((H76)=0,"",(L76/H76))</f>
        <v>0</v>
      </c>
    </row>
    <row r="77" spans="1:13" x14ac:dyDescent="0.25">
      <c r="A77" s="100" t="str">
        <f t="shared" si="15"/>
        <v>RESIDENTIAL SERVICE CLASSIFICATION</v>
      </c>
      <c r="C77" s="117"/>
      <c r="D77" s="154" t="s">
        <v>169</v>
      </c>
      <c r="E77" s="119"/>
      <c r="F77" s="127">
        <v>6.7999999999999996E-3</v>
      </c>
      <c r="G77" s="141">
        <f>IF($E54&gt;0, $E54, $E53*$E55)</f>
        <v>792</v>
      </c>
      <c r="H77" s="122">
        <f>G77*F77</f>
        <v>5.3855999999999993</v>
      </c>
      <c r="I77" s="128">
        <v>6.4999999999999997E-3</v>
      </c>
      <c r="J77" s="141">
        <f>IF($E54&gt;0, $E54, $E53*$E56)</f>
        <v>792</v>
      </c>
      <c r="K77" s="122">
        <f>H77</f>
        <v>5.3855999999999993</v>
      </c>
      <c r="L77" s="125">
        <f t="shared" si="12"/>
        <v>0</v>
      </c>
      <c r="M77" s="126">
        <f>IF(ISERROR(L77/H77), "", L77/H77)</f>
        <v>0</v>
      </c>
    </row>
    <row r="78" spans="1:13" ht="25.5" x14ac:dyDescent="0.25">
      <c r="A78" s="100" t="str">
        <f t="shared" si="15"/>
        <v>RESIDENTIAL SERVICE CLASSIFICATION</v>
      </c>
      <c r="C78" s="117"/>
      <c r="D78" s="155" t="s">
        <v>170</v>
      </c>
      <c r="E78" s="119"/>
      <c r="F78" s="127">
        <v>5.5999999999999999E-3</v>
      </c>
      <c r="G78" s="141">
        <f>IF($E54&gt;0, $E54, $E53*$E55)</f>
        <v>792</v>
      </c>
      <c r="H78" s="122">
        <f>G78*F78</f>
        <v>4.4352</v>
      </c>
      <c r="I78" s="128">
        <v>5.3E-3</v>
      </c>
      <c r="J78" s="141">
        <f>IF($E54&gt;0, $E54, $E53*$E56)</f>
        <v>792</v>
      </c>
      <c r="K78" s="122">
        <f>H78</f>
        <v>4.4352</v>
      </c>
      <c r="L78" s="125">
        <f t="shared" si="12"/>
        <v>0</v>
      </c>
      <c r="M78" s="126">
        <f>IF(ISERROR(L78/H78), "", L78/H78)</f>
        <v>0</v>
      </c>
    </row>
    <row r="79" spans="1:13" ht="25.5" x14ac:dyDescent="0.25">
      <c r="A79" s="100" t="str">
        <f t="shared" si="15"/>
        <v>RESIDENTIAL SERVICE CLASSIFICATION</v>
      </c>
      <c r="B79" s="105" t="s">
        <v>171</v>
      </c>
      <c r="C79" s="117">
        <f>B3</f>
        <v>1</v>
      </c>
      <c r="D79" s="147" t="s">
        <v>172</v>
      </c>
      <c r="E79" s="132"/>
      <c r="F79" s="149"/>
      <c r="G79" s="150"/>
      <c r="H79" s="151">
        <f>SUM(H76:H78)</f>
        <v>40.68938</v>
      </c>
      <c r="I79" s="152"/>
      <c r="J79" s="137"/>
      <c r="K79" s="151">
        <f>SUM(K76:K78)</f>
        <v>40.68938</v>
      </c>
      <c r="L79" s="138">
        <f t="shared" si="12"/>
        <v>0</v>
      </c>
      <c r="M79" s="139">
        <f>IF((H79)=0,"",(L79/H79))</f>
        <v>0</v>
      </c>
    </row>
    <row r="80" spans="1:13" ht="25.5" x14ac:dyDescent="0.25">
      <c r="A80" s="100" t="str">
        <f t="shared" si="15"/>
        <v>RESIDENTIAL SERVICE CLASSIFICATION</v>
      </c>
      <c r="C80" s="117"/>
      <c r="D80" s="156" t="s">
        <v>173</v>
      </c>
      <c r="E80" s="119"/>
      <c r="F80" s="127">
        <v>3.6000000000000003E-3</v>
      </c>
      <c r="G80" s="141">
        <f>E53*E55</f>
        <v>792</v>
      </c>
      <c r="H80" s="157">
        <f t="shared" ref="H80:H86" si="17">G80*F80</f>
        <v>2.8512000000000004</v>
      </c>
      <c r="I80" s="128">
        <v>3.6000000000000003E-3</v>
      </c>
      <c r="J80" s="141">
        <f>E53*E56</f>
        <v>792</v>
      </c>
      <c r="K80" s="157">
        <f t="shared" ref="K80:K86" si="18">J80*I80</f>
        <v>2.8512000000000004</v>
      </c>
      <c r="L80" s="125">
        <f t="shared" si="12"/>
        <v>0</v>
      </c>
      <c r="M80" s="126">
        <f t="shared" ref="M80:M88" si="19">IF(ISERROR(L80/H80), "", L80/H80)</f>
        <v>0</v>
      </c>
    </row>
    <row r="81" spans="1:13" ht="25.5" x14ac:dyDescent="0.25">
      <c r="A81" s="100" t="str">
        <f t="shared" si="15"/>
        <v>RESIDENTIAL SERVICE CLASSIFICATION</v>
      </c>
      <c r="C81" s="117"/>
      <c r="D81" s="156" t="s">
        <v>174</v>
      </c>
      <c r="E81" s="119"/>
      <c r="F81" s="127">
        <f>'[1]17. Regulatory Charges'!$D$16</f>
        <v>2.9999999999999997E-4</v>
      </c>
      <c r="G81" s="141">
        <f>E53*E55</f>
        <v>792</v>
      </c>
      <c r="H81" s="157">
        <f t="shared" si="17"/>
        <v>0.23759999999999998</v>
      </c>
      <c r="I81" s="128">
        <v>2.9999999999999997E-4</v>
      </c>
      <c r="J81" s="141">
        <f>E53*E56</f>
        <v>792</v>
      </c>
      <c r="K81" s="157">
        <f t="shared" si="18"/>
        <v>0.23759999999999998</v>
      </c>
      <c r="L81" s="125">
        <f t="shared" si="12"/>
        <v>0</v>
      </c>
      <c r="M81" s="126">
        <f t="shared" si="19"/>
        <v>0</v>
      </c>
    </row>
    <row r="82" spans="1:13" x14ac:dyDescent="0.25">
      <c r="A82" s="100" t="str">
        <f t="shared" si="15"/>
        <v>RESIDENTIAL SERVICE CLASSIFICATION</v>
      </c>
      <c r="C82" s="117"/>
      <c r="D82" s="158" t="s">
        <v>175</v>
      </c>
      <c r="E82" s="119"/>
      <c r="F82" s="145">
        <v>0.25</v>
      </c>
      <c r="G82" s="121">
        <v>1</v>
      </c>
      <c r="H82" s="157">
        <f t="shared" si="17"/>
        <v>0.25</v>
      </c>
      <c r="I82" s="146">
        <f>'[1]17. Regulatory Charges'!$D$17</f>
        <v>0.25</v>
      </c>
      <c r="J82" s="124">
        <v>1</v>
      </c>
      <c r="K82" s="157">
        <f t="shared" si="18"/>
        <v>0.25</v>
      </c>
      <c r="L82" s="125">
        <f t="shared" si="12"/>
        <v>0</v>
      </c>
      <c r="M82" s="126">
        <f t="shared" si="19"/>
        <v>0</v>
      </c>
    </row>
    <row r="83" spans="1:13" ht="25.5" x14ac:dyDescent="0.25">
      <c r="A83" s="100" t="str">
        <f t="shared" si="15"/>
        <v>RESIDENTIAL SERVICE CLASSIFICATION</v>
      </c>
      <c r="C83" s="117"/>
      <c r="D83" s="156" t="s">
        <v>176</v>
      </c>
      <c r="E83" s="119"/>
      <c r="F83" s="127"/>
      <c r="G83" s="141"/>
      <c r="H83" s="157"/>
      <c r="I83" s="128"/>
      <c r="J83" s="141"/>
      <c r="K83" s="157"/>
      <c r="L83" s="125"/>
      <c r="M83" s="126"/>
    </row>
    <row r="84" spans="1:13" x14ac:dyDescent="0.25">
      <c r="A84" s="100" t="str">
        <f t="shared" si="15"/>
        <v>RESIDENTIAL SERVICE CLASSIFICATION</v>
      </c>
      <c r="B84" s="105" t="s">
        <v>117</v>
      </c>
      <c r="C84" s="117"/>
      <c r="D84" s="159" t="s">
        <v>177</v>
      </c>
      <c r="E84" s="119"/>
      <c r="F84" s="160">
        <f>OffPeak</f>
        <v>6.5000000000000002E-2</v>
      </c>
      <c r="G84" s="161">
        <f>IF(AND(E53*12&gt;=150000),0.65*E53*E55,0.65*E53)</f>
        <v>487.5</v>
      </c>
      <c r="H84" s="157">
        <f t="shared" si="17"/>
        <v>31.6875</v>
      </c>
      <c r="I84" s="162">
        <f>OffPeak</f>
        <v>6.5000000000000002E-2</v>
      </c>
      <c r="J84" s="161">
        <f>IF(AND(E53*12&gt;=150000),0.65*E53*E56,0.65*E53)</f>
        <v>487.5</v>
      </c>
      <c r="K84" s="157">
        <f t="shared" si="18"/>
        <v>31.6875</v>
      </c>
      <c r="L84" s="125">
        <f>K84-H84</f>
        <v>0</v>
      </c>
      <c r="M84" s="126">
        <f t="shared" si="19"/>
        <v>0</v>
      </c>
    </row>
    <row r="85" spans="1:13" x14ac:dyDescent="0.25">
      <c r="A85" s="100" t="str">
        <f t="shared" si="15"/>
        <v>RESIDENTIAL SERVICE CLASSIFICATION</v>
      </c>
      <c r="B85" s="105" t="s">
        <v>117</v>
      </c>
      <c r="C85" s="117"/>
      <c r="D85" s="159" t="s">
        <v>178</v>
      </c>
      <c r="E85" s="119"/>
      <c r="F85" s="160">
        <f>MidPeak</f>
        <v>9.4E-2</v>
      </c>
      <c r="G85" s="161">
        <f>IF(AND(E53*12&gt;=150000),0.17*E53*E55,0.17*E53)</f>
        <v>127.50000000000001</v>
      </c>
      <c r="H85" s="157">
        <f t="shared" si="17"/>
        <v>11.985000000000001</v>
      </c>
      <c r="I85" s="162">
        <f>MidPeak</f>
        <v>9.4E-2</v>
      </c>
      <c r="J85" s="161">
        <f>IF(AND(E53*12&gt;=150000),0.17*E53*E56,0.17*E53)</f>
        <v>127.50000000000001</v>
      </c>
      <c r="K85" s="157">
        <f t="shared" si="18"/>
        <v>11.985000000000001</v>
      </c>
      <c r="L85" s="125">
        <f>K85-H85</f>
        <v>0</v>
      </c>
      <c r="M85" s="126">
        <f t="shared" si="19"/>
        <v>0</v>
      </c>
    </row>
    <row r="86" spans="1:13" ht="15.75" thickBot="1" x14ac:dyDescent="0.3">
      <c r="A86" s="100" t="str">
        <f t="shared" si="15"/>
        <v>RESIDENTIAL SERVICE CLASSIFICATION</v>
      </c>
      <c r="B86" s="105" t="s">
        <v>117</v>
      </c>
      <c r="C86" s="117"/>
      <c r="D86" s="105" t="s">
        <v>179</v>
      </c>
      <c r="E86" s="119"/>
      <c r="F86" s="160">
        <f>OnPeak</f>
        <v>0.13200000000000001</v>
      </c>
      <c r="G86" s="161">
        <f>IF(AND(E53*12&gt;=150000),0.18*E53*E55,0.18*E53)</f>
        <v>135</v>
      </c>
      <c r="H86" s="157">
        <f t="shared" si="17"/>
        <v>17.82</v>
      </c>
      <c r="I86" s="162">
        <f>OnPeak</f>
        <v>0.13200000000000001</v>
      </c>
      <c r="J86" s="161">
        <f>IF(AND(E53*12&gt;=150000),0.18*E53*E56,0.18*E53)</f>
        <v>135</v>
      </c>
      <c r="K86" s="157">
        <f t="shared" si="18"/>
        <v>17.82</v>
      </c>
      <c r="L86" s="125">
        <f>K86-H86</f>
        <v>0</v>
      </c>
      <c r="M86" s="126">
        <f t="shared" si="19"/>
        <v>0</v>
      </c>
    </row>
    <row r="87" spans="1:13" ht="15.75" hidden="1" thickBot="1" x14ac:dyDescent="0.3">
      <c r="A87" s="100" t="str">
        <f t="shared" si="15"/>
        <v>RESIDENTIAL SERVICE CLASSIFICATION</v>
      </c>
      <c r="B87" s="100" t="s">
        <v>180</v>
      </c>
      <c r="C87" s="117"/>
      <c r="D87" s="159" t="s">
        <v>181</v>
      </c>
      <c r="E87" s="119"/>
      <c r="F87" s="163">
        <v>0.1101</v>
      </c>
      <c r="G87" s="161">
        <f>IF(AND(E53*12&gt;=150000),E53*E55,E53)</f>
        <v>750</v>
      </c>
      <c r="H87" s="157">
        <f>G87*F87</f>
        <v>82.575000000000003</v>
      </c>
      <c r="I87" s="164">
        <f>F87</f>
        <v>0.1101</v>
      </c>
      <c r="J87" s="161">
        <f>IF(AND(E53*12&gt;=150000),E53*E56,E53)</f>
        <v>750</v>
      </c>
      <c r="K87" s="157">
        <f>J87*I87</f>
        <v>82.575000000000003</v>
      </c>
      <c r="L87" s="125">
        <f>K87-H87</f>
        <v>0</v>
      </c>
      <c r="M87" s="126">
        <f t="shared" si="19"/>
        <v>0</v>
      </c>
    </row>
    <row r="88" spans="1:13" ht="15.75" hidden="1" thickBot="1" x14ac:dyDescent="0.3">
      <c r="A88" s="100" t="str">
        <f t="shared" si="15"/>
        <v>RESIDENTIAL SERVICE CLASSIFICATION</v>
      </c>
      <c r="B88" s="100" t="s">
        <v>121</v>
      </c>
      <c r="C88" s="117"/>
      <c r="D88" s="159" t="s">
        <v>182</v>
      </c>
      <c r="E88" s="119"/>
      <c r="F88" s="163">
        <v>0.1101</v>
      </c>
      <c r="G88" s="161">
        <f>IF(AND(E53*12&gt;=150000),E53*E55,E53)</f>
        <v>750</v>
      </c>
      <c r="H88" s="157">
        <f>G88*F88</f>
        <v>82.575000000000003</v>
      </c>
      <c r="I88" s="164">
        <f>F88</f>
        <v>0.1101</v>
      </c>
      <c r="J88" s="161">
        <f>IF(AND(E53*12&gt;=150000),E53*E56,E53)</f>
        <v>750</v>
      </c>
      <c r="K88" s="157">
        <f>J88*I88</f>
        <v>82.575000000000003</v>
      </c>
      <c r="L88" s="125">
        <f>K88-H88</f>
        <v>0</v>
      </c>
      <c r="M88" s="126">
        <f t="shared" si="19"/>
        <v>0</v>
      </c>
    </row>
    <row r="89" spans="1:13" ht="15.75" thickBot="1" x14ac:dyDescent="0.3">
      <c r="A89" s="100" t="str">
        <f t="shared" si="15"/>
        <v>RESIDENTIAL SERVICE CLASSIFICATION</v>
      </c>
      <c r="B89" s="105"/>
      <c r="C89" s="117"/>
      <c r="D89" s="165"/>
      <c r="E89" s="166"/>
      <c r="F89" s="167"/>
      <c r="G89" s="168"/>
      <c r="H89" s="169"/>
      <c r="I89" s="167"/>
      <c r="J89" s="170"/>
      <c r="K89" s="169"/>
      <c r="L89" s="171"/>
      <c r="M89" s="172"/>
    </row>
    <row r="90" spans="1:13" x14ac:dyDescent="0.25">
      <c r="A90" s="100" t="str">
        <f t="shared" si="15"/>
        <v>RESIDENTIAL SERVICE CLASSIFICATION</v>
      </c>
      <c r="B90" s="105" t="s">
        <v>117</v>
      </c>
      <c r="C90" s="117"/>
      <c r="D90" s="173" t="s">
        <v>183</v>
      </c>
      <c r="E90" s="158"/>
      <c r="F90" s="174"/>
      <c r="G90" s="175"/>
      <c r="H90" s="176">
        <f>SUM(H80:H86,H79)</f>
        <v>105.52068</v>
      </c>
      <c r="I90" s="177"/>
      <c r="J90" s="177"/>
      <c r="K90" s="176">
        <f>SUM(K80:K86,K79)</f>
        <v>105.52068</v>
      </c>
      <c r="L90" s="178">
        <f>K90-H90</f>
        <v>0</v>
      </c>
      <c r="M90" s="179">
        <f>IF((H90)=0,"",(L90/H90))</f>
        <v>0</v>
      </c>
    </row>
    <row r="91" spans="1:13" x14ac:dyDescent="0.25">
      <c r="A91" s="100" t="str">
        <f t="shared" si="15"/>
        <v>RESIDENTIAL SERVICE CLASSIFICATION</v>
      </c>
      <c r="B91" s="105" t="s">
        <v>117</v>
      </c>
      <c r="C91" s="117"/>
      <c r="D91" s="180" t="s">
        <v>184</v>
      </c>
      <c r="E91" s="158"/>
      <c r="F91" s="174">
        <v>0.13</v>
      </c>
      <c r="G91" s="181"/>
      <c r="H91" s="182">
        <f>H90*F91</f>
        <v>13.7176884</v>
      </c>
      <c r="I91" s="183">
        <v>0.13</v>
      </c>
      <c r="J91" s="121"/>
      <c r="K91" s="182">
        <f>K90*I91</f>
        <v>13.7176884</v>
      </c>
      <c r="L91" s="184">
        <f>K91-H91</f>
        <v>0</v>
      </c>
      <c r="M91" s="185">
        <f>IF((H91)=0,"",(L91/H91))</f>
        <v>0</v>
      </c>
    </row>
    <row r="92" spans="1:13" x14ac:dyDescent="0.25">
      <c r="A92" s="100" t="str">
        <f t="shared" si="15"/>
        <v>RESIDENTIAL SERVICE CLASSIFICATION</v>
      </c>
      <c r="B92" s="105" t="s">
        <v>117</v>
      </c>
      <c r="C92" s="117"/>
      <c r="D92" s="180" t="s">
        <v>185</v>
      </c>
      <c r="E92" s="158"/>
      <c r="F92" s="174">
        <v>0.08</v>
      </c>
      <c r="G92" s="181"/>
      <c r="H92" s="182">
        <f>H90*-F92</f>
        <v>-8.4416544000000009</v>
      </c>
      <c r="I92" s="174">
        <v>0.08</v>
      </c>
      <c r="J92" s="121"/>
      <c r="K92" s="182">
        <f>K90*-I92</f>
        <v>-8.4416544000000009</v>
      </c>
      <c r="L92" s="184">
        <f>K92-H92</f>
        <v>0</v>
      </c>
      <c r="M92" s="185"/>
    </row>
    <row r="93" spans="1:13" ht="15.75" thickBot="1" x14ac:dyDescent="0.3">
      <c r="A93" s="100" t="str">
        <f t="shared" si="15"/>
        <v>RESIDENTIAL SERVICE CLASSIFICATION</v>
      </c>
      <c r="B93" s="105" t="s">
        <v>186</v>
      </c>
      <c r="C93" s="117">
        <f>B3</f>
        <v>1</v>
      </c>
      <c r="D93" s="301" t="s">
        <v>187</v>
      </c>
      <c r="E93" s="301"/>
      <c r="F93" s="186"/>
      <c r="G93" s="187"/>
      <c r="H93" s="188">
        <f>H90+H91+H92</f>
        <v>110.79671399999999</v>
      </c>
      <c r="I93" s="189"/>
      <c r="J93" s="189"/>
      <c r="K93" s="190">
        <f>K90+K91+K92</f>
        <v>110.79671399999999</v>
      </c>
      <c r="L93" s="191">
        <f>K93-H93</f>
        <v>0</v>
      </c>
      <c r="M93" s="192">
        <f>IF((H93)=0,"",(L93/H93))</f>
        <v>0</v>
      </c>
    </row>
    <row r="94" spans="1:13" ht="15.75" thickBot="1" x14ac:dyDescent="0.3">
      <c r="A94" s="100" t="str">
        <f t="shared" si="15"/>
        <v>RESIDENTIAL SERVICE CLASSIFICATION</v>
      </c>
      <c r="B94" s="100" t="s">
        <v>117</v>
      </c>
      <c r="C94" s="117"/>
      <c r="D94" s="165"/>
      <c r="E94" s="166"/>
      <c r="F94" s="167"/>
      <c r="G94" s="168"/>
      <c r="H94" s="169"/>
      <c r="I94" s="167"/>
      <c r="J94" s="170"/>
      <c r="K94" s="169"/>
      <c r="L94" s="171"/>
      <c r="M94" s="172"/>
    </row>
    <row r="95" spans="1:13" hidden="1" x14ac:dyDescent="0.25">
      <c r="A95" s="100" t="str">
        <f t="shared" si="15"/>
        <v>RESIDENTIAL SERVICE CLASSIFICATION</v>
      </c>
      <c r="B95" s="100" t="s">
        <v>180</v>
      </c>
      <c r="C95" s="117"/>
      <c r="D95" s="173" t="s">
        <v>188</v>
      </c>
      <c r="E95" s="158"/>
      <c r="F95" s="174"/>
      <c r="G95" s="175"/>
      <c r="H95" s="176">
        <f>SUM(H87,H80:H83,H79)</f>
        <v>126.60318000000001</v>
      </c>
      <c r="I95" s="177"/>
      <c r="J95" s="177"/>
      <c r="K95" s="176">
        <f>SUM(K87,K80:K83,K79)</f>
        <v>126.60318000000001</v>
      </c>
      <c r="L95" s="178">
        <f>K95-H95</f>
        <v>0</v>
      </c>
      <c r="M95" s="179">
        <f>IF((H95)=0,"",(L95/H95))</f>
        <v>0</v>
      </c>
    </row>
    <row r="96" spans="1:13" hidden="1" x14ac:dyDescent="0.25">
      <c r="A96" s="100" t="str">
        <f t="shared" si="15"/>
        <v>RESIDENTIAL SERVICE CLASSIFICATION</v>
      </c>
      <c r="B96" s="100" t="s">
        <v>180</v>
      </c>
      <c r="C96" s="117"/>
      <c r="D96" s="180" t="s">
        <v>184</v>
      </c>
      <c r="E96" s="158"/>
      <c r="F96" s="174">
        <v>0.13</v>
      </c>
      <c r="G96" s="175"/>
      <c r="H96" s="182">
        <f>H95*F96</f>
        <v>16.458413400000001</v>
      </c>
      <c r="I96" s="174">
        <v>0.13</v>
      </c>
      <c r="J96" s="183"/>
      <c r="K96" s="182">
        <f>K95*I96</f>
        <v>16.458413400000001</v>
      </c>
      <c r="L96" s="184">
        <f>K96-H96</f>
        <v>0</v>
      </c>
      <c r="M96" s="185">
        <f>IF((H96)=0,"",(L96/H96))</f>
        <v>0</v>
      </c>
    </row>
    <row r="97" spans="1:13" hidden="1" x14ac:dyDescent="0.25">
      <c r="A97" s="100" t="str">
        <f t="shared" si="15"/>
        <v>RESIDENTIAL SERVICE CLASSIFICATION</v>
      </c>
      <c r="B97" s="100" t="s">
        <v>180</v>
      </c>
      <c r="C97" s="117"/>
      <c r="D97" s="180" t="s">
        <v>185</v>
      </c>
      <c r="E97" s="158"/>
      <c r="F97" s="174">
        <v>0.08</v>
      </c>
      <c r="G97" s="175"/>
      <c r="H97" s="182"/>
      <c r="I97" s="174">
        <v>0.08</v>
      </c>
      <c r="J97" s="183"/>
      <c r="K97" s="182"/>
      <c r="L97" s="184"/>
      <c r="M97" s="185"/>
    </row>
    <row r="98" spans="1:13" hidden="1" x14ac:dyDescent="0.25">
      <c r="A98" s="100" t="str">
        <f t="shared" si="15"/>
        <v>RESIDENTIAL SERVICE CLASSIFICATION</v>
      </c>
      <c r="B98" s="100" t="s">
        <v>189</v>
      </c>
      <c r="C98" s="117"/>
      <c r="D98" s="301" t="s">
        <v>188</v>
      </c>
      <c r="E98" s="301"/>
      <c r="F98" s="193"/>
      <c r="G98" s="194"/>
      <c r="H98" s="188">
        <f>SUM(H95,H96)</f>
        <v>143.06159340000002</v>
      </c>
      <c r="I98" s="195"/>
      <c r="J98" s="195"/>
      <c r="K98" s="188">
        <f>SUM(K95,K96)</f>
        <v>143.06159340000002</v>
      </c>
      <c r="L98" s="196">
        <f>K98-H98</f>
        <v>0</v>
      </c>
      <c r="M98" s="197">
        <f>IF((H98)=0,"",(L98/H98))</f>
        <v>0</v>
      </c>
    </row>
    <row r="99" spans="1:13" ht="15.75" hidden="1" thickBot="1" x14ac:dyDescent="0.3">
      <c r="A99" s="100" t="str">
        <f t="shared" si="15"/>
        <v>RESIDENTIAL SERVICE CLASSIFICATION</v>
      </c>
      <c r="B99" s="100" t="s">
        <v>180</v>
      </c>
      <c r="C99" s="117"/>
      <c r="D99" s="165"/>
      <c r="E99" s="166"/>
      <c r="F99" s="198"/>
      <c r="G99" s="199"/>
      <c r="H99" s="200"/>
      <c r="I99" s="198"/>
      <c r="J99" s="168"/>
      <c r="K99" s="200"/>
      <c r="L99" s="201"/>
      <c r="M99" s="172"/>
    </row>
    <row r="100" spans="1:13" hidden="1" x14ac:dyDescent="0.25">
      <c r="A100" s="100" t="str">
        <f t="shared" si="15"/>
        <v>RESIDENTIAL SERVICE CLASSIFICATION</v>
      </c>
      <c r="B100" s="100" t="s">
        <v>121</v>
      </c>
      <c r="C100" s="117"/>
      <c r="D100" s="173" t="s">
        <v>190</v>
      </c>
      <c r="E100" s="158"/>
      <c r="F100" s="174"/>
      <c r="G100" s="175"/>
      <c r="H100" s="176">
        <f>SUM(H88,H80:H83,H79)</f>
        <v>126.60318000000001</v>
      </c>
      <c r="I100" s="177"/>
      <c r="J100" s="177"/>
      <c r="K100" s="176">
        <f>SUM(K88,K80:K83,K79)</f>
        <v>126.60318000000001</v>
      </c>
      <c r="L100" s="178">
        <f>K100-H100</f>
        <v>0</v>
      </c>
      <c r="M100" s="179">
        <f>IF((H100)=0,"",(L100/H100))</f>
        <v>0</v>
      </c>
    </row>
    <row r="101" spans="1:13" hidden="1" x14ac:dyDescent="0.25">
      <c r="A101" s="100" t="str">
        <f t="shared" si="15"/>
        <v>RESIDENTIAL SERVICE CLASSIFICATION</v>
      </c>
      <c r="B101" s="100" t="s">
        <v>121</v>
      </c>
      <c r="C101" s="117"/>
      <c r="D101" s="180" t="s">
        <v>184</v>
      </c>
      <c r="E101" s="158"/>
      <c r="F101" s="174">
        <v>0.13</v>
      </c>
      <c r="G101" s="175"/>
      <c r="H101" s="182">
        <f>H100*F101</f>
        <v>16.458413400000001</v>
      </c>
      <c r="I101" s="174">
        <v>0.13</v>
      </c>
      <c r="J101" s="183"/>
      <c r="K101" s="182">
        <f>K100*I101</f>
        <v>16.458413400000001</v>
      </c>
      <c r="L101" s="184">
        <f>K101-H101</f>
        <v>0</v>
      </c>
      <c r="M101" s="185">
        <f>IF((H101)=0,"",(L101/H101))</f>
        <v>0</v>
      </c>
    </row>
    <row r="102" spans="1:13" hidden="1" x14ac:dyDescent="0.25">
      <c r="A102" s="100" t="str">
        <f t="shared" si="15"/>
        <v>RESIDENTIAL SERVICE CLASSIFICATION</v>
      </c>
      <c r="B102" s="100" t="s">
        <v>121</v>
      </c>
      <c r="C102" s="117"/>
      <c r="D102" s="180" t="s">
        <v>185</v>
      </c>
      <c r="E102" s="158"/>
      <c r="F102" s="174">
        <v>0.08</v>
      </c>
      <c r="G102" s="175"/>
      <c r="H102" s="182"/>
      <c r="I102" s="174">
        <v>0.08</v>
      </c>
      <c r="J102" s="183"/>
      <c r="K102" s="182"/>
      <c r="L102" s="184"/>
      <c r="M102" s="185"/>
    </row>
    <row r="103" spans="1:13" hidden="1" x14ac:dyDescent="0.25">
      <c r="A103" s="100" t="str">
        <f t="shared" si="15"/>
        <v>RESIDENTIAL SERVICE CLASSIFICATION</v>
      </c>
      <c r="B103" s="100" t="s">
        <v>191</v>
      </c>
      <c r="C103" s="117"/>
      <c r="D103" s="301" t="s">
        <v>190</v>
      </c>
      <c r="E103" s="301"/>
      <c r="F103" s="193"/>
      <c r="G103" s="194"/>
      <c r="H103" s="188">
        <f>SUM(H100,H101)</f>
        <v>143.06159340000002</v>
      </c>
      <c r="I103" s="195"/>
      <c r="J103" s="195"/>
      <c r="K103" s="188">
        <f>SUM(K100,K101)</f>
        <v>143.06159340000002</v>
      </c>
      <c r="L103" s="196">
        <f>K103-H103</f>
        <v>0</v>
      </c>
      <c r="M103" s="197">
        <f>IF((H103)=0,"",(L103/H103))</f>
        <v>0</v>
      </c>
    </row>
    <row r="104" spans="1:13" ht="15.75" hidden="1" thickBot="1" x14ac:dyDescent="0.3">
      <c r="A104" s="100" t="str">
        <f t="shared" si="15"/>
        <v>RESIDENTIAL SERVICE CLASSIFICATION</v>
      </c>
      <c r="B104" s="100" t="s">
        <v>121</v>
      </c>
      <c r="C104" s="117"/>
      <c r="D104" s="165"/>
      <c r="E104" s="166"/>
      <c r="F104" s="202"/>
      <c r="G104" s="203"/>
      <c r="H104" s="204"/>
      <c r="I104" s="202"/>
      <c r="J104" s="205"/>
      <c r="K104" s="204"/>
      <c r="L104" s="206"/>
      <c r="M104" s="207"/>
    </row>
    <row r="107" spans="1:13" x14ac:dyDescent="0.25">
      <c r="C107" s="100"/>
      <c r="D107" s="101" t="s">
        <v>134</v>
      </c>
      <c r="E107" s="302" t="str">
        <f>D4</f>
        <v>GENERAL SERVICE LESS THAN 50 KW SERVICE CLASSIFICATION</v>
      </c>
      <c r="F107" s="302"/>
      <c r="G107" s="302"/>
      <c r="H107" s="302"/>
      <c r="I107" s="302"/>
      <c r="J107" s="302"/>
      <c r="K107" s="100" t="str">
        <f>IF(N4="DEMAND - INTERVAL","RTSR - INTERVAL METERED","")</f>
        <v/>
      </c>
    </row>
    <row r="108" spans="1:13" x14ac:dyDescent="0.25">
      <c r="C108" s="100"/>
      <c r="D108" s="101" t="s">
        <v>135</v>
      </c>
      <c r="E108" s="303" t="str">
        <f>H4</f>
        <v>RPP</v>
      </c>
      <c r="F108" s="303"/>
      <c r="G108" s="303"/>
      <c r="H108" s="102"/>
      <c r="I108" s="102"/>
    </row>
    <row r="109" spans="1:13" ht="15.75" x14ac:dyDescent="0.25">
      <c r="C109" s="100"/>
      <c r="D109" s="101" t="s">
        <v>136</v>
      </c>
      <c r="E109" s="103">
        <f>K4</f>
        <v>2000</v>
      </c>
      <c r="F109" s="104" t="s">
        <v>137</v>
      </c>
      <c r="G109" s="105"/>
      <c r="J109" s="106"/>
      <c r="K109" s="106"/>
      <c r="L109" s="106"/>
      <c r="M109" s="106"/>
    </row>
    <row r="110" spans="1:13" ht="15.75" x14ac:dyDescent="0.25">
      <c r="C110" s="100"/>
      <c r="D110" s="101" t="s">
        <v>138</v>
      </c>
      <c r="E110" s="103">
        <f>L4</f>
        <v>0</v>
      </c>
      <c r="F110" s="107" t="s">
        <v>139</v>
      </c>
      <c r="G110" s="108"/>
      <c r="H110" s="109"/>
      <c r="I110" s="109"/>
      <c r="J110" s="109"/>
    </row>
    <row r="111" spans="1:13" x14ac:dyDescent="0.25">
      <c r="C111" s="100"/>
      <c r="D111" s="101" t="s">
        <v>140</v>
      </c>
      <c r="E111" s="110">
        <f>I4</f>
        <v>1.056</v>
      </c>
    </row>
    <row r="112" spans="1:13" x14ac:dyDescent="0.25">
      <c r="C112" s="100"/>
      <c r="D112" s="101" t="s">
        <v>141</v>
      </c>
      <c r="E112" s="110">
        <f>J4</f>
        <v>1.056</v>
      </c>
    </row>
    <row r="113" spans="1:13" x14ac:dyDescent="0.25">
      <c r="C113" s="100"/>
      <c r="D113" s="105"/>
    </row>
    <row r="114" spans="1:13" x14ac:dyDescent="0.25">
      <c r="C114" s="100"/>
      <c r="D114" s="105"/>
      <c r="E114" s="111"/>
      <c r="F114" s="304" t="s">
        <v>142</v>
      </c>
      <c r="G114" s="305"/>
      <c r="H114" s="306"/>
      <c r="I114" s="304" t="s">
        <v>143</v>
      </c>
      <c r="J114" s="305"/>
      <c r="K114" s="306"/>
      <c r="L114" s="304" t="s">
        <v>144</v>
      </c>
      <c r="M114" s="306"/>
    </row>
    <row r="115" spans="1:13" x14ac:dyDescent="0.25">
      <c r="C115" s="100"/>
      <c r="D115" s="105"/>
      <c r="E115" s="295"/>
      <c r="F115" s="112" t="s">
        <v>145</v>
      </c>
      <c r="G115" s="112" t="s">
        <v>146</v>
      </c>
      <c r="H115" s="113" t="s">
        <v>147</v>
      </c>
      <c r="I115" s="112" t="s">
        <v>145</v>
      </c>
      <c r="J115" s="114" t="s">
        <v>146</v>
      </c>
      <c r="K115" s="113" t="s">
        <v>147</v>
      </c>
      <c r="L115" s="297" t="s">
        <v>148</v>
      </c>
      <c r="M115" s="299" t="s">
        <v>149</v>
      </c>
    </row>
    <row r="116" spans="1:13" x14ac:dyDescent="0.25">
      <c r="C116" s="100"/>
      <c r="D116" s="105"/>
      <c r="E116" s="296"/>
      <c r="F116" s="115" t="s">
        <v>150</v>
      </c>
      <c r="G116" s="115"/>
      <c r="H116" s="116" t="s">
        <v>150</v>
      </c>
      <c r="I116" s="115" t="s">
        <v>150</v>
      </c>
      <c r="J116" s="116"/>
      <c r="K116" s="116" t="s">
        <v>150</v>
      </c>
      <c r="L116" s="298"/>
      <c r="M116" s="300"/>
    </row>
    <row r="117" spans="1:13" x14ac:dyDescent="0.25">
      <c r="A117" s="100" t="str">
        <f>$E107</f>
        <v>GENERAL SERVICE LESS THAN 50 KW SERVICE CLASSIFICATION</v>
      </c>
      <c r="C117" s="117"/>
      <c r="D117" s="118" t="s">
        <v>151</v>
      </c>
      <c r="E117" s="119"/>
      <c r="F117" s="120">
        <v>28.37</v>
      </c>
      <c r="G117" s="121">
        <v>1</v>
      </c>
      <c r="H117" s="122">
        <f>G117*F117</f>
        <v>28.37</v>
      </c>
      <c r="I117" s="123">
        <v>28.71</v>
      </c>
      <c r="J117" s="124">
        <f>G117</f>
        <v>1</v>
      </c>
      <c r="K117" s="122">
        <f>H117</f>
        <v>28.37</v>
      </c>
      <c r="L117" s="125">
        <f t="shared" ref="L117:L138" si="20">K117-H117</f>
        <v>0</v>
      </c>
      <c r="M117" s="126">
        <f>IF(ISERROR(L117/H117), "", L117/H117)</f>
        <v>0</v>
      </c>
    </row>
    <row r="118" spans="1:13" x14ac:dyDescent="0.25">
      <c r="A118" s="100" t="str">
        <f>A117</f>
        <v>GENERAL SERVICE LESS THAN 50 KW SERVICE CLASSIFICATION</v>
      </c>
      <c r="C118" s="117"/>
      <c r="D118" s="118" t="s">
        <v>152</v>
      </c>
      <c r="E118" s="119"/>
      <c r="F118" s="127">
        <v>1.0200000000000001E-2</v>
      </c>
      <c r="G118" s="121">
        <f>IF($E110&gt;0, $E110, $E109)</f>
        <v>2000</v>
      </c>
      <c r="H118" s="122">
        <f t="shared" ref="H118:H130" si="21">G118*F118</f>
        <v>20.400000000000002</v>
      </c>
      <c r="I118" s="128">
        <v>1.03E-2</v>
      </c>
      <c r="J118" s="124">
        <f>IF($E110&gt;0, $E110, $E109)</f>
        <v>2000</v>
      </c>
      <c r="K118" s="122">
        <f>H118</f>
        <v>20.400000000000002</v>
      </c>
      <c r="L118" s="125">
        <f t="shared" si="20"/>
        <v>0</v>
      </c>
      <c r="M118" s="126">
        <f t="shared" ref="M118:M128" si="22">IF(ISERROR(L118/H118), "", L118/H118)</f>
        <v>0</v>
      </c>
    </row>
    <row r="119" spans="1:13" x14ac:dyDescent="0.25">
      <c r="A119" s="100" t="str">
        <f t="shared" ref="A119:A160" si="23">A118</f>
        <v>GENERAL SERVICE LESS THAN 50 KW SERVICE CLASSIFICATION</v>
      </c>
      <c r="C119" s="117"/>
      <c r="D119" s="118" t="s">
        <v>153</v>
      </c>
      <c r="E119" s="119"/>
      <c r="F119" s="127"/>
      <c r="G119" s="121">
        <f>IF($E110&gt;0, $E110, $E109)</f>
        <v>2000</v>
      </c>
      <c r="H119" s="122">
        <v>0</v>
      </c>
      <c r="I119" s="128"/>
      <c r="J119" s="124">
        <f>IF($E110&gt;0, $E110, $E109)</f>
        <v>2000</v>
      </c>
      <c r="K119" s="122">
        <v>0</v>
      </c>
      <c r="L119" s="125"/>
      <c r="M119" s="126"/>
    </row>
    <row r="120" spans="1:13" x14ac:dyDescent="0.25">
      <c r="A120" s="100" t="str">
        <f t="shared" si="23"/>
        <v>GENERAL SERVICE LESS THAN 50 KW SERVICE CLASSIFICATION</v>
      </c>
      <c r="C120" s="117"/>
      <c r="D120" s="118" t="s">
        <v>154</v>
      </c>
      <c r="E120" s="119"/>
      <c r="F120" s="127"/>
      <c r="G120" s="121">
        <f>IF($E110&gt;0, $E110, $E109)</f>
        <v>2000</v>
      </c>
      <c r="H120" s="122">
        <v>0</v>
      </c>
      <c r="I120" s="128"/>
      <c r="J120" s="121">
        <f>IF($E110&gt;0, $E110, $E109)</f>
        <v>2000</v>
      </c>
      <c r="K120" s="122">
        <v>0</v>
      </c>
      <c r="L120" s="125">
        <f>K120-H120</f>
        <v>0</v>
      </c>
      <c r="M120" s="126" t="str">
        <f>IF(ISERROR(L120/H120), "", L120/H120)</f>
        <v/>
      </c>
    </row>
    <row r="121" spans="1:13" x14ac:dyDescent="0.25">
      <c r="A121" s="100" t="str">
        <f t="shared" si="23"/>
        <v>GENERAL SERVICE LESS THAN 50 KW SERVICE CLASSIFICATION</v>
      </c>
      <c r="C121" s="117"/>
      <c r="D121" s="129" t="s">
        <v>155</v>
      </c>
      <c r="E121" s="119"/>
      <c r="F121" s="120">
        <v>0</v>
      </c>
      <c r="G121" s="121">
        <v>1</v>
      </c>
      <c r="H121" s="122">
        <f t="shared" si="21"/>
        <v>0</v>
      </c>
      <c r="I121" s="123">
        <v>0</v>
      </c>
      <c r="J121" s="124">
        <f>G121</f>
        <v>1</v>
      </c>
      <c r="K121" s="122">
        <f t="shared" ref="K121:K128" si="24">J121*I121</f>
        <v>0</v>
      </c>
      <c r="L121" s="125">
        <f t="shared" si="20"/>
        <v>0</v>
      </c>
      <c r="M121" s="126" t="str">
        <f t="shared" si="22"/>
        <v/>
      </c>
    </row>
    <row r="122" spans="1:13" x14ac:dyDescent="0.25">
      <c r="A122" s="100" t="str">
        <f t="shared" si="23"/>
        <v>GENERAL SERVICE LESS THAN 50 KW SERVICE CLASSIFICATION</v>
      </c>
      <c r="C122" s="117"/>
      <c r="D122" s="118" t="s">
        <v>156</v>
      </c>
      <c r="E122" s="119"/>
      <c r="F122" s="127">
        <v>0</v>
      </c>
      <c r="G122" s="121">
        <f>IF($E110&gt;0, $E110, $E109)</f>
        <v>2000</v>
      </c>
      <c r="H122" s="122">
        <f t="shared" si="21"/>
        <v>0</v>
      </c>
      <c r="I122" s="128">
        <v>0</v>
      </c>
      <c r="J122" s="124">
        <f>IF($E110&gt;0, $E110, $E109)</f>
        <v>2000</v>
      </c>
      <c r="K122" s="122">
        <f t="shared" si="24"/>
        <v>0</v>
      </c>
      <c r="L122" s="125">
        <f t="shared" si="20"/>
        <v>0</v>
      </c>
      <c r="M122" s="126" t="str">
        <f t="shared" si="22"/>
        <v/>
      </c>
    </row>
    <row r="123" spans="1:13" x14ac:dyDescent="0.25">
      <c r="A123" s="100" t="str">
        <f t="shared" si="23"/>
        <v>GENERAL SERVICE LESS THAN 50 KW SERVICE CLASSIFICATION</v>
      </c>
      <c r="B123" s="130" t="s">
        <v>157</v>
      </c>
      <c r="C123" s="117">
        <f>B4</f>
        <v>2</v>
      </c>
      <c r="D123" s="131" t="s">
        <v>158</v>
      </c>
      <c r="E123" s="132"/>
      <c r="F123" s="133"/>
      <c r="G123" s="134"/>
      <c r="H123" s="135">
        <f>SUM(H117:H122)</f>
        <v>48.77</v>
      </c>
      <c r="I123" s="136"/>
      <c r="J123" s="137"/>
      <c r="K123" s="135">
        <f>SUM(K117:K122)</f>
        <v>48.77</v>
      </c>
      <c r="L123" s="138">
        <f t="shared" si="20"/>
        <v>0</v>
      </c>
      <c r="M123" s="139">
        <f>IF((H123)=0,"",(L123/H123))</f>
        <v>0</v>
      </c>
    </row>
    <row r="124" spans="1:13" x14ac:dyDescent="0.25">
      <c r="A124" s="100" t="str">
        <f t="shared" si="23"/>
        <v>GENERAL SERVICE LESS THAN 50 KW SERVICE CLASSIFICATION</v>
      </c>
      <c r="C124" s="117"/>
      <c r="D124" s="140" t="s">
        <v>159</v>
      </c>
      <c r="E124" s="119"/>
      <c r="F124" s="127">
        <f>IF((E109*12&gt;=150000), 0, IF(E108="RPP",(F140*0.65+F141*0.17+F142*0.18),IF(E108="Non-RPP (Retailer)",F143,F144)))</f>
        <v>8.1990000000000007E-2</v>
      </c>
      <c r="G124" s="141">
        <f>IF(F124=0, 0, $E109*E111-E109)</f>
        <v>112</v>
      </c>
      <c r="H124" s="122">
        <f>G124*F124</f>
        <v>9.1828800000000008</v>
      </c>
      <c r="I124" s="128">
        <f>IF((E109*12&gt;=150000), 0, IF(E108="RPP",(I140*0.65+I141*0.17+I142*0.18),IF(E108="Non-RPP (Retailer)",I143,I144)))</f>
        <v>8.1990000000000007E-2</v>
      </c>
      <c r="J124" s="141">
        <f>IF(I124=0, 0, E109*E112-E109)</f>
        <v>112</v>
      </c>
      <c r="K124" s="122">
        <f>J124*I124</f>
        <v>9.1828800000000008</v>
      </c>
      <c r="L124" s="125">
        <f>K124-H124</f>
        <v>0</v>
      </c>
      <c r="M124" s="126">
        <f>IF(ISERROR(L124/H124), "", L124/H124)</f>
        <v>0</v>
      </c>
    </row>
    <row r="125" spans="1:13" ht="25.5" x14ac:dyDescent="0.25">
      <c r="A125" s="100" t="str">
        <f t="shared" si="23"/>
        <v>GENERAL SERVICE LESS THAN 50 KW SERVICE CLASSIFICATION</v>
      </c>
      <c r="C125" s="117"/>
      <c r="D125" s="140" t="s">
        <v>160</v>
      </c>
      <c r="E125" s="119"/>
      <c r="F125" s="127">
        <v>-1.4E-3</v>
      </c>
      <c r="G125" s="142">
        <f>IF($E110&gt;0, $E110, $E109)</f>
        <v>2000</v>
      </c>
      <c r="H125" s="122">
        <f t="shared" si="21"/>
        <v>-2.8</v>
      </c>
      <c r="I125" s="128">
        <v>-5.3E-3</v>
      </c>
      <c r="J125" s="142">
        <f>IF($E110&gt;0, $E110, $E109)</f>
        <v>2000</v>
      </c>
      <c r="K125" s="122">
        <f>H125</f>
        <v>-2.8</v>
      </c>
      <c r="L125" s="125">
        <f t="shared" si="20"/>
        <v>0</v>
      </c>
      <c r="M125" s="126">
        <f t="shared" si="22"/>
        <v>0</v>
      </c>
    </row>
    <row r="126" spans="1:13" x14ac:dyDescent="0.25">
      <c r="A126" s="100" t="str">
        <f t="shared" si="23"/>
        <v>GENERAL SERVICE LESS THAN 50 KW SERVICE CLASSIFICATION</v>
      </c>
      <c r="C126" s="117"/>
      <c r="D126" s="140" t="s">
        <v>161</v>
      </c>
      <c r="E126" s="119"/>
      <c r="F126" s="127">
        <v>-1E-4</v>
      </c>
      <c r="G126" s="142">
        <f>IF($E110&gt;0, $E110, $E109)</f>
        <v>2000</v>
      </c>
      <c r="H126" s="122">
        <f>G126*F126</f>
        <v>-0.2</v>
      </c>
      <c r="I126" s="128">
        <v>0</v>
      </c>
      <c r="J126" s="142">
        <f>IF($E110&gt;0, $E110, $E109)</f>
        <v>2000</v>
      </c>
      <c r="K126" s="122">
        <f>H126</f>
        <v>-0.2</v>
      </c>
      <c r="L126" s="125">
        <f t="shared" si="20"/>
        <v>0</v>
      </c>
      <c r="M126" s="126">
        <f t="shared" si="22"/>
        <v>0</v>
      </c>
    </row>
    <row r="127" spans="1:13" x14ac:dyDescent="0.25">
      <c r="A127" s="100" t="str">
        <f t="shared" si="23"/>
        <v>GENERAL SERVICE LESS THAN 50 KW SERVICE CLASSIFICATION</v>
      </c>
      <c r="C127" s="117"/>
      <c r="D127" s="140" t="s">
        <v>162</v>
      </c>
      <c r="E127" s="119"/>
      <c r="F127" s="127">
        <v>0</v>
      </c>
      <c r="G127" s="142">
        <f>E109</f>
        <v>2000</v>
      </c>
      <c r="H127" s="122">
        <f>G127*F127</f>
        <v>0</v>
      </c>
      <c r="I127" s="128">
        <v>0</v>
      </c>
      <c r="J127" s="142">
        <f>E109</f>
        <v>2000</v>
      </c>
      <c r="K127" s="122">
        <f t="shared" si="24"/>
        <v>0</v>
      </c>
      <c r="L127" s="125">
        <f t="shared" si="20"/>
        <v>0</v>
      </c>
      <c r="M127" s="126" t="str">
        <f t="shared" si="22"/>
        <v/>
      </c>
    </row>
    <row r="128" spans="1:13" x14ac:dyDescent="0.25">
      <c r="A128" s="100" t="str">
        <f t="shared" si="23"/>
        <v>GENERAL SERVICE LESS THAN 50 KW SERVICE CLASSIFICATION</v>
      </c>
      <c r="C128" s="117"/>
      <c r="D128" s="143" t="s">
        <v>163</v>
      </c>
      <c r="E128" s="119"/>
      <c r="F128" s="127">
        <v>2.3999999999999998E-3</v>
      </c>
      <c r="G128" s="142">
        <f>IF($E110&gt;0, $E110, $E109)</f>
        <v>2000</v>
      </c>
      <c r="H128" s="122">
        <f t="shared" si="21"/>
        <v>4.8</v>
      </c>
      <c r="I128" s="128">
        <v>2.3999999999999998E-3</v>
      </c>
      <c r="J128" s="142">
        <f>IF($E110&gt;0, $E110, $E109)</f>
        <v>2000</v>
      </c>
      <c r="K128" s="122">
        <f t="shared" si="24"/>
        <v>4.8</v>
      </c>
      <c r="L128" s="125">
        <f t="shared" si="20"/>
        <v>0</v>
      </c>
      <c r="M128" s="126">
        <f t="shared" si="22"/>
        <v>0</v>
      </c>
    </row>
    <row r="129" spans="1:13" ht="25.5" x14ac:dyDescent="0.25">
      <c r="A129" s="100" t="str">
        <f t="shared" si="23"/>
        <v>GENERAL SERVICE LESS THAN 50 KW SERVICE CLASSIFICATION</v>
      </c>
      <c r="C129" s="117"/>
      <c r="D129" s="144" t="s">
        <v>164</v>
      </c>
      <c r="E129" s="119"/>
      <c r="F129" s="145">
        <f>IF(OR(ISNUMBER(SEARCH("RESIDENTIAL", E107))=TRUE, ISNUMBER(SEARCH("GENERAL SERVICE LESS THAN 50", E107))=TRUE), SME, 0)</f>
        <v>0.56999999999999995</v>
      </c>
      <c r="G129" s="121">
        <v>1</v>
      </c>
      <c r="H129" s="122">
        <f>G129*F129</f>
        <v>0.56999999999999995</v>
      </c>
      <c r="I129" s="146">
        <f>IF(OR(ISNUMBER(SEARCH("RESIDENTIAL", E107))=TRUE, ISNUMBER(SEARCH("GENERAL SERVICE LESS THAN 50", E107))=TRUE), SME, 0)</f>
        <v>0.56999999999999995</v>
      </c>
      <c r="J129" s="121">
        <v>1</v>
      </c>
      <c r="K129" s="122">
        <f>J129*I129</f>
        <v>0.56999999999999995</v>
      </c>
      <c r="L129" s="125">
        <f t="shared" si="20"/>
        <v>0</v>
      </c>
      <c r="M129" s="126">
        <f>IF(ISERROR(L129/H129), "", L129/H129)</f>
        <v>0</v>
      </c>
    </row>
    <row r="130" spans="1:13" x14ac:dyDescent="0.25">
      <c r="A130" s="100" t="str">
        <f t="shared" si="23"/>
        <v>GENERAL SERVICE LESS THAN 50 KW SERVICE CLASSIFICATION</v>
      </c>
      <c r="C130" s="117"/>
      <c r="D130" s="143" t="s">
        <v>165</v>
      </c>
      <c r="E130" s="119"/>
      <c r="F130" s="120">
        <v>0</v>
      </c>
      <c r="G130" s="121">
        <v>1</v>
      </c>
      <c r="H130" s="122">
        <f t="shared" si="21"/>
        <v>0</v>
      </c>
      <c r="I130" s="123">
        <v>0</v>
      </c>
      <c r="J130" s="121">
        <v>1</v>
      </c>
      <c r="K130" s="122">
        <f>J130*I130</f>
        <v>0</v>
      </c>
      <c r="L130" s="125">
        <f>K130-H130</f>
        <v>0</v>
      </c>
      <c r="M130" s="126" t="str">
        <f>IF(ISERROR(L130/H130), "", L130/H130)</f>
        <v/>
      </c>
    </row>
    <row r="131" spans="1:13" x14ac:dyDescent="0.25">
      <c r="A131" s="100" t="str">
        <f t="shared" si="23"/>
        <v>GENERAL SERVICE LESS THAN 50 KW SERVICE CLASSIFICATION</v>
      </c>
      <c r="C131" s="117"/>
      <c r="D131" s="143" t="s">
        <v>166</v>
      </c>
      <c r="E131" s="119"/>
      <c r="F131" s="127"/>
      <c r="G131" s="142">
        <f>IF($E110&gt;0, $E110, $E109)</f>
        <v>2000</v>
      </c>
      <c r="H131" s="122">
        <f>G131*F131</f>
        <v>0</v>
      </c>
      <c r="I131" s="128">
        <v>0</v>
      </c>
      <c r="J131" s="142">
        <f>IF($E110&gt;0, $E110, $E109)</f>
        <v>2000</v>
      </c>
      <c r="K131" s="122">
        <f>J131*I131</f>
        <v>0</v>
      </c>
      <c r="L131" s="125">
        <f t="shared" si="20"/>
        <v>0</v>
      </c>
      <c r="M131" s="126" t="str">
        <f>IF(ISERROR(L131/H131), "", L131/H131)</f>
        <v/>
      </c>
    </row>
    <row r="132" spans="1:13" ht="25.5" x14ac:dyDescent="0.25">
      <c r="A132" s="100" t="str">
        <f t="shared" si="23"/>
        <v>GENERAL SERVICE LESS THAN 50 KW SERVICE CLASSIFICATION</v>
      </c>
      <c r="B132" s="105" t="s">
        <v>167</v>
      </c>
      <c r="C132" s="117">
        <f>B4</f>
        <v>2</v>
      </c>
      <c r="D132" s="147" t="s">
        <v>168</v>
      </c>
      <c r="E132" s="148"/>
      <c r="F132" s="149"/>
      <c r="G132" s="150"/>
      <c r="H132" s="151">
        <f>SUM(H123:H131)</f>
        <v>60.322880000000005</v>
      </c>
      <c r="I132" s="152"/>
      <c r="J132" s="153"/>
      <c r="K132" s="151">
        <f>SUM(K123:K131)</f>
        <v>60.322880000000005</v>
      </c>
      <c r="L132" s="138">
        <f t="shared" si="20"/>
        <v>0</v>
      </c>
      <c r="M132" s="139">
        <f>IF((H132)=0,"",(L132/H132))</f>
        <v>0</v>
      </c>
    </row>
    <row r="133" spans="1:13" x14ac:dyDescent="0.25">
      <c r="A133" s="100" t="str">
        <f t="shared" si="23"/>
        <v>GENERAL SERVICE LESS THAN 50 KW SERVICE CLASSIFICATION</v>
      </c>
      <c r="C133" s="117"/>
      <c r="D133" s="154" t="s">
        <v>169</v>
      </c>
      <c r="E133" s="119"/>
      <c r="F133" s="127">
        <v>6.0000000000000001E-3</v>
      </c>
      <c r="G133" s="141">
        <f>IF($E110&gt;0, $E110, $E109*$E111)</f>
        <v>2112</v>
      </c>
      <c r="H133" s="122">
        <f>G133*F133</f>
        <v>12.672000000000001</v>
      </c>
      <c r="I133" s="128">
        <v>5.7000000000000002E-3</v>
      </c>
      <c r="J133" s="141">
        <f>IF($E110&gt;0, $E110, $E109*$E112)</f>
        <v>2112</v>
      </c>
      <c r="K133" s="122">
        <f>H133</f>
        <v>12.672000000000001</v>
      </c>
      <c r="L133" s="125">
        <f t="shared" si="20"/>
        <v>0</v>
      </c>
      <c r="M133" s="126">
        <f>IF(ISERROR(L133/H133), "", L133/H133)</f>
        <v>0</v>
      </c>
    </row>
    <row r="134" spans="1:13" ht="25.5" x14ac:dyDescent="0.25">
      <c r="A134" s="100" t="str">
        <f t="shared" si="23"/>
        <v>GENERAL SERVICE LESS THAN 50 KW SERVICE CLASSIFICATION</v>
      </c>
      <c r="C134" s="117"/>
      <c r="D134" s="155" t="s">
        <v>170</v>
      </c>
      <c r="E134" s="119"/>
      <c r="F134" s="127">
        <v>5.3E-3</v>
      </c>
      <c r="G134" s="141">
        <f>IF($E110&gt;0, $E110, $E109*$E111)</f>
        <v>2112</v>
      </c>
      <c r="H134" s="122">
        <f>G134*F134</f>
        <v>11.1936</v>
      </c>
      <c r="I134" s="128">
        <v>5.0000000000000001E-3</v>
      </c>
      <c r="J134" s="141">
        <f>IF($E110&gt;0, $E110, $E109*$E112)</f>
        <v>2112</v>
      </c>
      <c r="K134" s="122">
        <f>H134</f>
        <v>11.1936</v>
      </c>
      <c r="L134" s="125">
        <f t="shared" si="20"/>
        <v>0</v>
      </c>
      <c r="M134" s="126">
        <f>IF(ISERROR(L134/H134), "", L134/H134)</f>
        <v>0</v>
      </c>
    </row>
    <row r="135" spans="1:13" ht="25.5" x14ac:dyDescent="0.25">
      <c r="A135" s="100" t="str">
        <f t="shared" si="23"/>
        <v>GENERAL SERVICE LESS THAN 50 KW SERVICE CLASSIFICATION</v>
      </c>
      <c r="B135" s="105" t="s">
        <v>171</v>
      </c>
      <c r="C135" s="117">
        <f>B4</f>
        <v>2</v>
      </c>
      <c r="D135" s="147" t="s">
        <v>172</v>
      </c>
      <c r="E135" s="132"/>
      <c r="F135" s="149"/>
      <c r="G135" s="150"/>
      <c r="H135" s="151">
        <f>SUM(H132:H134)</f>
        <v>84.188480000000013</v>
      </c>
      <c r="I135" s="152"/>
      <c r="J135" s="137"/>
      <c r="K135" s="151">
        <f>SUM(K132:K134)</f>
        <v>84.188480000000013</v>
      </c>
      <c r="L135" s="138">
        <f t="shared" si="20"/>
        <v>0</v>
      </c>
      <c r="M135" s="139">
        <f>IF((H135)=0,"",(L135/H135))</f>
        <v>0</v>
      </c>
    </row>
    <row r="136" spans="1:13" ht="25.5" x14ac:dyDescent="0.25">
      <c r="A136" s="100" t="str">
        <f t="shared" si="23"/>
        <v>GENERAL SERVICE LESS THAN 50 KW SERVICE CLASSIFICATION</v>
      </c>
      <c r="C136" s="117"/>
      <c r="D136" s="156" t="s">
        <v>173</v>
      </c>
      <c r="E136" s="119"/>
      <c r="F136" s="127">
        <v>3.6000000000000003E-3</v>
      </c>
      <c r="G136" s="141">
        <f>E109*E111</f>
        <v>2112</v>
      </c>
      <c r="H136" s="157">
        <f t="shared" ref="H136:H142" si="25">G136*F136</f>
        <v>7.6032000000000011</v>
      </c>
      <c r="I136" s="128">
        <v>3.6000000000000003E-3</v>
      </c>
      <c r="J136" s="141">
        <f>E109*E112</f>
        <v>2112</v>
      </c>
      <c r="K136" s="157">
        <f t="shared" ref="K136:K142" si="26">J136*I136</f>
        <v>7.6032000000000011</v>
      </c>
      <c r="L136" s="125">
        <f t="shared" si="20"/>
        <v>0</v>
      </c>
      <c r="M136" s="126">
        <f t="shared" ref="M136:M144" si="27">IF(ISERROR(L136/H136), "", L136/H136)</f>
        <v>0</v>
      </c>
    </row>
    <row r="137" spans="1:13" ht="25.5" x14ac:dyDescent="0.25">
      <c r="A137" s="100" t="str">
        <f t="shared" si="23"/>
        <v>GENERAL SERVICE LESS THAN 50 KW SERVICE CLASSIFICATION</v>
      </c>
      <c r="C137" s="117"/>
      <c r="D137" s="156" t="s">
        <v>174</v>
      </c>
      <c r="E137" s="119"/>
      <c r="F137" s="127">
        <f>'[1]17. Regulatory Charges'!$D$16</f>
        <v>2.9999999999999997E-4</v>
      </c>
      <c r="G137" s="141">
        <f>E109*E111</f>
        <v>2112</v>
      </c>
      <c r="H137" s="157">
        <f t="shared" si="25"/>
        <v>0.63359999999999994</v>
      </c>
      <c r="I137" s="128">
        <v>2.9999999999999997E-4</v>
      </c>
      <c r="J137" s="141">
        <f>E109*E112</f>
        <v>2112</v>
      </c>
      <c r="K137" s="157">
        <f t="shared" si="26"/>
        <v>0.63359999999999994</v>
      </c>
      <c r="L137" s="125">
        <f t="shared" si="20"/>
        <v>0</v>
      </c>
      <c r="M137" s="126">
        <f t="shared" si="27"/>
        <v>0</v>
      </c>
    </row>
    <row r="138" spans="1:13" x14ac:dyDescent="0.25">
      <c r="A138" s="100" t="str">
        <f t="shared" si="23"/>
        <v>GENERAL SERVICE LESS THAN 50 KW SERVICE CLASSIFICATION</v>
      </c>
      <c r="C138" s="117"/>
      <c r="D138" s="158" t="s">
        <v>175</v>
      </c>
      <c r="E138" s="119"/>
      <c r="F138" s="145">
        <v>0.25</v>
      </c>
      <c r="G138" s="121">
        <v>1</v>
      </c>
      <c r="H138" s="157">
        <f t="shared" si="25"/>
        <v>0.25</v>
      </c>
      <c r="I138" s="146">
        <f>'[1]17. Regulatory Charges'!$D$17</f>
        <v>0.25</v>
      </c>
      <c r="J138" s="124">
        <v>1</v>
      </c>
      <c r="K138" s="157">
        <f t="shared" si="26"/>
        <v>0.25</v>
      </c>
      <c r="L138" s="125">
        <f t="shared" si="20"/>
        <v>0</v>
      </c>
      <c r="M138" s="126">
        <f t="shared" si="27"/>
        <v>0</v>
      </c>
    </row>
    <row r="139" spans="1:13" ht="25.5" x14ac:dyDescent="0.25">
      <c r="A139" s="100" t="str">
        <f t="shared" si="23"/>
        <v>GENERAL SERVICE LESS THAN 50 KW SERVICE CLASSIFICATION</v>
      </c>
      <c r="C139" s="117"/>
      <c r="D139" s="156" t="s">
        <v>176</v>
      </c>
      <c r="E139" s="119"/>
      <c r="F139" s="127"/>
      <c r="G139" s="141"/>
      <c r="H139" s="157"/>
      <c r="I139" s="128"/>
      <c r="J139" s="141"/>
      <c r="K139" s="157"/>
      <c r="L139" s="125"/>
      <c r="M139" s="126"/>
    </row>
    <row r="140" spans="1:13" x14ac:dyDescent="0.25">
      <c r="A140" s="100" t="str">
        <f t="shared" si="23"/>
        <v>GENERAL SERVICE LESS THAN 50 KW SERVICE CLASSIFICATION</v>
      </c>
      <c r="B140" s="105" t="s">
        <v>117</v>
      </c>
      <c r="C140" s="117"/>
      <c r="D140" s="159" t="s">
        <v>177</v>
      </c>
      <c r="E140" s="119"/>
      <c r="F140" s="160">
        <f>OffPeak</f>
        <v>6.5000000000000002E-2</v>
      </c>
      <c r="G140" s="161">
        <f>IF(AND(E109*12&gt;=150000),0.65*E109*E111,0.65*E109)</f>
        <v>1300</v>
      </c>
      <c r="H140" s="157">
        <f t="shared" si="25"/>
        <v>84.5</v>
      </c>
      <c r="I140" s="162">
        <f>OffPeak</f>
        <v>6.5000000000000002E-2</v>
      </c>
      <c r="J140" s="161">
        <f>IF(AND(E109*12&gt;=150000),0.65*E109*E112,0.65*E109)</f>
        <v>1300</v>
      </c>
      <c r="K140" s="157">
        <f t="shared" si="26"/>
        <v>84.5</v>
      </c>
      <c r="L140" s="125">
        <f>K140-H140</f>
        <v>0</v>
      </c>
      <c r="M140" s="126">
        <f t="shared" si="27"/>
        <v>0</v>
      </c>
    </row>
    <row r="141" spans="1:13" x14ac:dyDescent="0.25">
      <c r="A141" s="100" t="str">
        <f t="shared" si="23"/>
        <v>GENERAL SERVICE LESS THAN 50 KW SERVICE CLASSIFICATION</v>
      </c>
      <c r="B141" s="105" t="s">
        <v>117</v>
      </c>
      <c r="C141" s="117"/>
      <c r="D141" s="159" t="s">
        <v>178</v>
      </c>
      <c r="E141" s="119"/>
      <c r="F141" s="160">
        <f>MidPeak</f>
        <v>9.4E-2</v>
      </c>
      <c r="G141" s="161">
        <f>IF(AND(E109*12&gt;=150000),0.17*E109*E111,0.17*E109)</f>
        <v>340</v>
      </c>
      <c r="H141" s="157">
        <f t="shared" si="25"/>
        <v>31.96</v>
      </c>
      <c r="I141" s="162">
        <f>MidPeak</f>
        <v>9.4E-2</v>
      </c>
      <c r="J141" s="161">
        <f>IF(AND(E109*12&gt;=150000),0.17*E109*E112,0.17*E109)</f>
        <v>340</v>
      </c>
      <c r="K141" s="157">
        <f t="shared" si="26"/>
        <v>31.96</v>
      </c>
      <c r="L141" s="125">
        <f>K141-H141</f>
        <v>0</v>
      </c>
      <c r="M141" s="126">
        <f t="shared" si="27"/>
        <v>0</v>
      </c>
    </row>
    <row r="142" spans="1:13" ht="15.75" thickBot="1" x14ac:dyDescent="0.3">
      <c r="A142" s="100" t="str">
        <f t="shared" si="23"/>
        <v>GENERAL SERVICE LESS THAN 50 KW SERVICE CLASSIFICATION</v>
      </c>
      <c r="B142" s="105" t="s">
        <v>117</v>
      </c>
      <c r="C142" s="117"/>
      <c r="D142" s="105" t="s">
        <v>179</v>
      </c>
      <c r="E142" s="119"/>
      <c r="F142" s="160">
        <f>OnPeak</f>
        <v>0.13200000000000001</v>
      </c>
      <c r="G142" s="161">
        <f>IF(AND(E109*12&gt;=150000),0.18*E109*E111,0.18*E109)</f>
        <v>360</v>
      </c>
      <c r="H142" s="157">
        <f t="shared" si="25"/>
        <v>47.52</v>
      </c>
      <c r="I142" s="162">
        <f>OnPeak</f>
        <v>0.13200000000000001</v>
      </c>
      <c r="J142" s="161">
        <f>IF(AND(E109*12&gt;=150000),0.18*E109*E112,0.18*E109)</f>
        <v>360</v>
      </c>
      <c r="K142" s="157">
        <f t="shared" si="26"/>
        <v>47.52</v>
      </c>
      <c r="L142" s="125">
        <f>K142-H142</f>
        <v>0</v>
      </c>
      <c r="M142" s="126">
        <f t="shared" si="27"/>
        <v>0</v>
      </c>
    </row>
    <row r="143" spans="1:13" ht="15.75" hidden="1" thickBot="1" x14ac:dyDescent="0.3">
      <c r="A143" s="100" t="str">
        <f t="shared" si="23"/>
        <v>GENERAL SERVICE LESS THAN 50 KW SERVICE CLASSIFICATION</v>
      </c>
      <c r="B143" s="100" t="s">
        <v>180</v>
      </c>
      <c r="C143" s="117"/>
      <c r="D143" s="159" t="s">
        <v>181</v>
      </c>
      <c r="E143" s="119"/>
      <c r="F143" s="163">
        <v>0.1101</v>
      </c>
      <c r="G143" s="161">
        <f>IF(AND(E109*12&gt;=150000),E109*E111,E109)</f>
        <v>2000</v>
      </c>
      <c r="H143" s="157">
        <f>G143*F143</f>
        <v>220.20000000000002</v>
      </c>
      <c r="I143" s="164">
        <f>F143</f>
        <v>0.1101</v>
      </c>
      <c r="J143" s="161">
        <f>IF(AND(E109*12&gt;=150000),E109*E112,E109)</f>
        <v>2000</v>
      </c>
      <c r="K143" s="157">
        <f>J143*I143</f>
        <v>220.20000000000002</v>
      </c>
      <c r="L143" s="125">
        <f>K143-H143</f>
        <v>0</v>
      </c>
      <c r="M143" s="126">
        <f t="shared" si="27"/>
        <v>0</v>
      </c>
    </row>
    <row r="144" spans="1:13" ht="15.75" hidden="1" thickBot="1" x14ac:dyDescent="0.3">
      <c r="A144" s="100" t="str">
        <f t="shared" si="23"/>
        <v>GENERAL SERVICE LESS THAN 50 KW SERVICE CLASSIFICATION</v>
      </c>
      <c r="B144" s="100" t="s">
        <v>121</v>
      </c>
      <c r="C144" s="117"/>
      <c r="D144" s="159" t="s">
        <v>182</v>
      </c>
      <c r="E144" s="119"/>
      <c r="F144" s="163">
        <v>0.1101</v>
      </c>
      <c r="G144" s="161">
        <f>IF(AND(E109*12&gt;=150000),E109*E111,E109)</f>
        <v>2000</v>
      </c>
      <c r="H144" s="157">
        <f>G144*F144</f>
        <v>220.20000000000002</v>
      </c>
      <c r="I144" s="164">
        <f>F144</f>
        <v>0.1101</v>
      </c>
      <c r="J144" s="161">
        <f>IF(AND(E109*12&gt;=150000),E109*E112,E109)</f>
        <v>2000</v>
      </c>
      <c r="K144" s="157">
        <f>J144*I144</f>
        <v>220.20000000000002</v>
      </c>
      <c r="L144" s="125">
        <f>K144-H144</f>
        <v>0</v>
      </c>
      <c r="M144" s="126">
        <f t="shared" si="27"/>
        <v>0</v>
      </c>
    </row>
    <row r="145" spans="1:13" ht="15.75" thickBot="1" x14ac:dyDescent="0.3">
      <c r="A145" s="100" t="str">
        <f t="shared" si="23"/>
        <v>GENERAL SERVICE LESS THAN 50 KW SERVICE CLASSIFICATION</v>
      </c>
      <c r="B145" s="105"/>
      <c r="C145" s="117"/>
      <c r="D145" s="165"/>
      <c r="E145" s="166"/>
      <c r="F145" s="167"/>
      <c r="G145" s="168"/>
      <c r="H145" s="169"/>
      <c r="I145" s="167"/>
      <c r="J145" s="170"/>
      <c r="K145" s="169"/>
      <c r="L145" s="171"/>
      <c r="M145" s="172"/>
    </row>
    <row r="146" spans="1:13" x14ac:dyDescent="0.25">
      <c r="A146" s="100" t="str">
        <f t="shared" si="23"/>
        <v>GENERAL SERVICE LESS THAN 50 KW SERVICE CLASSIFICATION</v>
      </c>
      <c r="B146" s="105" t="s">
        <v>117</v>
      </c>
      <c r="C146" s="117"/>
      <c r="D146" s="173" t="s">
        <v>183</v>
      </c>
      <c r="E146" s="158"/>
      <c r="F146" s="174"/>
      <c r="G146" s="175"/>
      <c r="H146" s="176">
        <f>SUM(H136:H142,H135)</f>
        <v>256.65528</v>
      </c>
      <c r="I146" s="177"/>
      <c r="J146" s="177"/>
      <c r="K146" s="176">
        <f>SUM(K136:K142,K135)</f>
        <v>256.65528</v>
      </c>
      <c r="L146" s="178">
        <f>K146-H146</f>
        <v>0</v>
      </c>
      <c r="M146" s="179">
        <f>IF((H146)=0,"",(L146/H146))</f>
        <v>0</v>
      </c>
    </row>
    <row r="147" spans="1:13" x14ac:dyDescent="0.25">
      <c r="A147" s="100" t="str">
        <f t="shared" si="23"/>
        <v>GENERAL SERVICE LESS THAN 50 KW SERVICE CLASSIFICATION</v>
      </c>
      <c r="B147" s="105" t="s">
        <v>117</v>
      </c>
      <c r="C147" s="117"/>
      <c r="D147" s="180" t="s">
        <v>184</v>
      </c>
      <c r="E147" s="158"/>
      <c r="F147" s="174">
        <v>0.13</v>
      </c>
      <c r="G147" s="181"/>
      <c r="H147" s="182">
        <f>H146*F147</f>
        <v>33.365186399999999</v>
      </c>
      <c r="I147" s="183">
        <v>0.13</v>
      </c>
      <c r="J147" s="121"/>
      <c r="K147" s="182">
        <f>K146*I147</f>
        <v>33.365186399999999</v>
      </c>
      <c r="L147" s="184">
        <f>K147-H147</f>
        <v>0</v>
      </c>
      <c r="M147" s="185">
        <f>IF((H147)=0,"",(L147/H147))</f>
        <v>0</v>
      </c>
    </row>
    <row r="148" spans="1:13" x14ac:dyDescent="0.25">
      <c r="A148" s="100" t="str">
        <f t="shared" si="23"/>
        <v>GENERAL SERVICE LESS THAN 50 KW SERVICE CLASSIFICATION</v>
      </c>
      <c r="B148" s="105" t="s">
        <v>117</v>
      </c>
      <c r="C148" s="117"/>
      <c r="D148" s="180" t="s">
        <v>185</v>
      </c>
      <c r="E148" s="158"/>
      <c r="F148" s="174">
        <v>0.08</v>
      </c>
      <c r="G148" s="181"/>
      <c r="H148" s="182">
        <f>H146*-F148</f>
        <v>-20.532422400000002</v>
      </c>
      <c r="I148" s="174">
        <v>0.08</v>
      </c>
      <c r="J148" s="121"/>
      <c r="K148" s="182">
        <f>K146*-I148</f>
        <v>-20.532422400000002</v>
      </c>
      <c r="L148" s="184">
        <f>K148-H148</f>
        <v>0</v>
      </c>
      <c r="M148" s="185"/>
    </row>
    <row r="149" spans="1:13" ht="15.75" thickBot="1" x14ac:dyDescent="0.3">
      <c r="A149" s="100" t="str">
        <f t="shared" si="23"/>
        <v>GENERAL SERVICE LESS THAN 50 KW SERVICE CLASSIFICATION</v>
      </c>
      <c r="B149" s="105" t="s">
        <v>186</v>
      </c>
      <c r="C149" s="117">
        <f>B4</f>
        <v>2</v>
      </c>
      <c r="D149" s="301" t="s">
        <v>187</v>
      </c>
      <c r="E149" s="301"/>
      <c r="F149" s="186"/>
      <c r="G149" s="187"/>
      <c r="H149" s="188">
        <f>H146+H147+H148</f>
        <v>269.48804400000006</v>
      </c>
      <c r="I149" s="189"/>
      <c r="J149" s="189"/>
      <c r="K149" s="190">
        <f>K146+K147+K148</f>
        <v>269.48804400000006</v>
      </c>
      <c r="L149" s="191">
        <f>K149-H149</f>
        <v>0</v>
      </c>
      <c r="M149" s="192">
        <f>IF((H149)=0,"",(L149/H149))</f>
        <v>0</v>
      </c>
    </row>
    <row r="150" spans="1:13" ht="15.75" thickBot="1" x14ac:dyDescent="0.3">
      <c r="A150" s="100" t="str">
        <f t="shared" si="23"/>
        <v>GENERAL SERVICE LESS THAN 50 KW SERVICE CLASSIFICATION</v>
      </c>
      <c r="B150" s="100" t="s">
        <v>117</v>
      </c>
      <c r="C150" s="117"/>
      <c r="D150" s="165"/>
      <c r="E150" s="166"/>
      <c r="F150" s="167"/>
      <c r="G150" s="168"/>
      <c r="H150" s="169"/>
      <c r="I150" s="167"/>
      <c r="J150" s="170"/>
      <c r="K150" s="169"/>
      <c r="L150" s="171"/>
      <c r="M150" s="172"/>
    </row>
    <row r="151" spans="1:13" hidden="1" x14ac:dyDescent="0.25">
      <c r="A151" s="100" t="str">
        <f t="shared" si="23"/>
        <v>GENERAL SERVICE LESS THAN 50 KW SERVICE CLASSIFICATION</v>
      </c>
      <c r="B151" s="100" t="s">
        <v>180</v>
      </c>
      <c r="C151" s="117"/>
      <c r="D151" s="173" t="s">
        <v>188</v>
      </c>
      <c r="E151" s="158"/>
      <c r="F151" s="174"/>
      <c r="G151" s="175"/>
      <c r="H151" s="176">
        <f>SUM(H143,H136:H139,H135)</f>
        <v>312.87528000000003</v>
      </c>
      <c r="I151" s="177"/>
      <c r="J151" s="177"/>
      <c r="K151" s="176">
        <f>SUM(K143,K136:K139,K135)</f>
        <v>312.87528000000003</v>
      </c>
      <c r="L151" s="178">
        <f>K151-H151</f>
        <v>0</v>
      </c>
      <c r="M151" s="179">
        <f>IF((H151)=0,"",(L151/H151))</f>
        <v>0</v>
      </c>
    </row>
    <row r="152" spans="1:13" hidden="1" x14ac:dyDescent="0.25">
      <c r="A152" s="100" t="str">
        <f t="shared" si="23"/>
        <v>GENERAL SERVICE LESS THAN 50 KW SERVICE CLASSIFICATION</v>
      </c>
      <c r="B152" s="100" t="s">
        <v>180</v>
      </c>
      <c r="C152" s="117"/>
      <c r="D152" s="180" t="s">
        <v>184</v>
      </c>
      <c r="E152" s="158"/>
      <c r="F152" s="174">
        <v>0.13</v>
      </c>
      <c r="G152" s="175"/>
      <c r="H152" s="182">
        <f>H151*F152</f>
        <v>40.673786400000004</v>
      </c>
      <c r="I152" s="174">
        <v>0.13</v>
      </c>
      <c r="J152" s="183"/>
      <c r="K152" s="182">
        <f>K151*I152</f>
        <v>40.673786400000004</v>
      </c>
      <c r="L152" s="184">
        <f>K152-H152</f>
        <v>0</v>
      </c>
      <c r="M152" s="185">
        <f>IF((H152)=0,"",(L152/H152))</f>
        <v>0</v>
      </c>
    </row>
    <row r="153" spans="1:13" hidden="1" x14ac:dyDescent="0.25">
      <c r="A153" s="100" t="str">
        <f t="shared" si="23"/>
        <v>GENERAL SERVICE LESS THAN 50 KW SERVICE CLASSIFICATION</v>
      </c>
      <c r="B153" s="100" t="s">
        <v>180</v>
      </c>
      <c r="C153" s="117"/>
      <c r="D153" s="180" t="s">
        <v>185</v>
      </c>
      <c r="E153" s="158"/>
      <c r="F153" s="174">
        <v>0.08</v>
      </c>
      <c r="G153" s="175"/>
      <c r="H153" s="182"/>
      <c r="I153" s="174">
        <v>0.08</v>
      </c>
      <c r="J153" s="183"/>
      <c r="K153" s="182"/>
      <c r="L153" s="184"/>
      <c r="M153" s="185"/>
    </row>
    <row r="154" spans="1:13" hidden="1" x14ac:dyDescent="0.25">
      <c r="A154" s="100" t="str">
        <f t="shared" si="23"/>
        <v>GENERAL SERVICE LESS THAN 50 KW SERVICE CLASSIFICATION</v>
      </c>
      <c r="B154" s="100" t="s">
        <v>189</v>
      </c>
      <c r="C154" s="117"/>
      <c r="D154" s="301" t="s">
        <v>188</v>
      </c>
      <c r="E154" s="301"/>
      <c r="F154" s="193"/>
      <c r="G154" s="194"/>
      <c r="H154" s="188">
        <f>SUM(H151,H152)</f>
        <v>353.54906640000002</v>
      </c>
      <c r="I154" s="195"/>
      <c r="J154" s="195"/>
      <c r="K154" s="188">
        <f>SUM(K151,K152)</f>
        <v>353.54906640000002</v>
      </c>
      <c r="L154" s="196">
        <f>K154-H154</f>
        <v>0</v>
      </c>
      <c r="M154" s="197">
        <f>IF((H154)=0,"",(L154/H154))</f>
        <v>0</v>
      </c>
    </row>
    <row r="155" spans="1:13" ht="15.75" hidden="1" thickBot="1" x14ac:dyDescent="0.3">
      <c r="A155" s="100" t="str">
        <f t="shared" si="23"/>
        <v>GENERAL SERVICE LESS THAN 50 KW SERVICE CLASSIFICATION</v>
      </c>
      <c r="B155" s="100" t="s">
        <v>180</v>
      </c>
      <c r="C155" s="117"/>
      <c r="D155" s="165"/>
      <c r="E155" s="166"/>
      <c r="F155" s="198"/>
      <c r="G155" s="199"/>
      <c r="H155" s="200"/>
      <c r="I155" s="198"/>
      <c r="J155" s="168"/>
      <c r="K155" s="200"/>
      <c r="L155" s="201"/>
      <c r="M155" s="172"/>
    </row>
    <row r="156" spans="1:13" hidden="1" x14ac:dyDescent="0.25">
      <c r="A156" s="100" t="str">
        <f t="shared" si="23"/>
        <v>GENERAL SERVICE LESS THAN 50 KW SERVICE CLASSIFICATION</v>
      </c>
      <c r="B156" s="100" t="s">
        <v>121</v>
      </c>
      <c r="C156" s="117"/>
      <c r="D156" s="173" t="s">
        <v>190</v>
      </c>
      <c r="E156" s="158"/>
      <c r="F156" s="174"/>
      <c r="G156" s="175"/>
      <c r="H156" s="176">
        <f>SUM(H144,H136:H139,H135)</f>
        <v>312.87528000000003</v>
      </c>
      <c r="I156" s="177"/>
      <c r="J156" s="177"/>
      <c r="K156" s="176">
        <f>SUM(K144,K136:K139,K135)</f>
        <v>312.87528000000003</v>
      </c>
      <c r="L156" s="178">
        <f>K156-H156</f>
        <v>0</v>
      </c>
      <c r="M156" s="179">
        <f>IF((H156)=0,"",(L156/H156))</f>
        <v>0</v>
      </c>
    </row>
    <row r="157" spans="1:13" hidden="1" x14ac:dyDescent="0.25">
      <c r="A157" s="100" t="str">
        <f t="shared" si="23"/>
        <v>GENERAL SERVICE LESS THAN 50 KW SERVICE CLASSIFICATION</v>
      </c>
      <c r="B157" s="100" t="s">
        <v>121</v>
      </c>
      <c r="C157" s="117"/>
      <c r="D157" s="180" t="s">
        <v>184</v>
      </c>
      <c r="E157" s="158"/>
      <c r="F157" s="174">
        <v>0.13</v>
      </c>
      <c r="G157" s="175"/>
      <c r="H157" s="182">
        <f>H156*F157</f>
        <v>40.673786400000004</v>
      </c>
      <c r="I157" s="174">
        <v>0.13</v>
      </c>
      <c r="J157" s="183"/>
      <c r="K157" s="182">
        <f>K156*I157</f>
        <v>40.673786400000004</v>
      </c>
      <c r="L157" s="184">
        <f>K157-H157</f>
        <v>0</v>
      </c>
      <c r="M157" s="185">
        <f>IF((H157)=0,"",(L157/H157))</f>
        <v>0</v>
      </c>
    </row>
    <row r="158" spans="1:13" hidden="1" x14ac:dyDescent="0.25">
      <c r="A158" s="100" t="str">
        <f t="shared" si="23"/>
        <v>GENERAL SERVICE LESS THAN 50 KW SERVICE CLASSIFICATION</v>
      </c>
      <c r="B158" s="100" t="s">
        <v>121</v>
      </c>
      <c r="C158" s="117"/>
      <c r="D158" s="180" t="s">
        <v>185</v>
      </c>
      <c r="E158" s="158"/>
      <c r="F158" s="174">
        <v>0.08</v>
      </c>
      <c r="G158" s="175"/>
      <c r="H158" s="182"/>
      <c r="I158" s="174">
        <v>0.08</v>
      </c>
      <c r="J158" s="183"/>
      <c r="K158" s="182"/>
      <c r="L158" s="184"/>
      <c r="M158" s="185"/>
    </row>
    <row r="159" spans="1:13" hidden="1" x14ac:dyDescent="0.25">
      <c r="A159" s="100" t="str">
        <f t="shared" si="23"/>
        <v>GENERAL SERVICE LESS THAN 50 KW SERVICE CLASSIFICATION</v>
      </c>
      <c r="B159" s="100" t="s">
        <v>191</v>
      </c>
      <c r="C159" s="117"/>
      <c r="D159" s="301" t="s">
        <v>190</v>
      </c>
      <c r="E159" s="301"/>
      <c r="F159" s="193"/>
      <c r="G159" s="194"/>
      <c r="H159" s="188">
        <f>SUM(H156,H157)</f>
        <v>353.54906640000002</v>
      </c>
      <c r="I159" s="195"/>
      <c r="J159" s="195"/>
      <c r="K159" s="188">
        <f>SUM(K156,K157)</f>
        <v>353.54906640000002</v>
      </c>
      <c r="L159" s="196">
        <f>K159-H159</f>
        <v>0</v>
      </c>
      <c r="M159" s="197">
        <f>IF((H159)=0,"",(L159/H159))</f>
        <v>0</v>
      </c>
    </row>
    <row r="160" spans="1:13" ht="15.75" hidden="1" thickBot="1" x14ac:dyDescent="0.3">
      <c r="A160" s="100" t="str">
        <f t="shared" si="23"/>
        <v>GENERAL SERVICE LESS THAN 50 KW SERVICE CLASSIFICATION</v>
      </c>
      <c r="B160" s="100" t="s">
        <v>121</v>
      </c>
      <c r="C160" s="117"/>
      <c r="D160" s="165"/>
      <c r="E160" s="166"/>
      <c r="F160" s="202"/>
      <c r="G160" s="203"/>
      <c r="H160" s="204"/>
      <c r="I160" s="202"/>
      <c r="J160" s="205"/>
      <c r="K160" s="204"/>
      <c r="L160" s="206"/>
      <c r="M160" s="207"/>
    </row>
    <row r="163" spans="1:13" x14ac:dyDescent="0.25">
      <c r="C163" s="100"/>
      <c r="D163" s="101" t="s">
        <v>134</v>
      </c>
      <c r="E163" s="302" t="str">
        <f>D5</f>
        <v>GENERAL SERVICE 50 TO 999 KW SERVICE CLASSIFICATION</v>
      </c>
      <c r="F163" s="302"/>
      <c r="G163" s="302"/>
      <c r="H163" s="302"/>
      <c r="I163" s="302"/>
      <c r="J163" s="302"/>
      <c r="K163" s="100" t="str">
        <f>IF(N5="DEMAND - INTERVAL","RTSR - INTERVAL METERED","")</f>
        <v/>
      </c>
    </row>
    <row r="164" spans="1:13" x14ac:dyDescent="0.25">
      <c r="C164" s="100"/>
      <c r="D164" s="101" t="s">
        <v>135</v>
      </c>
      <c r="E164" s="303" t="str">
        <f>H5</f>
        <v>Non-RPP (Other)</v>
      </c>
      <c r="F164" s="303"/>
      <c r="G164" s="303"/>
      <c r="H164" s="102"/>
      <c r="I164" s="102"/>
    </row>
    <row r="165" spans="1:13" ht="15.75" x14ac:dyDescent="0.25">
      <c r="C165" s="100"/>
      <c r="D165" s="101" t="s">
        <v>136</v>
      </c>
      <c r="E165" s="103">
        <f>K5</f>
        <v>328500</v>
      </c>
      <c r="F165" s="104" t="s">
        <v>137</v>
      </c>
      <c r="G165" s="105"/>
      <c r="J165" s="106"/>
      <c r="K165" s="106"/>
      <c r="L165" s="106"/>
      <c r="M165" s="106"/>
    </row>
    <row r="166" spans="1:13" ht="15.75" x14ac:dyDescent="0.25">
      <c r="C166" s="100"/>
      <c r="D166" s="101" t="s">
        <v>138</v>
      </c>
      <c r="E166" s="103">
        <f>L5</f>
        <v>500</v>
      </c>
      <c r="F166" s="107" t="s">
        <v>139</v>
      </c>
      <c r="G166" s="108"/>
      <c r="H166" s="109"/>
      <c r="I166" s="109"/>
      <c r="J166" s="109"/>
    </row>
    <row r="167" spans="1:13" x14ac:dyDescent="0.25">
      <c r="C167" s="100"/>
      <c r="D167" s="101" t="s">
        <v>140</v>
      </c>
      <c r="E167" s="110">
        <f>I5</f>
        <v>1.056</v>
      </c>
    </row>
    <row r="168" spans="1:13" x14ac:dyDescent="0.25">
      <c r="C168" s="100"/>
      <c r="D168" s="101" t="s">
        <v>141</v>
      </c>
      <c r="E168" s="110">
        <f>J5</f>
        <v>1.056</v>
      </c>
    </row>
    <row r="169" spans="1:13" x14ac:dyDescent="0.25">
      <c r="C169" s="100"/>
      <c r="D169" s="105"/>
    </row>
    <row r="170" spans="1:13" x14ac:dyDescent="0.25">
      <c r="C170" s="100"/>
      <c r="D170" s="105"/>
      <c r="E170" s="111"/>
      <c r="F170" s="304" t="s">
        <v>142</v>
      </c>
      <c r="G170" s="305"/>
      <c r="H170" s="306"/>
      <c r="I170" s="304" t="s">
        <v>143</v>
      </c>
      <c r="J170" s="305"/>
      <c r="K170" s="306"/>
      <c r="L170" s="304" t="s">
        <v>144</v>
      </c>
      <c r="M170" s="306"/>
    </row>
    <row r="171" spans="1:13" x14ac:dyDescent="0.25">
      <c r="C171" s="100"/>
      <c r="D171" s="105"/>
      <c r="E171" s="295"/>
      <c r="F171" s="112" t="s">
        <v>145</v>
      </c>
      <c r="G171" s="112" t="s">
        <v>146</v>
      </c>
      <c r="H171" s="113" t="s">
        <v>147</v>
      </c>
      <c r="I171" s="112" t="s">
        <v>145</v>
      </c>
      <c r="J171" s="114" t="s">
        <v>146</v>
      </c>
      <c r="K171" s="113" t="s">
        <v>147</v>
      </c>
      <c r="L171" s="297" t="s">
        <v>148</v>
      </c>
      <c r="M171" s="299" t="s">
        <v>149</v>
      </c>
    </row>
    <row r="172" spans="1:13" x14ac:dyDescent="0.25">
      <c r="C172" s="100"/>
      <c r="D172" s="105"/>
      <c r="E172" s="296"/>
      <c r="F172" s="115" t="s">
        <v>150</v>
      </c>
      <c r="G172" s="115"/>
      <c r="H172" s="116" t="s">
        <v>150</v>
      </c>
      <c r="I172" s="115" t="s">
        <v>150</v>
      </c>
      <c r="J172" s="116"/>
      <c r="K172" s="116" t="s">
        <v>150</v>
      </c>
      <c r="L172" s="298"/>
      <c r="M172" s="300"/>
    </row>
    <row r="173" spans="1:13" x14ac:dyDescent="0.25">
      <c r="A173" s="100" t="str">
        <f>$E163</f>
        <v>GENERAL SERVICE 50 TO 999 KW SERVICE CLASSIFICATION</v>
      </c>
      <c r="C173" s="117"/>
      <c r="D173" s="118" t="s">
        <v>151</v>
      </c>
      <c r="E173" s="119"/>
      <c r="F173" s="120">
        <v>86.83</v>
      </c>
      <c r="G173" s="121">
        <v>1</v>
      </c>
      <c r="H173" s="122">
        <f>G173*F173</f>
        <v>86.83</v>
      </c>
      <c r="I173" s="123">
        <v>87.87</v>
      </c>
      <c r="J173" s="124">
        <f>G173</f>
        <v>1</v>
      </c>
      <c r="K173" s="122">
        <f>H173</f>
        <v>86.83</v>
      </c>
      <c r="L173" s="125">
        <f t="shared" ref="L173:L194" si="28">K173-H173</f>
        <v>0</v>
      </c>
      <c r="M173" s="126">
        <f>IF(ISERROR(L173/H173), "", L173/H173)</f>
        <v>0</v>
      </c>
    </row>
    <row r="174" spans="1:13" x14ac:dyDescent="0.25">
      <c r="A174" s="100" t="str">
        <f>A173</f>
        <v>GENERAL SERVICE 50 TO 999 KW SERVICE CLASSIFICATION</v>
      </c>
      <c r="C174" s="117"/>
      <c r="D174" s="118" t="s">
        <v>152</v>
      </c>
      <c r="E174" s="119"/>
      <c r="F174" s="127">
        <v>3.8580000000000001</v>
      </c>
      <c r="G174" s="121">
        <f>IF($E166&gt;0, $E166, $E165)</f>
        <v>500</v>
      </c>
      <c r="H174" s="122">
        <f t="shared" ref="H174:H186" si="29">G174*F174</f>
        <v>1929</v>
      </c>
      <c r="I174" s="128">
        <v>3.9043000000000001</v>
      </c>
      <c r="J174" s="124">
        <f>IF($E166&gt;0, $E166, $E165)</f>
        <v>500</v>
      </c>
      <c r="K174" s="122">
        <f>H174</f>
        <v>1929</v>
      </c>
      <c r="L174" s="125">
        <f t="shared" si="28"/>
        <v>0</v>
      </c>
      <c r="M174" s="126">
        <f t="shared" ref="M174:M184" si="30">IF(ISERROR(L174/H174), "", L174/H174)</f>
        <v>0</v>
      </c>
    </row>
    <row r="175" spans="1:13" x14ac:dyDescent="0.25">
      <c r="A175" s="100" t="str">
        <f t="shared" ref="A175:A216" si="31">A174</f>
        <v>GENERAL SERVICE 50 TO 999 KW SERVICE CLASSIFICATION</v>
      </c>
      <c r="C175" s="117"/>
      <c r="D175" s="118" t="s">
        <v>153</v>
      </c>
      <c r="E175" s="119"/>
      <c r="F175" s="127"/>
      <c r="G175" s="121">
        <f>IF($E166&gt;0, $E166, $E165)</f>
        <v>500</v>
      </c>
      <c r="H175" s="122">
        <v>0</v>
      </c>
      <c r="I175" s="128"/>
      <c r="J175" s="124">
        <f>IF($E166&gt;0, $E166, $E165)</f>
        <v>500</v>
      </c>
      <c r="K175" s="122">
        <v>0</v>
      </c>
      <c r="L175" s="125"/>
      <c r="M175" s="126"/>
    </row>
    <row r="176" spans="1:13" x14ac:dyDescent="0.25">
      <c r="A176" s="100" t="str">
        <f t="shared" si="31"/>
        <v>GENERAL SERVICE 50 TO 999 KW SERVICE CLASSIFICATION</v>
      </c>
      <c r="C176" s="117"/>
      <c r="D176" s="118" t="s">
        <v>154</v>
      </c>
      <c r="E176" s="119"/>
      <c r="F176" s="127"/>
      <c r="G176" s="121">
        <f>IF($E166&gt;0, $E166, $E165)</f>
        <v>500</v>
      </c>
      <c r="H176" s="122">
        <v>0</v>
      </c>
      <c r="I176" s="128"/>
      <c r="J176" s="121">
        <f>IF($E166&gt;0, $E166, $E165)</f>
        <v>500</v>
      </c>
      <c r="K176" s="122">
        <v>0</v>
      </c>
      <c r="L176" s="125">
        <f>K176-H176</f>
        <v>0</v>
      </c>
      <c r="M176" s="126" t="str">
        <f>IF(ISERROR(L176/H176), "", L176/H176)</f>
        <v/>
      </c>
    </row>
    <row r="177" spans="1:13" x14ac:dyDescent="0.25">
      <c r="A177" s="100" t="str">
        <f t="shared" si="31"/>
        <v>GENERAL SERVICE 50 TO 999 KW SERVICE CLASSIFICATION</v>
      </c>
      <c r="C177" s="117"/>
      <c r="D177" s="129" t="s">
        <v>155</v>
      </c>
      <c r="E177" s="119"/>
      <c r="F177" s="120">
        <v>0</v>
      </c>
      <c r="G177" s="121">
        <v>1</v>
      </c>
      <c r="H177" s="122">
        <f t="shared" si="29"/>
        <v>0</v>
      </c>
      <c r="I177" s="123">
        <v>0</v>
      </c>
      <c r="J177" s="124">
        <f>G177</f>
        <v>1</v>
      </c>
      <c r="K177" s="122">
        <f t="shared" ref="K177:K184" si="32">J177*I177</f>
        <v>0</v>
      </c>
      <c r="L177" s="125">
        <f t="shared" si="28"/>
        <v>0</v>
      </c>
      <c r="M177" s="126" t="str">
        <f t="shared" si="30"/>
        <v/>
      </c>
    </row>
    <row r="178" spans="1:13" x14ac:dyDescent="0.25">
      <c r="A178" s="100" t="str">
        <f t="shared" si="31"/>
        <v>GENERAL SERVICE 50 TO 999 KW SERVICE CLASSIFICATION</v>
      </c>
      <c r="C178" s="117"/>
      <c r="D178" s="118" t="s">
        <v>156</v>
      </c>
      <c r="E178" s="119"/>
      <c r="F178" s="127">
        <v>0</v>
      </c>
      <c r="G178" s="121">
        <f>IF($E166&gt;0, $E166, $E165)</f>
        <v>500</v>
      </c>
      <c r="H178" s="122">
        <f t="shared" si="29"/>
        <v>0</v>
      </c>
      <c r="I178" s="128">
        <v>0</v>
      </c>
      <c r="J178" s="124">
        <f>IF($E166&gt;0, $E166, $E165)</f>
        <v>500</v>
      </c>
      <c r="K178" s="122">
        <f t="shared" si="32"/>
        <v>0</v>
      </c>
      <c r="L178" s="125">
        <f t="shared" si="28"/>
        <v>0</v>
      </c>
      <c r="M178" s="126" t="str">
        <f t="shared" si="30"/>
        <v/>
      </c>
    </row>
    <row r="179" spans="1:13" x14ac:dyDescent="0.25">
      <c r="A179" s="100" t="str">
        <f t="shared" si="31"/>
        <v>GENERAL SERVICE 50 TO 999 KW SERVICE CLASSIFICATION</v>
      </c>
      <c r="B179" s="130" t="s">
        <v>157</v>
      </c>
      <c r="C179" s="117">
        <f>B5</f>
        <v>3</v>
      </c>
      <c r="D179" s="131" t="s">
        <v>158</v>
      </c>
      <c r="E179" s="132"/>
      <c r="F179" s="133"/>
      <c r="G179" s="134"/>
      <c r="H179" s="135">
        <f>SUM(H173:H178)</f>
        <v>2015.83</v>
      </c>
      <c r="I179" s="136"/>
      <c r="J179" s="137"/>
      <c r="K179" s="135">
        <f>SUM(K173:K178)</f>
        <v>2015.83</v>
      </c>
      <c r="L179" s="138">
        <f t="shared" si="28"/>
        <v>0</v>
      </c>
      <c r="M179" s="139">
        <f>IF((H179)=0,"",(L179/H179))</f>
        <v>0</v>
      </c>
    </row>
    <row r="180" spans="1:13" x14ac:dyDescent="0.25">
      <c r="A180" s="100" t="str">
        <f t="shared" si="31"/>
        <v>GENERAL SERVICE 50 TO 999 KW SERVICE CLASSIFICATION</v>
      </c>
      <c r="C180" s="117"/>
      <c r="D180" s="140" t="s">
        <v>159</v>
      </c>
      <c r="E180" s="119"/>
      <c r="F180" s="127">
        <f>IF((E165*12&gt;=150000), 0, IF(E164="RPP",(F196*0.65+F197*0.17+F198*0.18),IF(E164="Non-RPP (Retailer)",F199,F200)))</f>
        <v>0</v>
      </c>
      <c r="G180" s="141">
        <f>IF(F180=0, 0, $E165*E167-E165)</f>
        <v>0</v>
      </c>
      <c r="H180" s="122">
        <f>G180*F180</f>
        <v>0</v>
      </c>
      <c r="I180" s="128">
        <f>IF((E165*12&gt;=150000), 0, IF(E164="RPP",(I196*0.65+I197*0.17+I198*0.18),IF(E164="Non-RPP (Retailer)",I199,I200)))</f>
        <v>0</v>
      </c>
      <c r="J180" s="141">
        <f>IF(I180=0, 0, E165*E168-E165)</f>
        <v>0</v>
      </c>
      <c r="K180" s="122">
        <f>J180*I180</f>
        <v>0</v>
      </c>
      <c r="L180" s="125">
        <f>K180-H180</f>
        <v>0</v>
      </c>
      <c r="M180" s="126" t="str">
        <f>IF(ISERROR(L180/H180), "", L180/H180)</f>
        <v/>
      </c>
    </row>
    <row r="181" spans="1:13" ht="25.5" x14ac:dyDescent="0.25">
      <c r="A181" s="100" t="str">
        <f t="shared" si="31"/>
        <v>GENERAL SERVICE 50 TO 999 KW SERVICE CLASSIFICATION</v>
      </c>
      <c r="C181" s="117"/>
      <c r="D181" s="140" t="s">
        <v>160</v>
      </c>
      <c r="E181" s="119"/>
      <c r="F181" s="127">
        <v>-0.70650000000000002</v>
      </c>
      <c r="G181" s="142">
        <f>IF($E166&gt;0, $E166, $E165)</f>
        <v>500</v>
      </c>
      <c r="H181" s="122">
        <f t="shared" si="29"/>
        <v>-353.25</v>
      </c>
      <c r="I181" s="128">
        <v>-1.7801</v>
      </c>
      <c r="J181" s="142">
        <f>IF($E166&gt;0, $E166, $E165)</f>
        <v>500</v>
      </c>
      <c r="K181" s="122">
        <f>H181</f>
        <v>-353.25</v>
      </c>
      <c r="L181" s="125">
        <f t="shared" si="28"/>
        <v>0</v>
      </c>
      <c r="M181" s="126">
        <f t="shared" si="30"/>
        <v>0</v>
      </c>
    </row>
    <row r="182" spans="1:13" x14ac:dyDescent="0.25">
      <c r="A182" s="100" t="str">
        <f t="shared" si="31"/>
        <v>GENERAL SERVICE 50 TO 999 KW SERVICE CLASSIFICATION</v>
      </c>
      <c r="C182" s="117"/>
      <c r="D182" s="140" t="s">
        <v>161</v>
      </c>
      <c r="E182" s="119"/>
      <c r="F182" s="127">
        <v>-2.76E-2</v>
      </c>
      <c r="G182" s="142">
        <f>IF($E166&gt;0, $E166, $E165)</f>
        <v>500</v>
      </c>
      <c r="H182" s="122">
        <f>G182*F182</f>
        <v>-13.799999999999999</v>
      </c>
      <c r="I182" s="128">
        <v>0</v>
      </c>
      <c r="J182" s="142">
        <f>IF($E166&gt;0, $E166, $E165)</f>
        <v>500</v>
      </c>
      <c r="K182" s="122">
        <f>H182</f>
        <v>-13.799999999999999</v>
      </c>
      <c r="L182" s="125">
        <f t="shared" si="28"/>
        <v>0</v>
      </c>
      <c r="M182" s="126">
        <f t="shared" si="30"/>
        <v>0</v>
      </c>
    </row>
    <row r="183" spans="1:13" x14ac:dyDescent="0.25">
      <c r="A183" s="100" t="str">
        <f t="shared" si="31"/>
        <v>GENERAL SERVICE 50 TO 999 KW SERVICE CLASSIFICATION</v>
      </c>
      <c r="C183" s="117"/>
      <c r="D183" s="140" t="s">
        <v>162</v>
      </c>
      <c r="E183" s="119"/>
      <c r="F183" s="127">
        <v>-1E-3</v>
      </c>
      <c r="G183" s="142">
        <f>E165</f>
        <v>328500</v>
      </c>
      <c r="H183" s="122">
        <f>G183*F183</f>
        <v>-328.5</v>
      </c>
      <c r="I183" s="128">
        <v>1.37E-2</v>
      </c>
      <c r="J183" s="142">
        <f>E165</f>
        <v>328500</v>
      </c>
      <c r="K183" s="122">
        <f t="shared" si="32"/>
        <v>4500.45</v>
      </c>
      <c r="L183" s="125">
        <f t="shared" si="28"/>
        <v>4828.95</v>
      </c>
      <c r="M183" s="126">
        <f t="shared" si="30"/>
        <v>-14.7</v>
      </c>
    </row>
    <row r="184" spans="1:13" x14ac:dyDescent="0.25">
      <c r="A184" s="100" t="str">
        <f t="shared" si="31"/>
        <v>GENERAL SERVICE 50 TO 999 KW SERVICE CLASSIFICATION</v>
      </c>
      <c r="C184" s="117"/>
      <c r="D184" s="143" t="s">
        <v>163</v>
      </c>
      <c r="E184" s="119"/>
      <c r="F184" s="127">
        <v>1.0483</v>
      </c>
      <c r="G184" s="142">
        <f>IF($E166&gt;0, $E166, $E165)</f>
        <v>500</v>
      </c>
      <c r="H184" s="122">
        <f t="shared" si="29"/>
        <v>524.15</v>
      </c>
      <c r="I184" s="128">
        <v>1.0483</v>
      </c>
      <c r="J184" s="142">
        <f>IF($E166&gt;0, $E166, $E165)</f>
        <v>500</v>
      </c>
      <c r="K184" s="122">
        <f t="shared" si="32"/>
        <v>524.15</v>
      </c>
      <c r="L184" s="125">
        <f t="shared" si="28"/>
        <v>0</v>
      </c>
      <c r="M184" s="126">
        <f t="shared" si="30"/>
        <v>0</v>
      </c>
    </row>
    <row r="185" spans="1:13" ht="25.5" x14ac:dyDescent="0.25">
      <c r="A185" s="100" t="str">
        <f t="shared" si="31"/>
        <v>GENERAL SERVICE 50 TO 999 KW SERVICE CLASSIFICATION</v>
      </c>
      <c r="C185" s="117"/>
      <c r="D185" s="144" t="s">
        <v>164</v>
      </c>
      <c r="E185" s="119"/>
      <c r="F185" s="145">
        <f>IF(OR(ISNUMBER(SEARCH("RESIDENTIAL", E163))=TRUE, ISNUMBER(SEARCH("GENERAL SERVICE LESS THAN 50", E163))=TRUE), SME, 0)</f>
        <v>0</v>
      </c>
      <c r="G185" s="121">
        <v>1</v>
      </c>
      <c r="H185" s="122">
        <f>G185*F185</f>
        <v>0</v>
      </c>
      <c r="I185" s="146">
        <f>IF(OR(ISNUMBER(SEARCH("RESIDENTIAL", E163))=TRUE, ISNUMBER(SEARCH("GENERAL SERVICE LESS THAN 50", E163))=TRUE), SME, 0)</f>
        <v>0</v>
      </c>
      <c r="J185" s="121">
        <v>1</v>
      </c>
      <c r="K185" s="122">
        <f>J185*I185</f>
        <v>0</v>
      </c>
      <c r="L185" s="125">
        <f t="shared" si="28"/>
        <v>0</v>
      </c>
      <c r="M185" s="126" t="str">
        <f>IF(ISERROR(L185/H185), "", L185/H185)</f>
        <v/>
      </c>
    </row>
    <row r="186" spans="1:13" x14ac:dyDescent="0.25">
      <c r="A186" s="100" t="str">
        <f t="shared" si="31"/>
        <v>GENERAL SERVICE 50 TO 999 KW SERVICE CLASSIFICATION</v>
      </c>
      <c r="C186" s="117"/>
      <c r="D186" s="143" t="s">
        <v>165</v>
      </c>
      <c r="E186" s="119"/>
      <c r="F186" s="120">
        <v>0</v>
      </c>
      <c r="G186" s="121">
        <v>1</v>
      </c>
      <c r="H186" s="122">
        <f t="shared" si="29"/>
        <v>0</v>
      </c>
      <c r="I186" s="123">
        <v>0</v>
      </c>
      <c r="J186" s="121">
        <v>1</v>
      </c>
      <c r="K186" s="122">
        <f>J186*I186</f>
        <v>0</v>
      </c>
      <c r="L186" s="125">
        <f>K186-H186</f>
        <v>0</v>
      </c>
      <c r="M186" s="126" t="str">
        <f>IF(ISERROR(L186/H186), "", L186/H186)</f>
        <v/>
      </c>
    </row>
    <row r="187" spans="1:13" x14ac:dyDescent="0.25">
      <c r="A187" s="100" t="str">
        <f t="shared" si="31"/>
        <v>GENERAL SERVICE 50 TO 999 KW SERVICE CLASSIFICATION</v>
      </c>
      <c r="C187" s="117"/>
      <c r="D187" s="143" t="s">
        <v>166</v>
      </c>
      <c r="E187" s="119"/>
      <c r="F187" s="127"/>
      <c r="G187" s="142">
        <f>IF($E166&gt;0, $E166, $E165)</f>
        <v>500</v>
      </c>
      <c r="H187" s="122">
        <f>G187*F187</f>
        <v>0</v>
      </c>
      <c r="I187" s="128">
        <v>0</v>
      </c>
      <c r="J187" s="142">
        <f>IF($E166&gt;0, $E166, $E165)</f>
        <v>500</v>
      </c>
      <c r="K187" s="122">
        <f>J187*I187</f>
        <v>0</v>
      </c>
      <c r="L187" s="125">
        <f t="shared" si="28"/>
        <v>0</v>
      </c>
      <c r="M187" s="126" t="str">
        <f>IF(ISERROR(L187/H187), "", L187/H187)</f>
        <v/>
      </c>
    </row>
    <row r="188" spans="1:13" ht="25.5" x14ac:dyDescent="0.25">
      <c r="A188" s="100" t="str">
        <f t="shared" si="31"/>
        <v>GENERAL SERVICE 50 TO 999 KW SERVICE CLASSIFICATION</v>
      </c>
      <c r="B188" s="105" t="s">
        <v>167</v>
      </c>
      <c r="C188" s="117">
        <f>B5</f>
        <v>3</v>
      </c>
      <c r="D188" s="147" t="s">
        <v>168</v>
      </c>
      <c r="E188" s="148"/>
      <c r="F188" s="149"/>
      <c r="G188" s="150"/>
      <c r="H188" s="151">
        <f>SUM(H179:H187)</f>
        <v>1844.4299999999998</v>
      </c>
      <c r="I188" s="152"/>
      <c r="J188" s="153"/>
      <c r="K188" s="151">
        <f>SUM(K179:K187)</f>
        <v>6673.3799999999992</v>
      </c>
      <c r="L188" s="138">
        <f t="shared" si="28"/>
        <v>4828.9499999999989</v>
      </c>
      <c r="M188" s="139">
        <f>IF((H188)=0,"",(L188/H188))</f>
        <v>2.6181259250825453</v>
      </c>
    </row>
    <row r="189" spans="1:13" x14ac:dyDescent="0.25">
      <c r="A189" s="100" t="str">
        <f t="shared" si="31"/>
        <v>GENERAL SERVICE 50 TO 999 KW SERVICE CLASSIFICATION</v>
      </c>
      <c r="C189" s="117"/>
      <c r="D189" s="154" t="s">
        <v>169</v>
      </c>
      <c r="E189" s="119"/>
      <c r="F189" s="127">
        <v>2.6217000000000001</v>
      </c>
      <c r="G189" s="141">
        <f>IF($E166&gt;0, $E166, $E165*$E167)</f>
        <v>500</v>
      </c>
      <c r="H189" s="122">
        <f>G189*F189</f>
        <v>1310.8500000000001</v>
      </c>
      <c r="I189" s="128">
        <v>2.4868999999999999</v>
      </c>
      <c r="J189" s="141">
        <f>IF($E166&gt;0, $E166, $E165*$E168)</f>
        <v>500</v>
      </c>
      <c r="K189" s="122">
        <f>H189</f>
        <v>1310.8500000000001</v>
      </c>
      <c r="L189" s="125">
        <f t="shared" si="28"/>
        <v>0</v>
      </c>
      <c r="M189" s="126">
        <f>IF(ISERROR(L189/H189), "", L189/H189)</f>
        <v>0</v>
      </c>
    </row>
    <row r="190" spans="1:13" ht="25.5" x14ac:dyDescent="0.25">
      <c r="A190" s="100" t="str">
        <f t="shared" si="31"/>
        <v>GENERAL SERVICE 50 TO 999 KW SERVICE CLASSIFICATION</v>
      </c>
      <c r="C190" s="117"/>
      <c r="D190" s="155" t="s">
        <v>170</v>
      </c>
      <c r="E190" s="119"/>
      <c r="F190" s="127">
        <v>2.2145999999999999</v>
      </c>
      <c r="G190" s="141">
        <f>IF($E166&gt;0, $E166, $E165*$E167)</f>
        <v>500</v>
      </c>
      <c r="H190" s="122">
        <f>G190*F190</f>
        <v>1107.3</v>
      </c>
      <c r="I190" s="128">
        <v>2.0933000000000002</v>
      </c>
      <c r="J190" s="141">
        <f>IF($E166&gt;0, $E166, $E165*$E168)</f>
        <v>500</v>
      </c>
      <c r="K190" s="122">
        <f>H190</f>
        <v>1107.3</v>
      </c>
      <c r="L190" s="125">
        <f t="shared" si="28"/>
        <v>0</v>
      </c>
      <c r="M190" s="126">
        <f>IF(ISERROR(L190/H190), "", L190/H190)</f>
        <v>0</v>
      </c>
    </row>
    <row r="191" spans="1:13" ht="25.5" x14ac:dyDescent="0.25">
      <c r="A191" s="100" t="str">
        <f t="shared" si="31"/>
        <v>GENERAL SERVICE 50 TO 999 KW SERVICE CLASSIFICATION</v>
      </c>
      <c r="B191" s="105" t="s">
        <v>171</v>
      </c>
      <c r="C191" s="117">
        <f>B5</f>
        <v>3</v>
      </c>
      <c r="D191" s="147" t="s">
        <v>172</v>
      </c>
      <c r="E191" s="132"/>
      <c r="F191" s="149"/>
      <c r="G191" s="150"/>
      <c r="H191" s="151">
        <f>SUM(H188:H190)</f>
        <v>4262.58</v>
      </c>
      <c r="I191" s="152"/>
      <c r="J191" s="137"/>
      <c r="K191" s="151">
        <f>SUM(K188:K190)</f>
        <v>9091.5299999999988</v>
      </c>
      <c r="L191" s="138">
        <f t="shared" si="28"/>
        <v>4828.9499999999989</v>
      </c>
      <c r="M191" s="139">
        <f>IF((H191)=0,"",(L191/H191))</f>
        <v>1.1328702335205436</v>
      </c>
    </row>
    <row r="192" spans="1:13" ht="25.5" x14ac:dyDescent="0.25">
      <c r="A192" s="100" t="str">
        <f t="shared" si="31"/>
        <v>GENERAL SERVICE 50 TO 999 KW SERVICE CLASSIFICATION</v>
      </c>
      <c r="C192" s="117"/>
      <c r="D192" s="156" t="s">
        <v>173</v>
      </c>
      <c r="E192" s="119"/>
      <c r="F192" s="127">
        <v>3.6000000000000003E-3</v>
      </c>
      <c r="G192" s="141">
        <f>E165*E167</f>
        <v>346896</v>
      </c>
      <c r="H192" s="157">
        <f t="shared" ref="H192:H198" si="33">G192*F192</f>
        <v>1248.8256000000001</v>
      </c>
      <c r="I192" s="128">
        <v>3.6000000000000003E-3</v>
      </c>
      <c r="J192" s="141">
        <f>E165*E168</f>
        <v>346896</v>
      </c>
      <c r="K192" s="157">
        <f t="shared" ref="K192:K198" si="34">J192*I192</f>
        <v>1248.8256000000001</v>
      </c>
      <c r="L192" s="125">
        <f t="shared" si="28"/>
        <v>0</v>
      </c>
      <c r="M192" s="126">
        <f t="shared" ref="M192:M200" si="35">IF(ISERROR(L192/H192), "", L192/H192)</f>
        <v>0</v>
      </c>
    </row>
    <row r="193" spans="1:13" ht="25.5" x14ac:dyDescent="0.25">
      <c r="A193" s="100" t="str">
        <f t="shared" si="31"/>
        <v>GENERAL SERVICE 50 TO 999 KW SERVICE CLASSIFICATION</v>
      </c>
      <c r="C193" s="117"/>
      <c r="D193" s="156" t="s">
        <v>174</v>
      </c>
      <c r="E193" s="119"/>
      <c r="F193" s="127">
        <f>'[1]17. Regulatory Charges'!$D$16</f>
        <v>2.9999999999999997E-4</v>
      </c>
      <c r="G193" s="141">
        <f>E165*E167</f>
        <v>346896</v>
      </c>
      <c r="H193" s="157">
        <f t="shared" si="33"/>
        <v>104.0688</v>
      </c>
      <c r="I193" s="128">
        <v>2.9999999999999997E-4</v>
      </c>
      <c r="J193" s="141">
        <f>E165*E168</f>
        <v>346896</v>
      </c>
      <c r="K193" s="157">
        <f t="shared" si="34"/>
        <v>104.0688</v>
      </c>
      <c r="L193" s="125">
        <f t="shared" si="28"/>
        <v>0</v>
      </c>
      <c r="M193" s="126">
        <f t="shared" si="35"/>
        <v>0</v>
      </c>
    </row>
    <row r="194" spans="1:13" x14ac:dyDescent="0.25">
      <c r="A194" s="100" t="str">
        <f t="shared" si="31"/>
        <v>GENERAL SERVICE 50 TO 999 KW SERVICE CLASSIFICATION</v>
      </c>
      <c r="C194" s="117"/>
      <c r="D194" s="158" t="s">
        <v>175</v>
      </c>
      <c r="E194" s="119"/>
      <c r="F194" s="145">
        <v>0.25</v>
      </c>
      <c r="G194" s="121">
        <v>1</v>
      </c>
      <c r="H194" s="157">
        <f t="shared" si="33"/>
        <v>0.25</v>
      </c>
      <c r="I194" s="146">
        <f>'[1]17. Regulatory Charges'!$D$17</f>
        <v>0.25</v>
      </c>
      <c r="J194" s="124">
        <v>1</v>
      </c>
      <c r="K194" s="157">
        <f t="shared" si="34"/>
        <v>0.25</v>
      </c>
      <c r="L194" s="125">
        <f t="shared" si="28"/>
        <v>0</v>
      </c>
      <c r="M194" s="126">
        <f t="shared" si="35"/>
        <v>0</v>
      </c>
    </row>
    <row r="195" spans="1:13" ht="25.5" x14ac:dyDescent="0.25">
      <c r="A195" s="100" t="str">
        <f t="shared" si="31"/>
        <v>GENERAL SERVICE 50 TO 999 KW SERVICE CLASSIFICATION</v>
      </c>
      <c r="C195" s="117"/>
      <c r="D195" s="156" t="s">
        <v>176</v>
      </c>
      <c r="E195" s="119"/>
      <c r="F195" s="127"/>
      <c r="G195" s="141"/>
      <c r="H195" s="157"/>
      <c r="I195" s="128"/>
      <c r="J195" s="141"/>
      <c r="K195" s="157"/>
      <c r="L195" s="125"/>
      <c r="M195" s="126"/>
    </row>
    <row r="196" spans="1:13" hidden="1" x14ac:dyDescent="0.25">
      <c r="A196" s="100" t="str">
        <f t="shared" si="31"/>
        <v>GENERAL SERVICE 50 TO 999 KW SERVICE CLASSIFICATION</v>
      </c>
      <c r="B196" s="105" t="s">
        <v>117</v>
      </c>
      <c r="C196" s="117"/>
      <c r="D196" s="159" t="s">
        <v>177</v>
      </c>
      <c r="E196" s="119"/>
      <c r="F196" s="160">
        <f>OffPeak</f>
        <v>6.5000000000000002E-2</v>
      </c>
      <c r="G196" s="161">
        <f>IF(AND(E165*12&gt;=150000),0.65*E165*E167,0.65*E165)</f>
        <v>225482.40000000002</v>
      </c>
      <c r="H196" s="157">
        <f t="shared" si="33"/>
        <v>14656.356000000002</v>
      </c>
      <c r="I196" s="162">
        <f>OffPeak</f>
        <v>6.5000000000000002E-2</v>
      </c>
      <c r="J196" s="161">
        <f>IF(AND(E165*12&gt;=150000),0.65*E165*E168,0.65*E165)</f>
        <v>225482.40000000002</v>
      </c>
      <c r="K196" s="157">
        <f t="shared" si="34"/>
        <v>14656.356000000002</v>
      </c>
      <c r="L196" s="125">
        <f>K196-H196</f>
        <v>0</v>
      </c>
      <c r="M196" s="126">
        <f t="shared" si="35"/>
        <v>0</v>
      </c>
    </row>
    <row r="197" spans="1:13" hidden="1" x14ac:dyDescent="0.25">
      <c r="A197" s="100" t="str">
        <f t="shared" si="31"/>
        <v>GENERAL SERVICE 50 TO 999 KW SERVICE CLASSIFICATION</v>
      </c>
      <c r="B197" s="105" t="s">
        <v>117</v>
      </c>
      <c r="C197" s="117"/>
      <c r="D197" s="159" t="s">
        <v>178</v>
      </c>
      <c r="E197" s="119"/>
      <c r="F197" s="160">
        <f>MidPeak</f>
        <v>9.4E-2</v>
      </c>
      <c r="G197" s="161">
        <f>IF(AND(E165*12&gt;=150000),0.17*E165*E167,0.17*E165)</f>
        <v>58972.320000000007</v>
      </c>
      <c r="H197" s="157">
        <f t="shared" si="33"/>
        <v>5543.3980800000008</v>
      </c>
      <c r="I197" s="162">
        <f>MidPeak</f>
        <v>9.4E-2</v>
      </c>
      <c r="J197" s="161">
        <f>IF(AND(E165*12&gt;=150000),0.17*E165*E168,0.17*E165)</f>
        <v>58972.320000000007</v>
      </c>
      <c r="K197" s="157">
        <f t="shared" si="34"/>
        <v>5543.3980800000008</v>
      </c>
      <c r="L197" s="125">
        <f>K197-H197</f>
        <v>0</v>
      </c>
      <c r="M197" s="126">
        <f t="shared" si="35"/>
        <v>0</v>
      </c>
    </row>
    <row r="198" spans="1:13" hidden="1" x14ac:dyDescent="0.25">
      <c r="A198" s="100" t="str">
        <f t="shared" si="31"/>
        <v>GENERAL SERVICE 50 TO 999 KW SERVICE CLASSIFICATION</v>
      </c>
      <c r="B198" s="105" t="s">
        <v>117</v>
      </c>
      <c r="C198" s="117"/>
      <c r="D198" s="105" t="s">
        <v>179</v>
      </c>
      <c r="E198" s="119"/>
      <c r="F198" s="160">
        <f>OnPeak</f>
        <v>0.13200000000000001</v>
      </c>
      <c r="G198" s="161">
        <f>IF(AND(E165*12&gt;=150000),0.18*E165*E167,0.18*E165)</f>
        <v>62441.280000000006</v>
      </c>
      <c r="H198" s="157">
        <f t="shared" si="33"/>
        <v>8242.2489600000008</v>
      </c>
      <c r="I198" s="162">
        <f>OnPeak</f>
        <v>0.13200000000000001</v>
      </c>
      <c r="J198" s="161">
        <f>IF(AND(E165*12&gt;=150000),0.18*E165*E168,0.18*E165)</f>
        <v>62441.280000000006</v>
      </c>
      <c r="K198" s="157">
        <f t="shared" si="34"/>
        <v>8242.2489600000008</v>
      </c>
      <c r="L198" s="125">
        <f>K198-H198</f>
        <v>0</v>
      </c>
      <c r="M198" s="126">
        <f t="shared" si="35"/>
        <v>0</v>
      </c>
    </row>
    <row r="199" spans="1:13" hidden="1" x14ac:dyDescent="0.25">
      <c r="A199" s="100" t="str">
        <f t="shared" si="31"/>
        <v>GENERAL SERVICE 50 TO 999 KW SERVICE CLASSIFICATION</v>
      </c>
      <c r="B199" s="100" t="s">
        <v>180</v>
      </c>
      <c r="C199" s="117"/>
      <c r="D199" s="159" t="s">
        <v>181</v>
      </c>
      <c r="E199" s="119"/>
      <c r="F199" s="163">
        <v>0.1101</v>
      </c>
      <c r="G199" s="161">
        <f>IF(AND(E165*12&gt;=150000),E165*E167,E165)</f>
        <v>346896</v>
      </c>
      <c r="H199" s="157">
        <f>G199*F199</f>
        <v>38193.249600000003</v>
      </c>
      <c r="I199" s="164">
        <f>F199</f>
        <v>0.1101</v>
      </c>
      <c r="J199" s="161">
        <f>IF(AND(E165*12&gt;=150000),E165*E168,E165)</f>
        <v>346896</v>
      </c>
      <c r="K199" s="157">
        <f>J199*I199</f>
        <v>38193.249600000003</v>
      </c>
      <c r="L199" s="125">
        <f>K199-H199</f>
        <v>0</v>
      </c>
      <c r="M199" s="126">
        <f t="shared" si="35"/>
        <v>0</v>
      </c>
    </row>
    <row r="200" spans="1:13" ht="15.75" thickBot="1" x14ac:dyDescent="0.3">
      <c r="A200" s="100" t="str">
        <f t="shared" si="31"/>
        <v>GENERAL SERVICE 50 TO 999 KW SERVICE CLASSIFICATION</v>
      </c>
      <c r="B200" s="100" t="s">
        <v>121</v>
      </c>
      <c r="C200" s="117"/>
      <c r="D200" s="159" t="s">
        <v>182</v>
      </c>
      <c r="E200" s="119"/>
      <c r="F200" s="163">
        <v>0.1101</v>
      </c>
      <c r="G200" s="161">
        <f>IF(AND(E165*12&gt;=150000),E165*E167,E165)</f>
        <v>346896</v>
      </c>
      <c r="H200" s="157">
        <f>G200*F200</f>
        <v>38193.249600000003</v>
      </c>
      <c r="I200" s="164">
        <f>F200</f>
        <v>0.1101</v>
      </c>
      <c r="J200" s="161">
        <f>IF(AND(E165*12&gt;=150000),E165*E168,E165)</f>
        <v>346896</v>
      </c>
      <c r="K200" s="157">
        <f>J200*I200</f>
        <v>38193.249600000003</v>
      </c>
      <c r="L200" s="125">
        <f>K200-H200</f>
        <v>0</v>
      </c>
      <c r="M200" s="126">
        <f t="shared" si="35"/>
        <v>0</v>
      </c>
    </row>
    <row r="201" spans="1:13" ht="15.75" thickBot="1" x14ac:dyDescent="0.3">
      <c r="A201" s="100" t="str">
        <f t="shared" si="31"/>
        <v>GENERAL SERVICE 50 TO 999 KW SERVICE CLASSIFICATION</v>
      </c>
      <c r="B201" s="105"/>
      <c r="C201" s="117"/>
      <c r="D201" s="165"/>
      <c r="E201" s="166"/>
      <c r="F201" s="167"/>
      <c r="G201" s="168"/>
      <c r="H201" s="169"/>
      <c r="I201" s="167"/>
      <c r="J201" s="170"/>
      <c r="K201" s="169"/>
      <c r="L201" s="171"/>
      <c r="M201" s="172"/>
    </row>
    <row r="202" spans="1:13" hidden="1" x14ac:dyDescent="0.25">
      <c r="A202" s="100" t="str">
        <f t="shared" si="31"/>
        <v>GENERAL SERVICE 50 TO 999 KW SERVICE CLASSIFICATION</v>
      </c>
      <c r="B202" s="105" t="s">
        <v>117</v>
      </c>
      <c r="C202" s="117"/>
      <c r="D202" s="173" t="s">
        <v>183</v>
      </c>
      <c r="E202" s="158"/>
      <c r="F202" s="174"/>
      <c r="G202" s="175"/>
      <c r="H202" s="176">
        <f>SUM(H192:H198,H191)</f>
        <v>34057.727440000002</v>
      </c>
      <c r="I202" s="177"/>
      <c r="J202" s="177"/>
      <c r="K202" s="176">
        <f>SUM(K192:K198,K191)</f>
        <v>38886.677439999999</v>
      </c>
      <c r="L202" s="178">
        <f>K202-H202</f>
        <v>4828.9499999999971</v>
      </c>
      <c r="M202" s="179">
        <f>IF((H202)=0,"",(L202/H202))</f>
        <v>0.14178720551766788</v>
      </c>
    </row>
    <row r="203" spans="1:13" hidden="1" x14ac:dyDescent="0.25">
      <c r="A203" s="100" t="str">
        <f t="shared" si="31"/>
        <v>GENERAL SERVICE 50 TO 999 KW SERVICE CLASSIFICATION</v>
      </c>
      <c r="B203" s="105" t="s">
        <v>117</v>
      </c>
      <c r="C203" s="117"/>
      <c r="D203" s="180" t="s">
        <v>184</v>
      </c>
      <c r="E203" s="158"/>
      <c r="F203" s="174">
        <v>0.13</v>
      </c>
      <c r="G203" s="181"/>
      <c r="H203" s="182">
        <f>H202*F203</f>
        <v>4427.5045672000006</v>
      </c>
      <c r="I203" s="183">
        <v>0.13</v>
      </c>
      <c r="J203" s="121"/>
      <c r="K203" s="182">
        <f>K202*I203</f>
        <v>5055.2680671999997</v>
      </c>
      <c r="L203" s="184">
        <f>K203-H203</f>
        <v>627.76349999999911</v>
      </c>
      <c r="M203" s="185">
        <f>IF((H203)=0,"",(L203/H203))</f>
        <v>0.14178720551766777</v>
      </c>
    </row>
    <row r="204" spans="1:13" hidden="1" x14ac:dyDescent="0.25">
      <c r="A204" s="100" t="str">
        <f t="shared" si="31"/>
        <v>GENERAL SERVICE 50 TO 999 KW SERVICE CLASSIFICATION</v>
      </c>
      <c r="B204" s="105" t="s">
        <v>117</v>
      </c>
      <c r="C204" s="117"/>
      <c r="D204" s="180" t="s">
        <v>185</v>
      </c>
      <c r="E204" s="158"/>
      <c r="F204" s="174">
        <v>0.08</v>
      </c>
      <c r="G204" s="181"/>
      <c r="H204" s="182">
        <v>0</v>
      </c>
      <c r="I204" s="174">
        <v>0.08</v>
      </c>
      <c r="J204" s="121"/>
      <c r="K204" s="182">
        <v>0</v>
      </c>
      <c r="L204" s="184">
        <f>K204-H204</f>
        <v>0</v>
      </c>
      <c r="M204" s="185"/>
    </row>
    <row r="205" spans="1:13" hidden="1" x14ac:dyDescent="0.25">
      <c r="A205" s="100" t="str">
        <f t="shared" si="31"/>
        <v>GENERAL SERVICE 50 TO 999 KW SERVICE CLASSIFICATION</v>
      </c>
      <c r="B205" s="105" t="s">
        <v>186</v>
      </c>
      <c r="C205" s="117"/>
      <c r="D205" s="301" t="s">
        <v>187</v>
      </c>
      <c r="E205" s="301"/>
      <c r="F205" s="186"/>
      <c r="G205" s="187"/>
      <c r="H205" s="188">
        <f>H202+H203+H204</f>
        <v>38485.2320072</v>
      </c>
      <c r="I205" s="189"/>
      <c r="J205" s="189"/>
      <c r="K205" s="190">
        <f>K202+K203+K204</f>
        <v>43941.945507199998</v>
      </c>
      <c r="L205" s="191">
        <f>K205-H205</f>
        <v>5456.713499999998</v>
      </c>
      <c r="M205" s="192">
        <f>IF((H205)=0,"",(L205/H205))</f>
        <v>0.14178720551766794</v>
      </c>
    </row>
    <row r="206" spans="1:13" ht="15.75" hidden="1" thickBot="1" x14ac:dyDescent="0.3">
      <c r="A206" s="100" t="str">
        <f t="shared" si="31"/>
        <v>GENERAL SERVICE 50 TO 999 KW SERVICE CLASSIFICATION</v>
      </c>
      <c r="B206" s="100" t="s">
        <v>117</v>
      </c>
      <c r="C206" s="117"/>
      <c r="D206" s="165"/>
      <c r="E206" s="166"/>
      <c r="F206" s="167"/>
      <c r="G206" s="168"/>
      <c r="H206" s="169"/>
      <c r="I206" s="167"/>
      <c r="J206" s="170"/>
      <c r="K206" s="169"/>
      <c r="L206" s="171"/>
      <c r="M206" s="172"/>
    </row>
    <row r="207" spans="1:13" hidden="1" x14ac:dyDescent="0.25">
      <c r="A207" s="100" t="str">
        <f t="shared" si="31"/>
        <v>GENERAL SERVICE 50 TO 999 KW SERVICE CLASSIFICATION</v>
      </c>
      <c r="B207" s="100" t="s">
        <v>180</v>
      </c>
      <c r="C207" s="117"/>
      <c r="D207" s="173" t="s">
        <v>188</v>
      </c>
      <c r="E207" s="158"/>
      <c r="F207" s="174"/>
      <c r="G207" s="175"/>
      <c r="H207" s="176">
        <f>SUM(H199,H192:H195,H191)</f>
        <v>43808.974000000009</v>
      </c>
      <c r="I207" s="177"/>
      <c r="J207" s="177"/>
      <c r="K207" s="176">
        <f>SUM(K199,K192:K195,K191)</f>
        <v>48637.924000000006</v>
      </c>
      <c r="L207" s="178">
        <f>K207-H207</f>
        <v>4828.9499999999971</v>
      </c>
      <c r="M207" s="179">
        <f>IF((H207)=0,"",(L207/H207))</f>
        <v>0.11022741596276589</v>
      </c>
    </row>
    <row r="208" spans="1:13" hidden="1" x14ac:dyDescent="0.25">
      <c r="A208" s="100" t="str">
        <f t="shared" si="31"/>
        <v>GENERAL SERVICE 50 TO 999 KW SERVICE CLASSIFICATION</v>
      </c>
      <c r="B208" s="100" t="s">
        <v>180</v>
      </c>
      <c r="C208" s="117"/>
      <c r="D208" s="180" t="s">
        <v>184</v>
      </c>
      <c r="E208" s="158"/>
      <c r="F208" s="174">
        <v>0.13</v>
      </c>
      <c r="G208" s="175"/>
      <c r="H208" s="182">
        <f>H207*F208</f>
        <v>5695.1666200000018</v>
      </c>
      <c r="I208" s="174">
        <v>0.13</v>
      </c>
      <c r="J208" s="183"/>
      <c r="K208" s="182">
        <f>K207*I208</f>
        <v>6322.9301200000009</v>
      </c>
      <c r="L208" s="184">
        <f>K208-H208</f>
        <v>627.76349999999911</v>
      </c>
      <c r="M208" s="185">
        <f>IF((H208)=0,"",(L208/H208))</f>
        <v>0.11022741596276579</v>
      </c>
    </row>
    <row r="209" spans="1:13" hidden="1" x14ac:dyDescent="0.25">
      <c r="A209" s="100" t="str">
        <f t="shared" si="31"/>
        <v>GENERAL SERVICE 50 TO 999 KW SERVICE CLASSIFICATION</v>
      </c>
      <c r="B209" s="100" t="s">
        <v>180</v>
      </c>
      <c r="C209" s="117"/>
      <c r="D209" s="180" t="s">
        <v>185</v>
      </c>
      <c r="E209" s="158"/>
      <c r="F209" s="174">
        <v>0.08</v>
      </c>
      <c r="G209" s="175"/>
      <c r="H209" s="182">
        <v>0</v>
      </c>
      <c r="I209" s="174">
        <v>0.08</v>
      </c>
      <c r="J209" s="183"/>
      <c r="K209" s="182">
        <v>0</v>
      </c>
      <c r="L209" s="184"/>
      <c r="M209" s="185"/>
    </row>
    <row r="210" spans="1:13" hidden="1" x14ac:dyDescent="0.25">
      <c r="A210" s="100" t="str">
        <f t="shared" si="31"/>
        <v>GENERAL SERVICE 50 TO 999 KW SERVICE CLASSIFICATION</v>
      </c>
      <c r="B210" s="100" t="s">
        <v>189</v>
      </c>
      <c r="C210" s="117"/>
      <c r="D210" s="301" t="s">
        <v>188</v>
      </c>
      <c r="E210" s="301"/>
      <c r="F210" s="193"/>
      <c r="G210" s="194"/>
      <c r="H210" s="188">
        <f>SUM(H207,H208)</f>
        <v>49504.140620000013</v>
      </c>
      <c r="I210" s="195"/>
      <c r="J210" s="195"/>
      <c r="K210" s="188">
        <f>SUM(K207,K208)</f>
        <v>54960.854120000004</v>
      </c>
      <c r="L210" s="196">
        <f>K210-H210</f>
        <v>5456.7134999999907</v>
      </c>
      <c r="M210" s="197">
        <f>IF((H210)=0,"",(L210/H210))</f>
        <v>0.11022741596276577</v>
      </c>
    </row>
    <row r="211" spans="1:13" ht="15.75" hidden="1" thickBot="1" x14ac:dyDescent="0.3">
      <c r="A211" s="100" t="str">
        <f t="shared" si="31"/>
        <v>GENERAL SERVICE 50 TO 999 KW SERVICE CLASSIFICATION</v>
      </c>
      <c r="B211" s="100" t="s">
        <v>180</v>
      </c>
      <c r="C211" s="117"/>
      <c r="D211" s="165"/>
      <c r="E211" s="166"/>
      <c r="F211" s="198"/>
      <c r="G211" s="199"/>
      <c r="H211" s="200"/>
      <c r="I211" s="198"/>
      <c r="J211" s="168"/>
      <c r="K211" s="200"/>
      <c r="L211" s="201"/>
      <c r="M211" s="172"/>
    </row>
    <row r="212" spans="1:13" x14ac:dyDescent="0.25">
      <c r="A212" s="100" t="str">
        <f t="shared" si="31"/>
        <v>GENERAL SERVICE 50 TO 999 KW SERVICE CLASSIFICATION</v>
      </c>
      <c r="B212" s="100" t="s">
        <v>121</v>
      </c>
      <c r="C212" s="117"/>
      <c r="D212" s="173" t="s">
        <v>190</v>
      </c>
      <c r="E212" s="158"/>
      <c r="F212" s="174"/>
      <c r="G212" s="175"/>
      <c r="H212" s="176">
        <f>SUM(H200,H192:H195,H191)</f>
        <v>43808.974000000009</v>
      </c>
      <c r="I212" s="177"/>
      <c r="J212" s="177"/>
      <c r="K212" s="176">
        <f>SUM(K200,K192:K195,K191)</f>
        <v>48637.924000000006</v>
      </c>
      <c r="L212" s="178">
        <f>K212-H212</f>
        <v>4828.9499999999971</v>
      </c>
      <c r="M212" s="179">
        <f>IF((H212)=0,"",(L212/H212))</f>
        <v>0.11022741596276589</v>
      </c>
    </row>
    <row r="213" spans="1:13" x14ac:dyDescent="0.25">
      <c r="A213" s="100" t="str">
        <f t="shared" si="31"/>
        <v>GENERAL SERVICE 50 TO 999 KW SERVICE CLASSIFICATION</v>
      </c>
      <c r="B213" s="100" t="s">
        <v>121</v>
      </c>
      <c r="C213" s="117"/>
      <c r="D213" s="180" t="s">
        <v>184</v>
      </c>
      <c r="E213" s="158"/>
      <c r="F213" s="174">
        <v>0.13</v>
      </c>
      <c r="G213" s="175"/>
      <c r="H213" s="182">
        <f>H212*F213</f>
        <v>5695.1666200000018</v>
      </c>
      <c r="I213" s="174">
        <v>0.13</v>
      </c>
      <c r="J213" s="183"/>
      <c r="K213" s="182">
        <f>K212*I213</f>
        <v>6322.9301200000009</v>
      </c>
      <c r="L213" s="184">
        <f>K213-H213</f>
        <v>627.76349999999911</v>
      </c>
      <c r="M213" s="185">
        <f>IF((H213)=0,"",(L213/H213))</f>
        <v>0.11022741596276579</v>
      </c>
    </row>
    <row r="214" spans="1:13" x14ac:dyDescent="0.25">
      <c r="A214" s="100" t="str">
        <f t="shared" si="31"/>
        <v>GENERAL SERVICE 50 TO 999 KW SERVICE CLASSIFICATION</v>
      </c>
      <c r="B214" s="100" t="s">
        <v>121</v>
      </c>
      <c r="C214" s="117"/>
      <c r="D214" s="180" t="s">
        <v>185</v>
      </c>
      <c r="E214" s="158"/>
      <c r="F214" s="174">
        <v>0.08</v>
      </c>
      <c r="G214" s="175"/>
      <c r="H214" s="182">
        <v>0</v>
      </c>
      <c r="I214" s="174">
        <v>0.08</v>
      </c>
      <c r="J214" s="183"/>
      <c r="K214" s="182">
        <v>0</v>
      </c>
      <c r="L214" s="184"/>
      <c r="M214" s="185"/>
    </row>
    <row r="215" spans="1:13" ht="15.75" thickBot="1" x14ac:dyDescent="0.3">
      <c r="A215" s="100" t="str">
        <f t="shared" si="31"/>
        <v>GENERAL SERVICE 50 TO 999 KW SERVICE CLASSIFICATION</v>
      </c>
      <c r="B215" s="100" t="s">
        <v>191</v>
      </c>
      <c r="C215" s="117">
        <f>B5</f>
        <v>3</v>
      </c>
      <c r="D215" s="301" t="s">
        <v>190</v>
      </c>
      <c r="E215" s="301"/>
      <c r="F215" s="193"/>
      <c r="G215" s="194"/>
      <c r="H215" s="188">
        <f>SUM(H212,H213)</f>
        <v>49504.140620000013</v>
      </c>
      <c r="I215" s="195"/>
      <c r="J215" s="195"/>
      <c r="K215" s="188">
        <f>SUM(K212,K213)</f>
        <v>54960.854120000004</v>
      </c>
      <c r="L215" s="196">
        <f>K215-H215</f>
        <v>5456.7134999999907</v>
      </c>
      <c r="M215" s="197">
        <f>IF((H215)=0,"",(L215/H215))</f>
        <v>0.11022741596276577</v>
      </c>
    </row>
    <row r="216" spans="1:13" ht="15.75" thickBot="1" x14ac:dyDescent="0.3">
      <c r="A216" s="100" t="str">
        <f t="shared" si="31"/>
        <v>GENERAL SERVICE 50 TO 999 KW SERVICE CLASSIFICATION</v>
      </c>
      <c r="B216" s="100" t="s">
        <v>121</v>
      </c>
      <c r="C216" s="117"/>
      <c r="D216" s="165"/>
      <c r="E216" s="166"/>
      <c r="F216" s="202"/>
      <c r="G216" s="203"/>
      <c r="H216" s="204"/>
      <c r="I216" s="202"/>
      <c r="J216" s="205"/>
      <c r="K216" s="204"/>
      <c r="L216" s="206"/>
      <c r="M216" s="207"/>
    </row>
    <row r="219" spans="1:13" x14ac:dyDescent="0.25">
      <c r="C219" s="100"/>
      <c r="D219" s="101" t="s">
        <v>134</v>
      </c>
      <c r="E219" s="302" t="str">
        <f>D6</f>
        <v>GENERAL SERVICE 1,000 TO 4,999 KW SERVICE CLASSIFICATION</v>
      </c>
      <c r="F219" s="302"/>
      <c r="G219" s="302"/>
      <c r="H219" s="302"/>
      <c r="I219" s="302"/>
      <c r="J219" s="302"/>
      <c r="K219" s="100" t="str">
        <f>IF(N6="DEMAND - INTERVAL","RTSR - INTERVAL METERED","")</f>
        <v/>
      </c>
    </row>
    <row r="220" spans="1:13" x14ac:dyDescent="0.25">
      <c r="C220" s="100"/>
      <c r="D220" s="101" t="s">
        <v>135</v>
      </c>
      <c r="E220" s="303" t="str">
        <f>H6</f>
        <v>Non-RPP (Other)</v>
      </c>
      <c r="F220" s="303"/>
      <c r="G220" s="303"/>
      <c r="H220" s="102"/>
      <c r="I220" s="102"/>
    </row>
    <row r="221" spans="1:13" ht="15.75" x14ac:dyDescent="0.25">
      <c r="C221" s="100"/>
      <c r="D221" s="101" t="s">
        <v>136</v>
      </c>
      <c r="E221" s="103">
        <f>K6</f>
        <v>1600000</v>
      </c>
      <c r="F221" s="104" t="s">
        <v>137</v>
      </c>
      <c r="G221" s="105"/>
      <c r="J221" s="106"/>
      <c r="K221" s="106"/>
      <c r="L221" s="106"/>
      <c r="M221" s="106"/>
    </row>
    <row r="222" spans="1:13" ht="15.75" x14ac:dyDescent="0.25">
      <c r="C222" s="100"/>
      <c r="D222" s="101" t="s">
        <v>138</v>
      </c>
      <c r="E222" s="103">
        <f>L6</f>
        <v>2500</v>
      </c>
      <c r="F222" s="107" t="s">
        <v>139</v>
      </c>
      <c r="G222" s="108"/>
      <c r="H222" s="109"/>
      <c r="I222" s="109"/>
      <c r="J222" s="109"/>
    </row>
    <row r="223" spans="1:13" x14ac:dyDescent="0.25">
      <c r="C223" s="100"/>
      <c r="D223" s="101" t="s">
        <v>140</v>
      </c>
      <c r="E223" s="110">
        <f>I6</f>
        <v>1.056</v>
      </c>
    </row>
    <row r="224" spans="1:13" x14ac:dyDescent="0.25">
      <c r="C224" s="100"/>
      <c r="D224" s="101" t="s">
        <v>141</v>
      </c>
      <c r="E224" s="110">
        <f>J6</f>
        <v>1.056</v>
      </c>
    </row>
    <row r="225" spans="1:13" x14ac:dyDescent="0.25">
      <c r="C225" s="100"/>
      <c r="D225" s="105"/>
    </row>
    <row r="226" spans="1:13" x14ac:dyDescent="0.25">
      <c r="C226" s="100"/>
      <c r="D226" s="105"/>
      <c r="E226" s="111"/>
      <c r="F226" s="304" t="s">
        <v>142</v>
      </c>
      <c r="G226" s="305"/>
      <c r="H226" s="306"/>
      <c r="I226" s="304" t="s">
        <v>143</v>
      </c>
      <c r="J226" s="305"/>
      <c r="K226" s="306"/>
      <c r="L226" s="304" t="s">
        <v>144</v>
      </c>
      <c r="M226" s="306"/>
    </row>
    <row r="227" spans="1:13" x14ac:dyDescent="0.25">
      <c r="C227" s="100"/>
      <c r="D227" s="105"/>
      <c r="E227" s="295"/>
      <c r="F227" s="112" t="s">
        <v>145</v>
      </c>
      <c r="G227" s="112" t="s">
        <v>146</v>
      </c>
      <c r="H227" s="113" t="s">
        <v>147</v>
      </c>
      <c r="I227" s="112" t="s">
        <v>145</v>
      </c>
      <c r="J227" s="114" t="s">
        <v>146</v>
      </c>
      <c r="K227" s="113" t="s">
        <v>147</v>
      </c>
      <c r="L227" s="297" t="s">
        <v>148</v>
      </c>
      <c r="M227" s="299" t="s">
        <v>149</v>
      </c>
    </row>
    <row r="228" spans="1:13" x14ac:dyDescent="0.25">
      <c r="C228" s="100"/>
      <c r="D228" s="105"/>
      <c r="E228" s="296"/>
      <c r="F228" s="115" t="s">
        <v>150</v>
      </c>
      <c r="G228" s="115"/>
      <c r="H228" s="116" t="s">
        <v>150</v>
      </c>
      <c r="I228" s="115" t="s">
        <v>150</v>
      </c>
      <c r="J228" s="116"/>
      <c r="K228" s="116" t="s">
        <v>150</v>
      </c>
      <c r="L228" s="298"/>
      <c r="M228" s="300"/>
    </row>
    <row r="229" spans="1:13" x14ac:dyDescent="0.25">
      <c r="A229" s="100" t="str">
        <f>$E219</f>
        <v>GENERAL SERVICE 1,000 TO 4,999 KW SERVICE CLASSIFICATION</v>
      </c>
      <c r="C229" s="117"/>
      <c r="D229" s="118" t="s">
        <v>151</v>
      </c>
      <c r="E229" s="119"/>
      <c r="F229" s="120">
        <v>185.55</v>
      </c>
      <c r="G229" s="121">
        <v>1</v>
      </c>
      <c r="H229" s="122">
        <f>G229*F229</f>
        <v>185.55</v>
      </c>
      <c r="I229" s="123">
        <v>187.78</v>
      </c>
      <c r="J229" s="124">
        <f>G229</f>
        <v>1</v>
      </c>
      <c r="K229" s="122">
        <f>H229</f>
        <v>185.55</v>
      </c>
      <c r="L229" s="125">
        <f t="shared" ref="L229:L250" si="36">K229-H229</f>
        <v>0</v>
      </c>
      <c r="M229" s="126">
        <f>IF(ISERROR(L229/H229), "", L229/H229)</f>
        <v>0</v>
      </c>
    </row>
    <row r="230" spans="1:13" x14ac:dyDescent="0.25">
      <c r="A230" s="100" t="str">
        <f>A229</f>
        <v>GENERAL SERVICE 1,000 TO 4,999 KW SERVICE CLASSIFICATION</v>
      </c>
      <c r="C230" s="117"/>
      <c r="D230" s="118" t="s">
        <v>152</v>
      </c>
      <c r="E230" s="119"/>
      <c r="F230" s="127">
        <v>3.4704999999999999</v>
      </c>
      <c r="G230" s="121">
        <f>IF($E222&gt;0, $E222, $E221)</f>
        <v>2500</v>
      </c>
      <c r="H230" s="122">
        <f t="shared" ref="H230:H242" si="37">G230*F230</f>
        <v>8676.25</v>
      </c>
      <c r="I230" s="128">
        <v>3.5121000000000002</v>
      </c>
      <c r="J230" s="124">
        <f>IF($E222&gt;0, $E222, $E221)</f>
        <v>2500</v>
      </c>
      <c r="K230" s="122">
        <f>H230</f>
        <v>8676.25</v>
      </c>
      <c r="L230" s="125">
        <f t="shared" si="36"/>
        <v>0</v>
      </c>
      <c r="M230" s="126">
        <f t="shared" ref="M230:M240" si="38">IF(ISERROR(L230/H230), "", L230/H230)</f>
        <v>0</v>
      </c>
    </row>
    <row r="231" spans="1:13" x14ac:dyDescent="0.25">
      <c r="A231" s="100" t="str">
        <f t="shared" ref="A231:A272" si="39">A230</f>
        <v>GENERAL SERVICE 1,000 TO 4,999 KW SERVICE CLASSIFICATION</v>
      </c>
      <c r="C231" s="117"/>
      <c r="D231" s="118" t="s">
        <v>153</v>
      </c>
      <c r="E231" s="119"/>
      <c r="F231" s="127"/>
      <c r="G231" s="121">
        <f>IF($E222&gt;0, $E222, $E221)</f>
        <v>2500</v>
      </c>
      <c r="H231" s="122">
        <v>0</v>
      </c>
      <c r="I231" s="128"/>
      <c r="J231" s="124">
        <f>IF($E222&gt;0, $E222, $E221)</f>
        <v>2500</v>
      </c>
      <c r="K231" s="122">
        <v>0</v>
      </c>
      <c r="L231" s="125"/>
      <c r="M231" s="126"/>
    </row>
    <row r="232" spans="1:13" x14ac:dyDescent="0.25">
      <c r="A232" s="100" t="str">
        <f t="shared" si="39"/>
        <v>GENERAL SERVICE 1,000 TO 4,999 KW SERVICE CLASSIFICATION</v>
      </c>
      <c r="C232" s="117"/>
      <c r="D232" s="118" t="s">
        <v>154</v>
      </c>
      <c r="E232" s="119"/>
      <c r="F232" s="127"/>
      <c r="G232" s="121">
        <f>IF($E222&gt;0, $E222, $E221)</f>
        <v>2500</v>
      </c>
      <c r="H232" s="122">
        <v>0</v>
      </c>
      <c r="I232" s="128"/>
      <c r="J232" s="121">
        <f>IF($E222&gt;0, $E222, $E221)</f>
        <v>2500</v>
      </c>
      <c r="K232" s="122">
        <v>0</v>
      </c>
      <c r="L232" s="125">
        <f>K232-H232</f>
        <v>0</v>
      </c>
      <c r="M232" s="126" t="str">
        <f>IF(ISERROR(L232/H232), "", L232/H232)</f>
        <v/>
      </c>
    </row>
    <row r="233" spans="1:13" x14ac:dyDescent="0.25">
      <c r="A233" s="100" t="str">
        <f t="shared" si="39"/>
        <v>GENERAL SERVICE 1,000 TO 4,999 KW SERVICE CLASSIFICATION</v>
      </c>
      <c r="C233" s="117"/>
      <c r="D233" s="129" t="s">
        <v>155</v>
      </c>
      <c r="E233" s="119"/>
      <c r="F233" s="120">
        <v>0</v>
      </c>
      <c r="G233" s="121">
        <v>1</v>
      </c>
      <c r="H233" s="122">
        <f t="shared" si="37"/>
        <v>0</v>
      </c>
      <c r="I233" s="123">
        <v>0</v>
      </c>
      <c r="J233" s="124">
        <f>G233</f>
        <v>1</v>
      </c>
      <c r="K233" s="122">
        <f t="shared" ref="K233:K240" si="40">J233*I233</f>
        <v>0</v>
      </c>
      <c r="L233" s="125">
        <f t="shared" si="36"/>
        <v>0</v>
      </c>
      <c r="M233" s="126" t="str">
        <f t="shared" si="38"/>
        <v/>
      </c>
    </row>
    <row r="234" spans="1:13" x14ac:dyDescent="0.25">
      <c r="A234" s="100" t="str">
        <f t="shared" si="39"/>
        <v>GENERAL SERVICE 1,000 TO 4,999 KW SERVICE CLASSIFICATION</v>
      </c>
      <c r="C234" s="117"/>
      <c r="D234" s="118" t="s">
        <v>156</v>
      </c>
      <c r="E234" s="119"/>
      <c r="F234" s="127">
        <v>0</v>
      </c>
      <c r="G234" s="121">
        <f>IF($E222&gt;0, $E222, $E221)</f>
        <v>2500</v>
      </c>
      <c r="H234" s="122">
        <f t="shared" si="37"/>
        <v>0</v>
      </c>
      <c r="I234" s="128">
        <v>0</v>
      </c>
      <c r="J234" s="124">
        <f>IF($E222&gt;0, $E222, $E221)</f>
        <v>2500</v>
      </c>
      <c r="K234" s="122">
        <f t="shared" si="40"/>
        <v>0</v>
      </c>
      <c r="L234" s="125">
        <f t="shared" si="36"/>
        <v>0</v>
      </c>
      <c r="M234" s="126" t="str">
        <f t="shared" si="38"/>
        <v/>
      </c>
    </row>
    <row r="235" spans="1:13" x14ac:dyDescent="0.25">
      <c r="A235" s="100" t="str">
        <f t="shared" si="39"/>
        <v>GENERAL SERVICE 1,000 TO 4,999 KW SERVICE CLASSIFICATION</v>
      </c>
      <c r="B235" s="130" t="s">
        <v>157</v>
      </c>
      <c r="C235" s="117">
        <f>B6</f>
        <v>4</v>
      </c>
      <c r="D235" s="131" t="s">
        <v>158</v>
      </c>
      <c r="E235" s="132"/>
      <c r="F235" s="133"/>
      <c r="G235" s="134"/>
      <c r="H235" s="135">
        <f>SUM(H229:H234)</f>
        <v>8861.7999999999993</v>
      </c>
      <c r="I235" s="136"/>
      <c r="J235" s="137"/>
      <c r="K235" s="135">
        <f>SUM(K229:K234)</f>
        <v>8861.7999999999993</v>
      </c>
      <c r="L235" s="138">
        <f t="shared" si="36"/>
        <v>0</v>
      </c>
      <c r="M235" s="139">
        <f>IF((H235)=0,"",(L235/H235))</f>
        <v>0</v>
      </c>
    </row>
    <row r="236" spans="1:13" x14ac:dyDescent="0.25">
      <c r="A236" s="100" t="str">
        <f t="shared" si="39"/>
        <v>GENERAL SERVICE 1,000 TO 4,999 KW SERVICE CLASSIFICATION</v>
      </c>
      <c r="C236" s="117"/>
      <c r="D236" s="140" t="s">
        <v>159</v>
      </c>
      <c r="E236" s="119"/>
      <c r="F236" s="127">
        <f>IF((E221*12&gt;=150000), 0, IF(E220="RPP",(F252*0.65+F253*0.17+F254*0.18),IF(E220="Non-RPP (Retailer)",F255,F256)))</f>
        <v>0</v>
      </c>
      <c r="G236" s="141">
        <f>IF(F236=0, 0, $E221*E223-E221)</f>
        <v>0</v>
      </c>
      <c r="H236" s="122">
        <f>G236*F236</f>
        <v>0</v>
      </c>
      <c r="I236" s="128">
        <f>IF((E221*12&gt;=150000), 0, IF(E220="RPP",(I252*0.65+I253*0.17+I254*0.18),IF(E220="Non-RPP (Retailer)",I255,I256)))</f>
        <v>0</v>
      </c>
      <c r="J236" s="141">
        <f>IF(I236=0, 0, E221*E224-E221)</f>
        <v>0</v>
      </c>
      <c r="K236" s="122">
        <f>J236*I236</f>
        <v>0</v>
      </c>
      <c r="L236" s="125">
        <f>K236-H236</f>
        <v>0</v>
      </c>
      <c r="M236" s="126" t="str">
        <f>IF(ISERROR(L236/H236), "", L236/H236)</f>
        <v/>
      </c>
    </row>
    <row r="237" spans="1:13" ht="25.5" x14ac:dyDescent="0.25">
      <c r="A237" s="100" t="str">
        <f t="shared" si="39"/>
        <v>GENERAL SERVICE 1,000 TO 4,999 KW SERVICE CLASSIFICATION</v>
      </c>
      <c r="C237" s="117"/>
      <c r="D237" s="140" t="s">
        <v>160</v>
      </c>
      <c r="E237" s="119"/>
      <c r="F237" s="127">
        <v>-0.93979999999999997</v>
      </c>
      <c r="G237" s="142">
        <f>IF($E222&gt;0, $E222, $E221)</f>
        <v>2500</v>
      </c>
      <c r="H237" s="122">
        <f t="shared" si="37"/>
        <v>-2349.5</v>
      </c>
      <c r="I237" s="128">
        <v>-1.9907999999999999</v>
      </c>
      <c r="J237" s="142">
        <f>IF($E222&gt;0, $E222, $E221)</f>
        <v>2500</v>
      </c>
      <c r="K237" s="122">
        <f>H237</f>
        <v>-2349.5</v>
      </c>
      <c r="L237" s="125">
        <f t="shared" si="36"/>
        <v>0</v>
      </c>
      <c r="M237" s="126">
        <f t="shared" si="38"/>
        <v>0</v>
      </c>
    </row>
    <row r="238" spans="1:13" x14ac:dyDescent="0.25">
      <c r="A238" s="100" t="str">
        <f t="shared" si="39"/>
        <v>GENERAL SERVICE 1,000 TO 4,999 KW SERVICE CLASSIFICATION</v>
      </c>
      <c r="C238" s="117"/>
      <c r="D238" s="140" t="s">
        <v>161</v>
      </c>
      <c r="E238" s="119"/>
      <c r="F238" s="127">
        <v>-3.4099999999999998E-2</v>
      </c>
      <c r="G238" s="142">
        <f>IF($E222&gt;0, $E222, $E221)</f>
        <v>2500</v>
      </c>
      <c r="H238" s="122">
        <f>G238*F238</f>
        <v>-85.25</v>
      </c>
      <c r="I238" s="128">
        <v>0</v>
      </c>
      <c r="J238" s="142">
        <f>IF($E222&gt;0, $E222, $E221)</f>
        <v>2500</v>
      </c>
      <c r="K238" s="122">
        <f>H238</f>
        <v>-85.25</v>
      </c>
      <c r="L238" s="125">
        <f t="shared" si="36"/>
        <v>0</v>
      </c>
      <c r="M238" s="126">
        <f t="shared" si="38"/>
        <v>0</v>
      </c>
    </row>
    <row r="239" spans="1:13" x14ac:dyDescent="0.25">
      <c r="A239" s="100" t="str">
        <f t="shared" si="39"/>
        <v>GENERAL SERVICE 1,000 TO 4,999 KW SERVICE CLASSIFICATION</v>
      </c>
      <c r="C239" s="117"/>
      <c r="D239" s="140" t="s">
        <v>162</v>
      </c>
      <c r="E239" s="119"/>
      <c r="F239" s="127">
        <v>-1E-3</v>
      </c>
      <c r="G239" s="142">
        <f>E221</f>
        <v>1600000</v>
      </c>
      <c r="H239" s="122">
        <f>G239*F239</f>
        <v>-1600</v>
      </c>
      <c r="I239" s="128">
        <v>1.37E-2</v>
      </c>
      <c r="J239" s="142">
        <f>E221</f>
        <v>1600000</v>
      </c>
      <c r="K239" s="122">
        <f t="shared" si="40"/>
        <v>21920</v>
      </c>
      <c r="L239" s="125">
        <f t="shared" si="36"/>
        <v>23520</v>
      </c>
      <c r="M239" s="126">
        <f t="shared" si="38"/>
        <v>-14.7</v>
      </c>
    </row>
    <row r="240" spans="1:13" x14ac:dyDescent="0.25">
      <c r="A240" s="100" t="str">
        <f t="shared" si="39"/>
        <v>GENERAL SERVICE 1,000 TO 4,999 KW SERVICE CLASSIFICATION</v>
      </c>
      <c r="C240" s="117"/>
      <c r="D240" s="143" t="s">
        <v>163</v>
      </c>
      <c r="E240" s="119"/>
      <c r="F240" s="127">
        <v>1.0483</v>
      </c>
      <c r="G240" s="142">
        <f>IF($E222&gt;0, $E222, $E221)</f>
        <v>2500</v>
      </c>
      <c r="H240" s="122">
        <f t="shared" si="37"/>
        <v>2620.75</v>
      </c>
      <c r="I240" s="128">
        <v>1.0483</v>
      </c>
      <c r="J240" s="142">
        <f>IF($E222&gt;0, $E222, $E221)</f>
        <v>2500</v>
      </c>
      <c r="K240" s="122">
        <f t="shared" si="40"/>
        <v>2620.75</v>
      </c>
      <c r="L240" s="125">
        <f t="shared" si="36"/>
        <v>0</v>
      </c>
      <c r="M240" s="126">
        <f t="shared" si="38"/>
        <v>0</v>
      </c>
    </row>
    <row r="241" spans="1:13" ht="25.5" x14ac:dyDescent="0.25">
      <c r="A241" s="100" t="str">
        <f t="shared" si="39"/>
        <v>GENERAL SERVICE 1,000 TO 4,999 KW SERVICE CLASSIFICATION</v>
      </c>
      <c r="C241" s="117"/>
      <c r="D241" s="144" t="s">
        <v>164</v>
      </c>
      <c r="E241" s="119"/>
      <c r="F241" s="145">
        <f>IF(OR(ISNUMBER(SEARCH("RESIDENTIAL", E219))=TRUE, ISNUMBER(SEARCH("GENERAL SERVICE LESS THAN 50", E219))=TRUE), SME, 0)</f>
        <v>0</v>
      </c>
      <c r="G241" s="121">
        <v>1</v>
      </c>
      <c r="H241" s="122">
        <f>G241*F241</f>
        <v>0</v>
      </c>
      <c r="I241" s="146">
        <f>IF(OR(ISNUMBER(SEARCH("RESIDENTIAL", E219))=TRUE, ISNUMBER(SEARCH("GENERAL SERVICE LESS THAN 50", E219))=TRUE), SME, 0)</f>
        <v>0</v>
      </c>
      <c r="J241" s="121">
        <v>1</v>
      </c>
      <c r="K241" s="122">
        <f>J241*I241</f>
        <v>0</v>
      </c>
      <c r="L241" s="125">
        <f t="shared" si="36"/>
        <v>0</v>
      </c>
      <c r="M241" s="126" t="str">
        <f>IF(ISERROR(L241/H241), "", L241/H241)</f>
        <v/>
      </c>
    </row>
    <row r="242" spans="1:13" x14ac:dyDescent="0.25">
      <c r="A242" s="100" t="str">
        <f t="shared" si="39"/>
        <v>GENERAL SERVICE 1,000 TO 4,999 KW SERVICE CLASSIFICATION</v>
      </c>
      <c r="C242" s="117"/>
      <c r="D242" s="143" t="s">
        <v>165</v>
      </c>
      <c r="E242" s="119"/>
      <c r="F242" s="120">
        <v>0</v>
      </c>
      <c r="G242" s="121">
        <v>1</v>
      </c>
      <c r="H242" s="122">
        <f t="shared" si="37"/>
        <v>0</v>
      </c>
      <c r="I242" s="123">
        <v>0</v>
      </c>
      <c r="J242" s="121">
        <v>1</v>
      </c>
      <c r="K242" s="122">
        <f>J242*I242</f>
        <v>0</v>
      </c>
      <c r="L242" s="125">
        <f>K242-H242</f>
        <v>0</v>
      </c>
      <c r="M242" s="126" t="str">
        <f>IF(ISERROR(L242/H242), "", L242/H242)</f>
        <v/>
      </c>
    </row>
    <row r="243" spans="1:13" x14ac:dyDescent="0.25">
      <c r="A243" s="100" t="str">
        <f t="shared" si="39"/>
        <v>GENERAL SERVICE 1,000 TO 4,999 KW SERVICE CLASSIFICATION</v>
      </c>
      <c r="C243" s="117"/>
      <c r="D243" s="143" t="s">
        <v>166</v>
      </c>
      <c r="E243" s="119"/>
      <c r="F243" s="127"/>
      <c r="G243" s="142">
        <f>IF($E222&gt;0, $E222, $E221)</f>
        <v>2500</v>
      </c>
      <c r="H243" s="122">
        <f>G243*F243</f>
        <v>0</v>
      </c>
      <c r="I243" s="128">
        <v>0</v>
      </c>
      <c r="J243" s="142">
        <f>IF($E222&gt;0, $E222, $E221)</f>
        <v>2500</v>
      </c>
      <c r="K243" s="122">
        <f>J243*I243</f>
        <v>0</v>
      </c>
      <c r="L243" s="125">
        <f t="shared" si="36"/>
        <v>0</v>
      </c>
      <c r="M243" s="126" t="str">
        <f>IF(ISERROR(L243/H243), "", L243/H243)</f>
        <v/>
      </c>
    </row>
    <row r="244" spans="1:13" ht="25.5" x14ac:dyDescent="0.25">
      <c r="A244" s="100" t="str">
        <f t="shared" si="39"/>
        <v>GENERAL SERVICE 1,000 TO 4,999 KW SERVICE CLASSIFICATION</v>
      </c>
      <c r="B244" s="105" t="s">
        <v>167</v>
      </c>
      <c r="C244" s="117">
        <f>B6</f>
        <v>4</v>
      </c>
      <c r="D244" s="147" t="s">
        <v>168</v>
      </c>
      <c r="E244" s="148"/>
      <c r="F244" s="149"/>
      <c r="G244" s="150"/>
      <c r="H244" s="151">
        <f>SUM(H235:H243)</f>
        <v>7447.7999999999993</v>
      </c>
      <c r="I244" s="152"/>
      <c r="J244" s="153"/>
      <c r="K244" s="151">
        <f>SUM(K235:K243)</f>
        <v>30967.8</v>
      </c>
      <c r="L244" s="138">
        <f t="shared" si="36"/>
        <v>23520</v>
      </c>
      <c r="M244" s="139">
        <f>IF((H244)=0,"",(L244/H244))</f>
        <v>3.1579795375815682</v>
      </c>
    </row>
    <row r="245" spans="1:13" x14ac:dyDescent="0.25">
      <c r="A245" s="100" t="str">
        <f t="shared" si="39"/>
        <v>GENERAL SERVICE 1,000 TO 4,999 KW SERVICE CLASSIFICATION</v>
      </c>
      <c r="C245" s="117"/>
      <c r="D245" s="154" t="s">
        <v>169</v>
      </c>
      <c r="E245" s="119"/>
      <c r="F245" s="127">
        <v>2.6217000000000001</v>
      </c>
      <c r="G245" s="141">
        <f>IF($E222&gt;0, $E222, $E221*$E223)</f>
        <v>2500</v>
      </c>
      <c r="H245" s="122">
        <f>G245*F245</f>
        <v>6554.25</v>
      </c>
      <c r="I245" s="128">
        <v>2.4868999999999999</v>
      </c>
      <c r="J245" s="141">
        <f>IF($E222&gt;0, $E222, $E221*$E224)</f>
        <v>2500</v>
      </c>
      <c r="K245" s="122">
        <f>H245</f>
        <v>6554.25</v>
      </c>
      <c r="L245" s="125">
        <f t="shared" si="36"/>
        <v>0</v>
      </c>
      <c r="M245" s="126">
        <f t="shared" ref="M245:M246" si="41">IF(ISERROR(L245/H245), "", L245/H245)</f>
        <v>0</v>
      </c>
    </row>
    <row r="246" spans="1:13" ht="25.5" x14ac:dyDescent="0.25">
      <c r="A246" s="100" t="str">
        <f t="shared" si="39"/>
        <v>GENERAL SERVICE 1,000 TO 4,999 KW SERVICE CLASSIFICATION</v>
      </c>
      <c r="C246" s="117"/>
      <c r="D246" s="155" t="s">
        <v>170</v>
      </c>
      <c r="E246" s="119"/>
      <c r="F246" s="127">
        <v>2.2145999999999999</v>
      </c>
      <c r="G246" s="141">
        <f>IF($E222&gt;0, $E222, $E221*$E223)</f>
        <v>2500</v>
      </c>
      <c r="H246" s="122">
        <f>G246*F246</f>
        <v>5536.5</v>
      </c>
      <c r="I246" s="128">
        <v>2.0933000000000002</v>
      </c>
      <c r="J246" s="141">
        <f>IF($E222&gt;0, $E222, $E221*$E224)</f>
        <v>2500</v>
      </c>
      <c r="K246" s="122">
        <f>H246</f>
        <v>5536.5</v>
      </c>
      <c r="L246" s="125">
        <f t="shared" si="36"/>
        <v>0</v>
      </c>
      <c r="M246" s="126">
        <f t="shared" si="41"/>
        <v>0</v>
      </c>
    </row>
    <row r="247" spans="1:13" ht="25.5" x14ac:dyDescent="0.25">
      <c r="A247" s="100" t="str">
        <f t="shared" si="39"/>
        <v>GENERAL SERVICE 1,000 TO 4,999 KW SERVICE CLASSIFICATION</v>
      </c>
      <c r="B247" s="105" t="s">
        <v>171</v>
      </c>
      <c r="C247" s="117">
        <f>B6</f>
        <v>4</v>
      </c>
      <c r="D247" s="147" t="s">
        <v>172</v>
      </c>
      <c r="E247" s="132"/>
      <c r="F247" s="149"/>
      <c r="G247" s="150"/>
      <c r="H247" s="151">
        <f>SUM(H244:H246)</f>
        <v>19538.55</v>
      </c>
      <c r="I247" s="152"/>
      <c r="J247" s="137"/>
      <c r="K247" s="151">
        <f>SUM(K244:K246)</f>
        <v>43058.55</v>
      </c>
      <c r="L247" s="138">
        <f t="shared" si="36"/>
        <v>23520.000000000004</v>
      </c>
      <c r="M247" s="139">
        <f>IF((H247)=0,"",(L247/H247))</f>
        <v>1.203774077400831</v>
      </c>
    </row>
    <row r="248" spans="1:13" ht="25.5" x14ac:dyDescent="0.25">
      <c r="A248" s="100" t="str">
        <f t="shared" si="39"/>
        <v>GENERAL SERVICE 1,000 TO 4,999 KW SERVICE CLASSIFICATION</v>
      </c>
      <c r="C248" s="117"/>
      <c r="D248" s="156" t="s">
        <v>173</v>
      </c>
      <c r="E248" s="119"/>
      <c r="F248" s="127">
        <v>3.6000000000000003E-3</v>
      </c>
      <c r="G248" s="141">
        <f>E221*E223</f>
        <v>1689600</v>
      </c>
      <c r="H248" s="157">
        <f t="shared" ref="H248:H254" si="42">G248*F248</f>
        <v>6082.56</v>
      </c>
      <c r="I248" s="128">
        <v>3.6000000000000003E-3</v>
      </c>
      <c r="J248" s="141">
        <f>E221*E224</f>
        <v>1689600</v>
      </c>
      <c r="K248" s="157">
        <f t="shared" ref="K248:K254" si="43">J248*I248</f>
        <v>6082.56</v>
      </c>
      <c r="L248" s="125">
        <f t="shared" si="36"/>
        <v>0</v>
      </c>
      <c r="M248" s="126">
        <f t="shared" ref="M248:M256" si="44">IF(ISERROR(L248/H248), "", L248/H248)</f>
        <v>0</v>
      </c>
    </row>
    <row r="249" spans="1:13" ht="25.5" x14ac:dyDescent="0.25">
      <c r="A249" s="100" t="str">
        <f t="shared" si="39"/>
        <v>GENERAL SERVICE 1,000 TO 4,999 KW SERVICE CLASSIFICATION</v>
      </c>
      <c r="C249" s="117"/>
      <c r="D249" s="156" t="s">
        <v>174</v>
      </c>
      <c r="E249" s="119"/>
      <c r="F249" s="127">
        <f>'[1]17. Regulatory Charges'!$D$16</f>
        <v>2.9999999999999997E-4</v>
      </c>
      <c r="G249" s="141">
        <f>E221*E223</f>
        <v>1689600</v>
      </c>
      <c r="H249" s="157">
        <f t="shared" si="42"/>
        <v>506.87999999999994</v>
      </c>
      <c r="I249" s="128">
        <v>2.9999999999999997E-4</v>
      </c>
      <c r="J249" s="141">
        <f>E221*E224</f>
        <v>1689600</v>
      </c>
      <c r="K249" s="157">
        <f t="shared" si="43"/>
        <v>506.87999999999994</v>
      </c>
      <c r="L249" s="125">
        <f t="shared" si="36"/>
        <v>0</v>
      </c>
      <c r="M249" s="126">
        <f t="shared" si="44"/>
        <v>0</v>
      </c>
    </row>
    <row r="250" spans="1:13" x14ac:dyDescent="0.25">
      <c r="A250" s="100" t="str">
        <f t="shared" si="39"/>
        <v>GENERAL SERVICE 1,000 TO 4,999 KW SERVICE CLASSIFICATION</v>
      </c>
      <c r="C250" s="117"/>
      <c r="D250" s="158" t="s">
        <v>175</v>
      </c>
      <c r="E250" s="119"/>
      <c r="F250" s="145">
        <v>0.25</v>
      </c>
      <c r="G250" s="121">
        <v>1</v>
      </c>
      <c r="H250" s="157">
        <f t="shared" si="42"/>
        <v>0.25</v>
      </c>
      <c r="I250" s="146">
        <f>'[1]17. Regulatory Charges'!$D$17</f>
        <v>0.25</v>
      </c>
      <c r="J250" s="124">
        <v>1</v>
      </c>
      <c r="K250" s="157">
        <f t="shared" si="43"/>
        <v>0.25</v>
      </c>
      <c r="L250" s="125">
        <f t="shared" si="36"/>
        <v>0</v>
      </c>
      <c r="M250" s="126">
        <f t="shared" si="44"/>
        <v>0</v>
      </c>
    </row>
    <row r="251" spans="1:13" ht="25.5" x14ac:dyDescent="0.25">
      <c r="A251" s="100" t="str">
        <f t="shared" si="39"/>
        <v>GENERAL SERVICE 1,000 TO 4,999 KW SERVICE CLASSIFICATION</v>
      </c>
      <c r="C251" s="117"/>
      <c r="D251" s="156" t="s">
        <v>176</v>
      </c>
      <c r="E251" s="119"/>
      <c r="F251" s="127"/>
      <c r="G251" s="141"/>
      <c r="H251" s="157"/>
      <c r="I251" s="128"/>
      <c r="J251" s="141"/>
      <c r="K251" s="157"/>
      <c r="L251" s="125"/>
      <c r="M251" s="126"/>
    </row>
    <row r="252" spans="1:13" hidden="1" x14ac:dyDescent="0.25">
      <c r="A252" s="100" t="str">
        <f t="shared" si="39"/>
        <v>GENERAL SERVICE 1,000 TO 4,999 KW SERVICE CLASSIFICATION</v>
      </c>
      <c r="B252" s="105" t="s">
        <v>117</v>
      </c>
      <c r="C252" s="117"/>
      <c r="D252" s="159" t="s">
        <v>177</v>
      </c>
      <c r="E252" s="119"/>
      <c r="F252" s="160">
        <f>OffPeak</f>
        <v>6.5000000000000002E-2</v>
      </c>
      <c r="G252" s="161">
        <f>IF(AND(E221*12&gt;=150000),0.65*E221*E223,0.65*E221)</f>
        <v>1098240</v>
      </c>
      <c r="H252" s="157">
        <f t="shared" si="42"/>
        <v>71385.600000000006</v>
      </c>
      <c r="I252" s="162">
        <f>OffPeak</f>
        <v>6.5000000000000002E-2</v>
      </c>
      <c r="J252" s="161">
        <f>IF(AND(E221*12&gt;=150000),0.65*E221*E224,0.65*E221)</f>
        <v>1098240</v>
      </c>
      <c r="K252" s="157">
        <f t="shared" si="43"/>
        <v>71385.600000000006</v>
      </c>
      <c r="L252" s="125">
        <f>K252-H252</f>
        <v>0</v>
      </c>
      <c r="M252" s="126">
        <f t="shared" si="44"/>
        <v>0</v>
      </c>
    </row>
    <row r="253" spans="1:13" hidden="1" x14ac:dyDescent="0.25">
      <c r="A253" s="100" t="str">
        <f t="shared" si="39"/>
        <v>GENERAL SERVICE 1,000 TO 4,999 KW SERVICE CLASSIFICATION</v>
      </c>
      <c r="B253" s="105" t="s">
        <v>117</v>
      </c>
      <c r="C253" s="117"/>
      <c r="D253" s="159" t="s">
        <v>178</v>
      </c>
      <c r="E253" s="119"/>
      <c r="F253" s="160">
        <f>MidPeak</f>
        <v>9.4E-2</v>
      </c>
      <c r="G253" s="161">
        <f>IF(AND(E221*12&gt;=150000),0.17*E221*E223,0.17*E221)</f>
        <v>287232</v>
      </c>
      <c r="H253" s="157">
        <f t="shared" si="42"/>
        <v>26999.808000000001</v>
      </c>
      <c r="I253" s="162">
        <f>MidPeak</f>
        <v>9.4E-2</v>
      </c>
      <c r="J253" s="161">
        <f>IF(AND(E221*12&gt;=150000),0.17*E221*E224,0.17*E221)</f>
        <v>287232</v>
      </c>
      <c r="K253" s="157">
        <f t="shared" si="43"/>
        <v>26999.808000000001</v>
      </c>
      <c r="L253" s="125">
        <f>K253-H253</f>
        <v>0</v>
      </c>
      <c r="M253" s="126">
        <f t="shared" si="44"/>
        <v>0</v>
      </c>
    </row>
    <row r="254" spans="1:13" hidden="1" x14ac:dyDescent="0.25">
      <c r="A254" s="100" t="str">
        <f t="shared" si="39"/>
        <v>GENERAL SERVICE 1,000 TO 4,999 KW SERVICE CLASSIFICATION</v>
      </c>
      <c r="B254" s="105" t="s">
        <v>117</v>
      </c>
      <c r="C254" s="117"/>
      <c r="D254" s="105" t="s">
        <v>179</v>
      </c>
      <c r="E254" s="119"/>
      <c r="F254" s="160">
        <f>OnPeak</f>
        <v>0.13200000000000001</v>
      </c>
      <c r="G254" s="161">
        <f>IF(AND(E221*12&gt;=150000),0.18*E221*E223,0.18*E221)</f>
        <v>304128</v>
      </c>
      <c r="H254" s="157">
        <f t="shared" si="42"/>
        <v>40144.896000000001</v>
      </c>
      <c r="I254" s="162">
        <f>OnPeak</f>
        <v>0.13200000000000001</v>
      </c>
      <c r="J254" s="161">
        <f>IF(AND(E221*12&gt;=150000),0.18*E221*E224,0.18*E221)</f>
        <v>304128</v>
      </c>
      <c r="K254" s="157">
        <f t="shared" si="43"/>
        <v>40144.896000000001</v>
      </c>
      <c r="L254" s="125">
        <f>K254-H254</f>
        <v>0</v>
      </c>
      <c r="M254" s="126">
        <f t="shared" si="44"/>
        <v>0</v>
      </c>
    </row>
    <row r="255" spans="1:13" hidden="1" x14ac:dyDescent="0.25">
      <c r="A255" s="100" t="str">
        <f t="shared" si="39"/>
        <v>GENERAL SERVICE 1,000 TO 4,999 KW SERVICE CLASSIFICATION</v>
      </c>
      <c r="B255" s="100" t="s">
        <v>180</v>
      </c>
      <c r="C255" s="117"/>
      <c r="D255" s="159" t="s">
        <v>181</v>
      </c>
      <c r="E255" s="119"/>
      <c r="F255" s="163">
        <v>0.1101</v>
      </c>
      <c r="G255" s="161">
        <f>IF(AND(E221*12&gt;=150000),E221*E223,E221)</f>
        <v>1689600</v>
      </c>
      <c r="H255" s="157">
        <f>G255*F255</f>
        <v>186024.95999999999</v>
      </c>
      <c r="I255" s="164">
        <f>F255</f>
        <v>0.1101</v>
      </c>
      <c r="J255" s="161">
        <f>IF(AND(E221*12&gt;=150000),E221*E224,E221)</f>
        <v>1689600</v>
      </c>
      <c r="K255" s="157">
        <f>J255*I255</f>
        <v>186024.95999999999</v>
      </c>
      <c r="L255" s="125">
        <f>K255-H255</f>
        <v>0</v>
      </c>
      <c r="M255" s="126">
        <f t="shared" si="44"/>
        <v>0</v>
      </c>
    </row>
    <row r="256" spans="1:13" ht="15.75" thickBot="1" x14ac:dyDescent="0.3">
      <c r="A256" s="100" t="str">
        <f t="shared" si="39"/>
        <v>GENERAL SERVICE 1,000 TO 4,999 KW SERVICE CLASSIFICATION</v>
      </c>
      <c r="B256" s="100" t="s">
        <v>121</v>
      </c>
      <c r="C256" s="117"/>
      <c r="D256" s="159" t="s">
        <v>182</v>
      </c>
      <c r="E256" s="119"/>
      <c r="F256" s="163">
        <v>0.1101</v>
      </c>
      <c r="G256" s="161">
        <f>IF(AND(E221*12&gt;=150000),E221*E223,E221)</f>
        <v>1689600</v>
      </c>
      <c r="H256" s="157">
        <f>G256*F256</f>
        <v>186024.95999999999</v>
      </c>
      <c r="I256" s="164">
        <f>F256</f>
        <v>0.1101</v>
      </c>
      <c r="J256" s="161">
        <f>IF(AND(E221*12&gt;=150000),E221*E224,E221)</f>
        <v>1689600</v>
      </c>
      <c r="K256" s="157">
        <f>J256*I256</f>
        <v>186024.95999999999</v>
      </c>
      <c r="L256" s="125">
        <f>K256-H256</f>
        <v>0</v>
      </c>
      <c r="M256" s="126">
        <f t="shared" si="44"/>
        <v>0</v>
      </c>
    </row>
    <row r="257" spans="1:13" ht="15.75" thickBot="1" x14ac:dyDescent="0.3">
      <c r="A257" s="100" t="str">
        <f t="shared" si="39"/>
        <v>GENERAL SERVICE 1,000 TO 4,999 KW SERVICE CLASSIFICATION</v>
      </c>
      <c r="B257" s="105"/>
      <c r="C257" s="117"/>
      <c r="D257" s="165"/>
      <c r="E257" s="166"/>
      <c r="F257" s="167"/>
      <c r="G257" s="168"/>
      <c r="H257" s="169"/>
      <c r="I257" s="167"/>
      <c r="J257" s="170"/>
      <c r="K257" s="169"/>
      <c r="L257" s="171"/>
      <c r="M257" s="172"/>
    </row>
    <row r="258" spans="1:13" hidden="1" x14ac:dyDescent="0.25">
      <c r="A258" s="100" t="str">
        <f t="shared" si="39"/>
        <v>GENERAL SERVICE 1,000 TO 4,999 KW SERVICE CLASSIFICATION</v>
      </c>
      <c r="B258" s="105" t="s">
        <v>117</v>
      </c>
      <c r="C258" s="117"/>
      <c r="D258" s="173" t="s">
        <v>183</v>
      </c>
      <c r="E258" s="158"/>
      <c r="F258" s="174"/>
      <c r="G258" s="175"/>
      <c r="H258" s="176">
        <f>SUM(H248:H254,H247)</f>
        <v>164658.54399999999</v>
      </c>
      <c r="I258" s="177"/>
      <c r="J258" s="177"/>
      <c r="K258" s="176">
        <f>SUM(K248:K254,K247)</f>
        <v>188178.54399999999</v>
      </c>
      <c r="L258" s="178">
        <f>K258-H258</f>
        <v>23520</v>
      </c>
      <c r="M258" s="179">
        <f>IF((H258)=0,"",(L258/H258))</f>
        <v>0.14284105415143231</v>
      </c>
    </row>
    <row r="259" spans="1:13" hidden="1" x14ac:dyDescent="0.25">
      <c r="A259" s="100" t="str">
        <f t="shared" si="39"/>
        <v>GENERAL SERVICE 1,000 TO 4,999 KW SERVICE CLASSIFICATION</v>
      </c>
      <c r="B259" s="105" t="s">
        <v>117</v>
      </c>
      <c r="C259" s="117"/>
      <c r="D259" s="180" t="s">
        <v>184</v>
      </c>
      <c r="E259" s="158"/>
      <c r="F259" s="174">
        <v>0.13</v>
      </c>
      <c r="G259" s="181"/>
      <c r="H259" s="182">
        <f>H258*F259</f>
        <v>21405.610720000001</v>
      </c>
      <c r="I259" s="183">
        <v>0.13</v>
      </c>
      <c r="J259" s="121"/>
      <c r="K259" s="182">
        <f>K258*I259</f>
        <v>24463.210719999999</v>
      </c>
      <c r="L259" s="184">
        <f>K259-H259</f>
        <v>3057.5999999999985</v>
      </c>
      <c r="M259" s="185">
        <f>IF((H259)=0,"",(L259/H259))</f>
        <v>0.14284105415143225</v>
      </c>
    </row>
    <row r="260" spans="1:13" hidden="1" x14ac:dyDescent="0.25">
      <c r="A260" s="100" t="str">
        <f t="shared" si="39"/>
        <v>GENERAL SERVICE 1,000 TO 4,999 KW SERVICE CLASSIFICATION</v>
      </c>
      <c r="B260" s="105" t="s">
        <v>117</v>
      </c>
      <c r="C260" s="117"/>
      <c r="D260" s="180" t="s">
        <v>185</v>
      </c>
      <c r="E260" s="158"/>
      <c r="F260" s="174">
        <v>0.08</v>
      </c>
      <c r="G260" s="181"/>
      <c r="H260" s="182">
        <v>0</v>
      </c>
      <c r="I260" s="174">
        <v>0.08</v>
      </c>
      <c r="J260" s="121"/>
      <c r="K260" s="182">
        <v>0</v>
      </c>
      <c r="L260" s="184">
        <f>K260-H260</f>
        <v>0</v>
      </c>
      <c r="M260" s="185"/>
    </row>
    <row r="261" spans="1:13" hidden="1" x14ac:dyDescent="0.25">
      <c r="A261" s="100" t="str">
        <f t="shared" si="39"/>
        <v>GENERAL SERVICE 1,000 TO 4,999 KW SERVICE CLASSIFICATION</v>
      </c>
      <c r="B261" s="105" t="s">
        <v>186</v>
      </c>
      <c r="C261" s="117"/>
      <c r="D261" s="301" t="s">
        <v>187</v>
      </c>
      <c r="E261" s="301"/>
      <c r="F261" s="186"/>
      <c r="G261" s="187"/>
      <c r="H261" s="188">
        <f>H258+H259+H260</f>
        <v>186064.15471999999</v>
      </c>
      <c r="I261" s="189"/>
      <c r="J261" s="189"/>
      <c r="K261" s="190">
        <f>K258+K259+K260</f>
        <v>212641.75472</v>
      </c>
      <c r="L261" s="191">
        <f>K261-H261</f>
        <v>26577.600000000006</v>
      </c>
      <c r="M261" s="192">
        <f>IF((H261)=0,"",(L261/H261))</f>
        <v>0.14284105415143236</v>
      </c>
    </row>
    <row r="262" spans="1:13" ht="15.75" hidden="1" thickBot="1" x14ac:dyDescent="0.3">
      <c r="A262" s="100" t="str">
        <f t="shared" si="39"/>
        <v>GENERAL SERVICE 1,000 TO 4,999 KW SERVICE CLASSIFICATION</v>
      </c>
      <c r="B262" s="100" t="s">
        <v>117</v>
      </c>
      <c r="C262" s="117"/>
      <c r="D262" s="165"/>
      <c r="E262" s="166"/>
      <c r="F262" s="167"/>
      <c r="G262" s="168"/>
      <c r="H262" s="169"/>
      <c r="I262" s="167"/>
      <c r="J262" s="170"/>
      <c r="K262" s="169"/>
      <c r="L262" s="171"/>
      <c r="M262" s="172"/>
    </row>
    <row r="263" spans="1:13" hidden="1" x14ac:dyDescent="0.25">
      <c r="A263" s="100" t="str">
        <f t="shared" si="39"/>
        <v>GENERAL SERVICE 1,000 TO 4,999 KW SERVICE CLASSIFICATION</v>
      </c>
      <c r="B263" s="100" t="s">
        <v>180</v>
      </c>
      <c r="C263" s="117"/>
      <c r="D263" s="173" t="s">
        <v>188</v>
      </c>
      <c r="E263" s="158"/>
      <c r="F263" s="174"/>
      <c r="G263" s="175"/>
      <c r="H263" s="176">
        <f>SUM(H255,H248:H251,H247)</f>
        <v>212153.19999999998</v>
      </c>
      <c r="I263" s="177"/>
      <c r="J263" s="177"/>
      <c r="K263" s="176">
        <f>SUM(K255,K248:K251,K247)</f>
        <v>235673.2</v>
      </c>
      <c r="L263" s="178">
        <f>K263-H263</f>
        <v>23520.000000000029</v>
      </c>
      <c r="M263" s="179">
        <f>IF((H263)=0,"",(L263/H263))</f>
        <v>0.11086328181710213</v>
      </c>
    </row>
    <row r="264" spans="1:13" hidden="1" x14ac:dyDescent="0.25">
      <c r="A264" s="100" t="str">
        <f t="shared" si="39"/>
        <v>GENERAL SERVICE 1,000 TO 4,999 KW SERVICE CLASSIFICATION</v>
      </c>
      <c r="B264" s="100" t="s">
        <v>180</v>
      </c>
      <c r="C264" s="117"/>
      <c r="D264" s="180" t="s">
        <v>184</v>
      </c>
      <c r="E264" s="158"/>
      <c r="F264" s="174">
        <v>0.13</v>
      </c>
      <c r="G264" s="175"/>
      <c r="H264" s="182">
        <f>H263*F264</f>
        <v>27579.915999999997</v>
      </c>
      <c r="I264" s="174">
        <v>0.13</v>
      </c>
      <c r="J264" s="183"/>
      <c r="K264" s="182">
        <f>K263*I264</f>
        <v>30637.516000000003</v>
      </c>
      <c r="L264" s="184">
        <f>K264-H264</f>
        <v>3057.6000000000058</v>
      </c>
      <c r="M264" s="185">
        <f>IF((H264)=0,"",(L264/H264))</f>
        <v>0.1108632818171022</v>
      </c>
    </row>
    <row r="265" spans="1:13" hidden="1" x14ac:dyDescent="0.25">
      <c r="A265" s="100" t="str">
        <f t="shared" si="39"/>
        <v>GENERAL SERVICE 1,000 TO 4,999 KW SERVICE CLASSIFICATION</v>
      </c>
      <c r="B265" s="100" t="s">
        <v>180</v>
      </c>
      <c r="C265" s="117"/>
      <c r="D265" s="180" t="s">
        <v>185</v>
      </c>
      <c r="E265" s="158"/>
      <c r="F265" s="174">
        <v>0.08</v>
      </c>
      <c r="G265" s="175"/>
      <c r="H265" s="182">
        <v>0</v>
      </c>
      <c r="I265" s="174">
        <v>0.08</v>
      </c>
      <c r="J265" s="183"/>
      <c r="K265" s="182">
        <v>0</v>
      </c>
      <c r="L265" s="184"/>
      <c r="M265" s="185"/>
    </row>
    <row r="266" spans="1:13" hidden="1" x14ac:dyDescent="0.25">
      <c r="A266" s="100" t="str">
        <f t="shared" si="39"/>
        <v>GENERAL SERVICE 1,000 TO 4,999 KW SERVICE CLASSIFICATION</v>
      </c>
      <c r="B266" s="100" t="s">
        <v>189</v>
      </c>
      <c r="C266" s="117"/>
      <c r="D266" s="301" t="s">
        <v>188</v>
      </c>
      <c r="E266" s="301"/>
      <c r="F266" s="193"/>
      <c r="G266" s="194"/>
      <c r="H266" s="188">
        <f>SUM(H263,H264)</f>
        <v>239733.11599999998</v>
      </c>
      <c r="I266" s="195"/>
      <c r="J266" s="195"/>
      <c r="K266" s="188">
        <f>SUM(K263,K264)</f>
        <v>266310.71600000001</v>
      </c>
      <c r="L266" s="196">
        <f>K266-H266</f>
        <v>26577.600000000035</v>
      </c>
      <c r="M266" s="197">
        <f>IF((H266)=0,"",(L266/H266))</f>
        <v>0.11086328181710213</v>
      </c>
    </row>
    <row r="267" spans="1:13" ht="15.75" hidden="1" thickBot="1" x14ac:dyDescent="0.3">
      <c r="A267" s="100" t="str">
        <f t="shared" si="39"/>
        <v>GENERAL SERVICE 1,000 TO 4,999 KW SERVICE CLASSIFICATION</v>
      </c>
      <c r="B267" s="100" t="s">
        <v>180</v>
      </c>
      <c r="C267" s="117"/>
      <c r="D267" s="165"/>
      <c r="E267" s="166"/>
      <c r="F267" s="198"/>
      <c r="G267" s="199"/>
      <c r="H267" s="200"/>
      <c r="I267" s="198"/>
      <c r="J267" s="168"/>
      <c r="K267" s="200"/>
      <c r="L267" s="201"/>
      <c r="M267" s="172"/>
    </row>
    <row r="268" spans="1:13" x14ac:dyDescent="0.25">
      <c r="A268" s="100" t="str">
        <f t="shared" si="39"/>
        <v>GENERAL SERVICE 1,000 TO 4,999 KW SERVICE CLASSIFICATION</v>
      </c>
      <c r="B268" s="100" t="s">
        <v>121</v>
      </c>
      <c r="C268" s="117"/>
      <c r="D268" s="173" t="s">
        <v>190</v>
      </c>
      <c r="E268" s="158"/>
      <c r="F268" s="174"/>
      <c r="G268" s="175"/>
      <c r="H268" s="176">
        <f>SUM(H256,H248:H251,H247)</f>
        <v>212153.19999999998</v>
      </c>
      <c r="I268" s="177"/>
      <c r="J268" s="177"/>
      <c r="K268" s="176">
        <f>SUM(K256,K248:K251,K247)</f>
        <v>235673.2</v>
      </c>
      <c r="L268" s="178">
        <f>K268-H268</f>
        <v>23520.000000000029</v>
      </c>
      <c r="M268" s="179">
        <f>IF((H268)=0,"",(L268/H268))</f>
        <v>0.11086328181710213</v>
      </c>
    </row>
    <row r="269" spans="1:13" x14ac:dyDescent="0.25">
      <c r="A269" s="100" t="str">
        <f t="shared" si="39"/>
        <v>GENERAL SERVICE 1,000 TO 4,999 KW SERVICE CLASSIFICATION</v>
      </c>
      <c r="B269" s="100" t="s">
        <v>121</v>
      </c>
      <c r="C269" s="117"/>
      <c r="D269" s="180" t="s">
        <v>184</v>
      </c>
      <c r="E269" s="158"/>
      <c r="F269" s="174">
        <v>0.13</v>
      </c>
      <c r="G269" s="175"/>
      <c r="H269" s="182">
        <f>H268*F269</f>
        <v>27579.915999999997</v>
      </c>
      <c r="I269" s="174">
        <v>0.13</v>
      </c>
      <c r="J269" s="183"/>
      <c r="K269" s="182">
        <f>K268*I269</f>
        <v>30637.516000000003</v>
      </c>
      <c r="L269" s="184">
        <f>K269-H269</f>
        <v>3057.6000000000058</v>
      </c>
      <c r="M269" s="185">
        <f>IF((H269)=0,"",(L269/H269))</f>
        <v>0.1108632818171022</v>
      </c>
    </row>
    <row r="270" spans="1:13" x14ac:dyDescent="0.25">
      <c r="A270" s="100" t="str">
        <f t="shared" si="39"/>
        <v>GENERAL SERVICE 1,000 TO 4,999 KW SERVICE CLASSIFICATION</v>
      </c>
      <c r="B270" s="100" t="s">
        <v>121</v>
      </c>
      <c r="C270" s="117"/>
      <c r="D270" s="180" t="s">
        <v>185</v>
      </c>
      <c r="E270" s="158"/>
      <c r="F270" s="174">
        <v>0.08</v>
      </c>
      <c r="G270" s="175"/>
      <c r="H270" s="182">
        <v>0</v>
      </c>
      <c r="I270" s="174">
        <v>0.08</v>
      </c>
      <c r="J270" s="183"/>
      <c r="K270" s="182">
        <v>0</v>
      </c>
      <c r="L270" s="184"/>
      <c r="M270" s="185"/>
    </row>
    <row r="271" spans="1:13" ht="15.75" thickBot="1" x14ac:dyDescent="0.3">
      <c r="A271" s="100" t="str">
        <f t="shared" si="39"/>
        <v>GENERAL SERVICE 1,000 TO 4,999 KW SERVICE CLASSIFICATION</v>
      </c>
      <c r="B271" s="100" t="s">
        <v>191</v>
      </c>
      <c r="C271" s="117">
        <f>B6</f>
        <v>4</v>
      </c>
      <c r="D271" s="301" t="s">
        <v>190</v>
      </c>
      <c r="E271" s="301"/>
      <c r="F271" s="193"/>
      <c r="G271" s="194"/>
      <c r="H271" s="188">
        <f>SUM(H268,H269)</f>
        <v>239733.11599999998</v>
      </c>
      <c r="I271" s="195"/>
      <c r="J271" s="195"/>
      <c r="K271" s="188">
        <f>SUM(K268,K269)</f>
        <v>266310.71600000001</v>
      </c>
      <c r="L271" s="196">
        <f>K271-H271</f>
        <v>26577.600000000035</v>
      </c>
      <c r="M271" s="197">
        <f>IF((H271)=0,"",(L271/H271))</f>
        <v>0.11086328181710213</v>
      </c>
    </row>
    <row r="272" spans="1:13" ht="15.75" thickBot="1" x14ac:dyDescent="0.3">
      <c r="A272" s="100" t="str">
        <f t="shared" si="39"/>
        <v>GENERAL SERVICE 1,000 TO 4,999 KW SERVICE CLASSIFICATION</v>
      </c>
      <c r="B272" s="100" t="s">
        <v>121</v>
      </c>
      <c r="C272" s="117"/>
      <c r="D272" s="165"/>
      <c r="E272" s="166"/>
      <c r="F272" s="202"/>
      <c r="G272" s="203"/>
      <c r="H272" s="204"/>
      <c r="I272" s="202"/>
      <c r="J272" s="205"/>
      <c r="K272" s="204"/>
      <c r="L272" s="206"/>
      <c r="M272" s="207"/>
    </row>
    <row r="275" spans="1:13" x14ac:dyDescent="0.25">
      <c r="C275" s="100"/>
      <c r="D275" s="101" t="s">
        <v>134</v>
      </c>
      <c r="E275" s="302" t="str">
        <f>D7</f>
        <v>UNMETERED SCATTERED LOAD SERVICE CLASSIFICATION</v>
      </c>
      <c r="F275" s="302"/>
      <c r="G275" s="302"/>
      <c r="H275" s="302"/>
      <c r="I275" s="302"/>
      <c r="J275" s="302"/>
      <c r="K275" s="100" t="str">
        <f>IF(N7="DEMAND - INTERVAL","RTSR - INTERVAL METERED","")</f>
        <v/>
      </c>
    </row>
    <row r="276" spans="1:13" x14ac:dyDescent="0.25">
      <c r="C276" s="100"/>
      <c r="D276" s="101" t="s">
        <v>135</v>
      </c>
      <c r="E276" s="303" t="str">
        <f>H7</f>
        <v>RPP</v>
      </c>
      <c r="F276" s="303"/>
      <c r="G276" s="303"/>
      <c r="H276" s="102"/>
      <c r="I276" s="102"/>
    </row>
    <row r="277" spans="1:13" ht="15.75" x14ac:dyDescent="0.25">
      <c r="C277" s="100"/>
      <c r="D277" s="101" t="s">
        <v>136</v>
      </c>
      <c r="E277" s="103">
        <f>K7</f>
        <v>150</v>
      </c>
      <c r="F277" s="104" t="s">
        <v>137</v>
      </c>
      <c r="G277" s="105"/>
      <c r="J277" s="106"/>
      <c r="K277" s="106"/>
      <c r="L277" s="106"/>
      <c r="M277" s="106"/>
    </row>
    <row r="278" spans="1:13" ht="15.75" x14ac:dyDescent="0.25">
      <c r="C278" s="100"/>
      <c r="D278" s="101" t="s">
        <v>138</v>
      </c>
      <c r="E278" s="103">
        <f>L7</f>
        <v>0</v>
      </c>
      <c r="F278" s="107" t="s">
        <v>139</v>
      </c>
      <c r="G278" s="108"/>
      <c r="H278" s="109"/>
      <c r="I278" s="109"/>
      <c r="J278" s="109"/>
    </row>
    <row r="279" spans="1:13" x14ac:dyDescent="0.25">
      <c r="C279" s="100"/>
      <c r="D279" s="101" t="s">
        <v>140</v>
      </c>
      <c r="E279" s="110">
        <f>I7</f>
        <v>1.056</v>
      </c>
    </row>
    <row r="280" spans="1:13" x14ac:dyDescent="0.25">
      <c r="C280" s="100"/>
      <c r="D280" s="101" t="s">
        <v>141</v>
      </c>
      <c r="E280" s="110">
        <f>J7</f>
        <v>1.056</v>
      </c>
    </row>
    <row r="281" spans="1:13" x14ac:dyDescent="0.25">
      <c r="C281" s="100"/>
      <c r="D281" s="105"/>
    </row>
    <row r="282" spans="1:13" x14ac:dyDescent="0.25">
      <c r="C282" s="100"/>
      <c r="D282" s="105"/>
      <c r="E282" s="111"/>
      <c r="F282" s="304" t="s">
        <v>142</v>
      </c>
      <c r="G282" s="305"/>
      <c r="H282" s="306"/>
      <c r="I282" s="304" t="s">
        <v>143</v>
      </c>
      <c r="J282" s="305"/>
      <c r="K282" s="306"/>
      <c r="L282" s="304" t="s">
        <v>144</v>
      </c>
      <c r="M282" s="306"/>
    </row>
    <row r="283" spans="1:13" x14ac:dyDescent="0.25">
      <c r="C283" s="100"/>
      <c r="D283" s="105"/>
      <c r="E283" s="295"/>
      <c r="F283" s="112" t="s">
        <v>145</v>
      </c>
      <c r="G283" s="112" t="s">
        <v>146</v>
      </c>
      <c r="H283" s="113" t="s">
        <v>147</v>
      </c>
      <c r="I283" s="112" t="s">
        <v>145</v>
      </c>
      <c r="J283" s="114" t="s">
        <v>146</v>
      </c>
      <c r="K283" s="113" t="s">
        <v>147</v>
      </c>
      <c r="L283" s="297" t="s">
        <v>148</v>
      </c>
      <c r="M283" s="299" t="s">
        <v>149</v>
      </c>
    </row>
    <row r="284" spans="1:13" x14ac:dyDescent="0.25">
      <c r="C284" s="100"/>
      <c r="D284" s="105"/>
      <c r="E284" s="296"/>
      <c r="F284" s="115" t="s">
        <v>150</v>
      </c>
      <c r="G284" s="115"/>
      <c r="H284" s="116" t="s">
        <v>150</v>
      </c>
      <c r="I284" s="115" t="s">
        <v>150</v>
      </c>
      <c r="J284" s="116"/>
      <c r="K284" s="116" t="s">
        <v>150</v>
      </c>
      <c r="L284" s="298"/>
      <c r="M284" s="300"/>
    </row>
    <row r="285" spans="1:13" x14ac:dyDescent="0.25">
      <c r="A285" s="100" t="str">
        <f>$E275</f>
        <v>UNMETERED SCATTERED LOAD SERVICE CLASSIFICATION</v>
      </c>
      <c r="C285" s="117"/>
      <c r="D285" s="118" t="s">
        <v>151</v>
      </c>
      <c r="E285" s="119"/>
      <c r="F285" s="120">
        <v>7.97</v>
      </c>
      <c r="G285" s="121">
        <v>1</v>
      </c>
      <c r="H285" s="122">
        <f>G285*F285</f>
        <v>7.97</v>
      </c>
      <c r="I285" s="123">
        <v>8.07</v>
      </c>
      <c r="J285" s="124">
        <v>1</v>
      </c>
      <c r="K285" s="122">
        <f>H285</f>
        <v>7.97</v>
      </c>
      <c r="L285" s="125">
        <f t="shared" ref="L285:L306" si="45">K285-H285</f>
        <v>0</v>
      </c>
      <c r="M285" s="126">
        <f>IF(ISERROR(L285/H285), "", L285/H285)</f>
        <v>0</v>
      </c>
    </row>
    <row r="286" spans="1:13" x14ac:dyDescent="0.25">
      <c r="A286" s="100" t="str">
        <f>A285</f>
        <v>UNMETERED SCATTERED LOAD SERVICE CLASSIFICATION</v>
      </c>
      <c r="C286" s="117"/>
      <c r="D286" s="118" t="s">
        <v>152</v>
      </c>
      <c r="E286" s="119"/>
      <c r="F286" s="127">
        <v>5.4000000000000003E-3</v>
      </c>
      <c r="G286" s="121">
        <f>IF($E278&gt;0, $E278, $E277)</f>
        <v>150</v>
      </c>
      <c r="H286" s="122">
        <f t="shared" ref="H286:H298" si="46">G286*F286</f>
        <v>0.81</v>
      </c>
      <c r="I286" s="128">
        <v>5.4999999999999997E-3</v>
      </c>
      <c r="J286" s="124">
        <f>IF($E278&gt;0, $E278, $E277)</f>
        <v>150</v>
      </c>
      <c r="K286" s="122">
        <f>H286</f>
        <v>0.81</v>
      </c>
      <c r="L286" s="125">
        <f t="shared" si="45"/>
        <v>0</v>
      </c>
      <c r="M286" s="126">
        <f t="shared" ref="M286:M296" si="47">IF(ISERROR(L286/H286), "", L286/H286)</f>
        <v>0</v>
      </c>
    </row>
    <row r="287" spans="1:13" x14ac:dyDescent="0.25">
      <c r="A287" s="100" t="str">
        <f t="shared" ref="A287:A328" si="48">A286</f>
        <v>UNMETERED SCATTERED LOAD SERVICE CLASSIFICATION</v>
      </c>
      <c r="C287" s="117"/>
      <c r="D287" s="118" t="s">
        <v>153</v>
      </c>
      <c r="E287" s="119"/>
      <c r="F287" s="127"/>
      <c r="G287" s="121"/>
      <c r="H287" s="122">
        <v>0</v>
      </c>
      <c r="I287" s="128"/>
      <c r="J287" s="124">
        <f>IF($E278&gt;0, $E278, $E277)</f>
        <v>150</v>
      </c>
      <c r="K287" s="122">
        <v>0</v>
      </c>
      <c r="L287" s="125"/>
      <c r="M287" s="126"/>
    </row>
    <row r="288" spans="1:13" x14ac:dyDescent="0.25">
      <c r="A288" s="100" t="str">
        <f t="shared" si="48"/>
        <v>UNMETERED SCATTERED LOAD SERVICE CLASSIFICATION</v>
      </c>
      <c r="C288" s="117"/>
      <c r="D288" s="118" t="s">
        <v>154</v>
      </c>
      <c r="E288" s="119"/>
      <c r="F288" s="127"/>
      <c r="G288" s="121">
        <f>IF($E278&gt;0, $E278, $E277)</f>
        <v>150</v>
      </c>
      <c r="H288" s="122">
        <v>0</v>
      </c>
      <c r="I288" s="128"/>
      <c r="J288" s="121">
        <f>IF($E278&gt;0, $E278, $E277)</f>
        <v>150</v>
      </c>
      <c r="K288" s="122">
        <v>0</v>
      </c>
      <c r="L288" s="125">
        <f>K288-H288</f>
        <v>0</v>
      </c>
      <c r="M288" s="126" t="str">
        <f>IF(ISERROR(L288/H288), "", L288/H288)</f>
        <v/>
      </c>
    </row>
    <row r="289" spans="1:13" x14ac:dyDescent="0.25">
      <c r="A289" s="100" t="str">
        <f t="shared" si="48"/>
        <v>UNMETERED SCATTERED LOAD SERVICE CLASSIFICATION</v>
      </c>
      <c r="C289" s="117"/>
      <c r="D289" s="129" t="s">
        <v>155</v>
      </c>
      <c r="E289" s="119"/>
      <c r="F289" s="120">
        <v>0</v>
      </c>
      <c r="G289" s="121">
        <v>1</v>
      </c>
      <c r="H289" s="122">
        <f t="shared" si="46"/>
        <v>0</v>
      </c>
      <c r="I289" s="123">
        <v>0</v>
      </c>
      <c r="J289" s="124">
        <f>G289</f>
        <v>1</v>
      </c>
      <c r="K289" s="122">
        <f t="shared" ref="K289:K295" si="49">J289*I289</f>
        <v>0</v>
      </c>
      <c r="L289" s="125">
        <f t="shared" si="45"/>
        <v>0</v>
      </c>
      <c r="M289" s="126" t="str">
        <f t="shared" si="47"/>
        <v/>
      </c>
    </row>
    <row r="290" spans="1:13" x14ac:dyDescent="0.25">
      <c r="A290" s="100" t="str">
        <f t="shared" si="48"/>
        <v>UNMETERED SCATTERED LOAD SERVICE CLASSIFICATION</v>
      </c>
      <c r="C290" s="117"/>
      <c r="D290" s="118" t="s">
        <v>156</v>
      </c>
      <c r="E290" s="119"/>
      <c r="F290" s="127">
        <v>0</v>
      </c>
      <c r="G290" s="121">
        <f>IF($E278&gt;0, $E278, $E277)</f>
        <v>150</v>
      </c>
      <c r="H290" s="122">
        <f t="shared" si="46"/>
        <v>0</v>
      </c>
      <c r="I290" s="128">
        <v>0</v>
      </c>
      <c r="J290" s="124">
        <f>IF($E278&gt;0, $E278, $E277)</f>
        <v>150</v>
      </c>
      <c r="K290" s="122">
        <f t="shared" si="49"/>
        <v>0</v>
      </c>
      <c r="L290" s="125">
        <f t="shared" si="45"/>
        <v>0</v>
      </c>
      <c r="M290" s="126" t="str">
        <f t="shared" si="47"/>
        <v/>
      </c>
    </row>
    <row r="291" spans="1:13" x14ac:dyDescent="0.25">
      <c r="A291" s="100" t="str">
        <f t="shared" si="48"/>
        <v>UNMETERED SCATTERED LOAD SERVICE CLASSIFICATION</v>
      </c>
      <c r="B291" s="130" t="s">
        <v>157</v>
      </c>
      <c r="C291" s="117">
        <f>B7</f>
        <v>5</v>
      </c>
      <c r="D291" s="131" t="s">
        <v>158</v>
      </c>
      <c r="E291" s="132"/>
      <c r="F291" s="133"/>
      <c r="G291" s="134"/>
      <c r="H291" s="135">
        <f>SUM(H285:H290)</f>
        <v>8.7799999999999994</v>
      </c>
      <c r="I291" s="136"/>
      <c r="J291" s="137"/>
      <c r="K291" s="135">
        <f>SUM(K285:K290)</f>
        <v>8.7799999999999994</v>
      </c>
      <c r="L291" s="138">
        <f t="shared" si="45"/>
        <v>0</v>
      </c>
      <c r="M291" s="139">
        <f>IF((H291)=0,"",(L291/H291))</f>
        <v>0</v>
      </c>
    </row>
    <row r="292" spans="1:13" x14ac:dyDescent="0.25">
      <c r="A292" s="100" t="str">
        <f t="shared" si="48"/>
        <v>UNMETERED SCATTERED LOAD SERVICE CLASSIFICATION</v>
      </c>
      <c r="C292" s="117"/>
      <c r="D292" s="140" t="s">
        <v>159</v>
      </c>
      <c r="E292" s="119"/>
      <c r="F292" s="127">
        <f>IF((E277*12&gt;=150000), 0, IF(E276="RPP",(F308*0.65+F309*0.17+F310*0.18),IF(E276="Non-RPP (Retailer)",F311,F312)))</f>
        <v>8.1990000000000007E-2</v>
      </c>
      <c r="G292" s="141">
        <f>IF(F292=0, 0, $E277*E279-E277)</f>
        <v>8.4000000000000057</v>
      </c>
      <c r="H292" s="122">
        <f>G292*F292</f>
        <v>0.68871600000000055</v>
      </c>
      <c r="I292" s="128">
        <f>IF((E277*12&gt;=150000), 0, IF(E276="RPP",(I308*0.65+I309*0.17+I310*0.18),IF(E276="Non-RPP (Retailer)",I311,I312)))</f>
        <v>8.1990000000000007E-2</v>
      </c>
      <c r="J292" s="141">
        <f>IF(I292=0, 0, E277*E280-E277)</f>
        <v>8.4000000000000057</v>
      </c>
      <c r="K292" s="122">
        <f>J292*I292</f>
        <v>0.68871600000000055</v>
      </c>
      <c r="L292" s="125">
        <f>K292-H292</f>
        <v>0</v>
      </c>
      <c r="M292" s="126">
        <f>IF(ISERROR(L292/H292), "", L292/H292)</f>
        <v>0</v>
      </c>
    </row>
    <row r="293" spans="1:13" ht="25.5" x14ac:dyDescent="0.25">
      <c r="A293" s="100" t="str">
        <f t="shared" si="48"/>
        <v>UNMETERED SCATTERED LOAD SERVICE CLASSIFICATION</v>
      </c>
      <c r="C293" s="117"/>
      <c r="D293" s="140" t="s">
        <v>160</v>
      </c>
      <c r="E293" s="119"/>
      <c r="F293" s="127">
        <v>-1.1999999999999999E-3</v>
      </c>
      <c r="G293" s="142">
        <f>IF($E278&gt;0, $E278, $E277)</f>
        <v>150</v>
      </c>
      <c r="H293" s="122">
        <f t="shared" si="46"/>
        <v>-0.18</v>
      </c>
      <c r="I293" s="128">
        <v>-5.3E-3</v>
      </c>
      <c r="J293" s="142">
        <f>IF($E278&gt;0, $E278, $E277)</f>
        <v>150</v>
      </c>
      <c r="K293" s="122">
        <f>H293</f>
        <v>-0.18</v>
      </c>
      <c r="L293" s="125">
        <f t="shared" si="45"/>
        <v>0</v>
      </c>
      <c r="M293" s="126">
        <f t="shared" si="47"/>
        <v>0</v>
      </c>
    </row>
    <row r="294" spans="1:13" x14ac:dyDescent="0.25">
      <c r="A294" s="100" t="str">
        <f t="shared" si="48"/>
        <v>UNMETERED SCATTERED LOAD SERVICE CLASSIFICATION</v>
      </c>
      <c r="C294" s="117"/>
      <c r="D294" s="140" t="s">
        <v>161</v>
      </c>
      <c r="E294" s="119"/>
      <c r="F294" s="127">
        <v>-1E-4</v>
      </c>
      <c r="G294" s="142">
        <f>IF($E278&gt;0, $E278, $E277)</f>
        <v>150</v>
      </c>
      <c r="H294" s="122">
        <f>G294*F294</f>
        <v>-1.5000000000000001E-2</v>
      </c>
      <c r="I294" s="128">
        <v>0</v>
      </c>
      <c r="J294" s="142">
        <f>IF($E278&gt;0, $E278, $E277)</f>
        <v>150</v>
      </c>
      <c r="K294" s="122">
        <f>H294</f>
        <v>-1.5000000000000001E-2</v>
      </c>
      <c r="L294" s="125">
        <f t="shared" si="45"/>
        <v>0</v>
      </c>
      <c r="M294" s="126">
        <f t="shared" si="47"/>
        <v>0</v>
      </c>
    </row>
    <row r="295" spans="1:13" x14ac:dyDescent="0.25">
      <c r="A295" s="100" t="str">
        <f t="shared" si="48"/>
        <v>UNMETERED SCATTERED LOAD SERVICE CLASSIFICATION</v>
      </c>
      <c r="C295" s="117"/>
      <c r="D295" s="140" t="s">
        <v>162</v>
      </c>
      <c r="E295" s="119"/>
      <c r="F295" s="127">
        <v>0</v>
      </c>
      <c r="G295" s="142">
        <f>E277</f>
        <v>150</v>
      </c>
      <c r="H295" s="122">
        <f>G295*F295</f>
        <v>0</v>
      </c>
      <c r="I295" s="128">
        <v>0</v>
      </c>
      <c r="J295" s="142">
        <f>E277</f>
        <v>150</v>
      </c>
      <c r="K295" s="122">
        <f t="shared" si="49"/>
        <v>0</v>
      </c>
      <c r="L295" s="125">
        <f t="shared" si="45"/>
        <v>0</v>
      </c>
      <c r="M295" s="126" t="str">
        <f t="shared" si="47"/>
        <v/>
      </c>
    </row>
    <row r="296" spans="1:13" x14ac:dyDescent="0.25">
      <c r="A296" s="100" t="str">
        <f t="shared" si="48"/>
        <v>UNMETERED SCATTERED LOAD SERVICE CLASSIFICATION</v>
      </c>
      <c r="C296" s="117"/>
      <c r="D296" s="143" t="s">
        <v>163</v>
      </c>
      <c r="E296" s="119"/>
      <c r="F296" s="127">
        <v>2.3999999999999998E-3</v>
      </c>
      <c r="G296" s="142">
        <f>IF($E278&gt;0, $E278, $E277)</f>
        <v>150</v>
      </c>
      <c r="H296" s="122">
        <f t="shared" si="46"/>
        <v>0.36</v>
      </c>
      <c r="I296" s="128">
        <v>2.3999999999999998E-3</v>
      </c>
      <c r="J296" s="142">
        <f>IF($E278&gt;0, $E278, $E277)</f>
        <v>150</v>
      </c>
      <c r="K296" s="122">
        <f>H296</f>
        <v>0.36</v>
      </c>
      <c r="L296" s="125">
        <f t="shared" si="45"/>
        <v>0</v>
      </c>
      <c r="M296" s="126">
        <f t="shared" si="47"/>
        <v>0</v>
      </c>
    </row>
    <row r="297" spans="1:13" ht="25.5" x14ac:dyDescent="0.25">
      <c r="A297" s="100" t="str">
        <f t="shared" si="48"/>
        <v>UNMETERED SCATTERED LOAD SERVICE CLASSIFICATION</v>
      </c>
      <c r="C297" s="117"/>
      <c r="D297" s="144" t="s">
        <v>164</v>
      </c>
      <c r="E297" s="119"/>
      <c r="F297" s="145">
        <f>IF(OR(ISNUMBER(SEARCH("RESIDENTIAL", E275))=TRUE, ISNUMBER(SEARCH("GENERAL SERVICE LESS THAN 50", E275))=TRUE), SME, 0)</f>
        <v>0</v>
      </c>
      <c r="G297" s="121">
        <v>1</v>
      </c>
      <c r="H297" s="122">
        <f>G297*F297</f>
        <v>0</v>
      </c>
      <c r="I297" s="146">
        <f>IF(OR(ISNUMBER(SEARCH("RESIDENTIAL", E275))=TRUE, ISNUMBER(SEARCH("GENERAL SERVICE LESS THAN 50", E275))=TRUE), SME, 0)</f>
        <v>0</v>
      </c>
      <c r="J297" s="121">
        <v>1</v>
      </c>
      <c r="K297" s="122">
        <f>J297*I297</f>
        <v>0</v>
      </c>
      <c r="L297" s="125">
        <f t="shared" si="45"/>
        <v>0</v>
      </c>
      <c r="M297" s="126" t="str">
        <f>IF(ISERROR(L297/H297), "", L297/H297)</f>
        <v/>
      </c>
    </row>
    <row r="298" spans="1:13" x14ac:dyDescent="0.25">
      <c r="A298" s="100" t="str">
        <f t="shared" si="48"/>
        <v>UNMETERED SCATTERED LOAD SERVICE CLASSIFICATION</v>
      </c>
      <c r="C298" s="117"/>
      <c r="D298" s="143" t="s">
        <v>165</v>
      </c>
      <c r="E298" s="119"/>
      <c r="F298" s="120">
        <v>0</v>
      </c>
      <c r="G298" s="121">
        <v>1</v>
      </c>
      <c r="H298" s="122">
        <f t="shared" si="46"/>
        <v>0</v>
      </c>
      <c r="I298" s="123">
        <v>0</v>
      </c>
      <c r="J298" s="121">
        <v>1</v>
      </c>
      <c r="K298" s="122">
        <f>J298*I298</f>
        <v>0</v>
      </c>
      <c r="L298" s="125">
        <f>K298-H298</f>
        <v>0</v>
      </c>
      <c r="M298" s="126" t="str">
        <f>IF(ISERROR(L298/H298), "", L298/H298)</f>
        <v/>
      </c>
    </row>
    <row r="299" spans="1:13" x14ac:dyDescent="0.25">
      <c r="A299" s="100" t="str">
        <f t="shared" si="48"/>
        <v>UNMETERED SCATTERED LOAD SERVICE CLASSIFICATION</v>
      </c>
      <c r="C299" s="117"/>
      <c r="D299" s="143" t="s">
        <v>166</v>
      </c>
      <c r="E299" s="119"/>
      <c r="F299" s="127"/>
      <c r="G299" s="142">
        <f>IF($E278&gt;0, $E278, $E277)</f>
        <v>150</v>
      </c>
      <c r="H299" s="122">
        <f>G299*F299</f>
        <v>0</v>
      </c>
      <c r="I299" s="128">
        <v>0</v>
      </c>
      <c r="J299" s="142">
        <f>IF($E278&gt;0, $E278, $E277)</f>
        <v>150</v>
      </c>
      <c r="K299" s="122">
        <f>J299*I299</f>
        <v>0</v>
      </c>
      <c r="L299" s="125">
        <f t="shared" si="45"/>
        <v>0</v>
      </c>
      <c r="M299" s="126" t="str">
        <f>IF(ISERROR(L299/H299), "", L299/H299)</f>
        <v/>
      </c>
    </row>
    <row r="300" spans="1:13" ht="25.5" x14ac:dyDescent="0.25">
      <c r="A300" s="100" t="str">
        <f t="shared" si="48"/>
        <v>UNMETERED SCATTERED LOAD SERVICE CLASSIFICATION</v>
      </c>
      <c r="B300" s="105" t="s">
        <v>167</v>
      </c>
      <c r="C300" s="117">
        <f>B7</f>
        <v>5</v>
      </c>
      <c r="D300" s="147" t="s">
        <v>168</v>
      </c>
      <c r="E300" s="148"/>
      <c r="F300" s="149"/>
      <c r="G300" s="150"/>
      <c r="H300" s="151">
        <f>SUM(H291:H299)</f>
        <v>9.6337159999999997</v>
      </c>
      <c r="I300" s="152"/>
      <c r="J300" s="153"/>
      <c r="K300" s="151">
        <f>SUM(K291:K299)</f>
        <v>9.6337159999999997</v>
      </c>
      <c r="L300" s="138">
        <f t="shared" si="45"/>
        <v>0</v>
      </c>
      <c r="M300" s="139">
        <f>IF((H300)=0,"",(L300/H300))</f>
        <v>0</v>
      </c>
    </row>
    <row r="301" spans="1:13" x14ac:dyDescent="0.25">
      <c r="A301" s="100" t="str">
        <f t="shared" si="48"/>
        <v>UNMETERED SCATTERED LOAD SERVICE CLASSIFICATION</v>
      </c>
      <c r="C301" s="117"/>
      <c r="D301" s="154" t="s">
        <v>169</v>
      </c>
      <c r="E301" s="119"/>
      <c r="F301" s="127">
        <v>6.0000000000000001E-3</v>
      </c>
      <c r="G301" s="141">
        <f>IF($E278&gt;0, $E278, $E277*$E279)</f>
        <v>158.4</v>
      </c>
      <c r="H301" s="122">
        <f>G301*F301</f>
        <v>0.95040000000000002</v>
      </c>
      <c r="I301" s="128">
        <v>5.7000000000000002E-3</v>
      </c>
      <c r="J301" s="141">
        <f>IF($E278&gt;0, $E278, $E277*$E280)</f>
        <v>158.4</v>
      </c>
      <c r="K301" s="122">
        <f>H301</f>
        <v>0.95040000000000002</v>
      </c>
      <c r="L301" s="125">
        <f t="shared" si="45"/>
        <v>0</v>
      </c>
      <c r="M301" s="126">
        <f>IF(ISERROR(L301/H301), "", L301/H301)</f>
        <v>0</v>
      </c>
    </row>
    <row r="302" spans="1:13" ht="25.5" x14ac:dyDescent="0.25">
      <c r="A302" s="100" t="str">
        <f t="shared" si="48"/>
        <v>UNMETERED SCATTERED LOAD SERVICE CLASSIFICATION</v>
      </c>
      <c r="C302" s="117"/>
      <c r="D302" s="155" t="s">
        <v>170</v>
      </c>
      <c r="E302" s="119"/>
      <c r="F302" s="127">
        <v>5.3E-3</v>
      </c>
      <c r="G302" s="141">
        <f>IF($E278&gt;0, $E278, $E277*$E279)</f>
        <v>158.4</v>
      </c>
      <c r="H302" s="122">
        <f>G302*F302</f>
        <v>0.83952000000000004</v>
      </c>
      <c r="I302" s="128">
        <v>5.0000000000000001E-3</v>
      </c>
      <c r="J302" s="141">
        <f>IF($E278&gt;0, $E278, $E277*$E280)</f>
        <v>158.4</v>
      </c>
      <c r="K302" s="122">
        <f>H302</f>
        <v>0.83952000000000004</v>
      </c>
      <c r="L302" s="125">
        <f t="shared" si="45"/>
        <v>0</v>
      </c>
      <c r="M302" s="126">
        <f>IF(ISERROR(L302/H302), "", L302/H302)</f>
        <v>0</v>
      </c>
    </row>
    <row r="303" spans="1:13" ht="25.5" x14ac:dyDescent="0.25">
      <c r="A303" s="100" t="str">
        <f t="shared" si="48"/>
        <v>UNMETERED SCATTERED LOAD SERVICE CLASSIFICATION</v>
      </c>
      <c r="B303" s="105" t="s">
        <v>171</v>
      </c>
      <c r="C303" s="117">
        <f>B7</f>
        <v>5</v>
      </c>
      <c r="D303" s="147" t="s">
        <v>172</v>
      </c>
      <c r="E303" s="132"/>
      <c r="F303" s="149"/>
      <c r="G303" s="150"/>
      <c r="H303" s="151">
        <f>SUM(H300:H302)</f>
        <v>11.423636</v>
      </c>
      <c r="I303" s="152"/>
      <c r="J303" s="137"/>
      <c r="K303" s="151">
        <f>SUM(K300:K302)</f>
        <v>11.423636</v>
      </c>
      <c r="L303" s="138">
        <f t="shared" si="45"/>
        <v>0</v>
      </c>
      <c r="M303" s="139">
        <f>IF((H303)=0,"",(L303/H303))</f>
        <v>0</v>
      </c>
    </row>
    <row r="304" spans="1:13" ht="25.5" x14ac:dyDescent="0.25">
      <c r="A304" s="100" t="str">
        <f t="shared" si="48"/>
        <v>UNMETERED SCATTERED LOAD SERVICE CLASSIFICATION</v>
      </c>
      <c r="C304" s="117"/>
      <c r="D304" s="156" t="s">
        <v>173</v>
      </c>
      <c r="E304" s="119"/>
      <c r="F304" s="127">
        <v>3.6000000000000003E-3</v>
      </c>
      <c r="G304" s="141">
        <f>E277*E279</f>
        <v>158.4</v>
      </c>
      <c r="H304" s="157">
        <f t="shared" ref="H304:H310" si="50">G304*F304</f>
        <v>0.57024000000000008</v>
      </c>
      <c r="I304" s="128">
        <v>3.6000000000000003E-3</v>
      </c>
      <c r="J304" s="141">
        <f>E277*E280</f>
        <v>158.4</v>
      </c>
      <c r="K304" s="157">
        <f t="shared" ref="K304:K310" si="51">J304*I304</f>
        <v>0.57024000000000008</v>
      </c>
      <c r="L304" s="125">
        <f t="shared" si="45"/>
        <v>0</v>
      </c>
      <c r="M304" s="126">
        <f t="shared" ref="M304:M312" si="52">IF(ISERROR(L304/H304), "", L304/H304)</f>
        <v>0</v>
      </c>
    </row>
    <row r="305" spans="1:13" ht="25.5" x14ac:dyDescent="0.25">
      <c r="A305" s="100" t="str">
        <f t="shared" si="48"/>
        <v>UNMETERED SCATTERED LOAD SERVICE CLASSIFICATION</v>
      </c>
      <c r="C305" s="117"/>
      <c r="D305" s="156" t="s">
        <v>174</v>
      </c>
      <c r="E305" s="119"/>
      <c r="F305" s="127">
        <f>'[1]17. Regulatory Charges'!$D$16</f>
        <v>2.9999999999999997E-4</v>
      </c>
      <c r="G305" s="141">
        <f>E277*E279</f>
        <v>158.4</v>
      </c>
      <c r="H305" s="157">
        <f t="shared" si="50"/>
        <v>4.752E-2</v>
      </c>
      <c r="I305" s="128">
        <v>2.9999999999999997E-4</v>
      </c>
      <c r="J305" s="141">
        <f>E277*E280</f>
        <v>158.4</v>
      </c>
      <c r="K305" s="157">
        <f t="shared" si="51"/>
        <v>4.752E-2</v>
      </c>
      <c r="L305" s="125">
        <f t="shared" si="45"/>
        <v>0</v>
      </c>
      <c r="M305" s="126">
        <f t="shared" si="52"/>
        <v>0</v>
      </c>
    </row>
    <row r="306" spans="1:13" x14ac:dyDescent="0.25">
      <c r="A306" s="100" t="str">
        <f t="shared" si="48"/>
        <v>UNMETERED SCATTERED LOAD SERVICE CLASSIFICATION</v>
      </c>
      <c r="C306" s="117"/>
      <c r="D306" s="158" t="s">
        <v>175</v>
      </c>
      <c r="E306" s="119"/>
      <c r="F306" s="145">
        <v>0.25</v>
      </c>
      <c r="G306" s="121">
        <v>1</v>
      </c>
      <c r="H306" s="157">
        <f t="shared" si="50"/>
        <v>0.25</v>
      </c>
      <c r="I306" s="146">
        <f>'[1]17. Regulatory Charges'!$D$17</f>
        <v>0.25</v>
      </c>
      <c r="J306" s="124">
        <v>1</v>
      </c>
      <c r="K306" s="157">
        <f t="shared" si="51"/>
        <v>0.25</v>
      </c>
      <c r="L306" s="125">
        <f t="shared" si="45"/>
        <v>0</v>
      </c>
      <c r="M306" s="126">
        <f t="shared" si="52"/>
        <v>0</v>
      </c>
    </row>
    <row r="307" spans="1:13" ht="25.5" x14ac:dyDescent="0.25">
      <c r="A307" s="100" t="str">
        <f t="shared" si="48"/>
        <v>UNMETERED SCATTERED LOAD SERVICE CLASSIFICATION</v>
      </c>
      <c r="C307" s="117"/>
      <c r="D307" s="156" t="s">
        <v>176</v>
      </c>
      <c r="E307" s="119"/>
      <c r="F307" s="127"/>
      <c r="G307" s="141"/>
      <c r="H307" s="157"/>
      <c r="I307" s="128"/>
      <c r="J307" s="141"/>
      <c r="K307" s="157"/>
      <c r="L307" s="125"/>
      <c r="M307" s="126"/>
    </row>
    <row r="308" spans="1:13" x14ac:dyDescent="0.25">
      <c r="A308" s="100" t="str">
        <f t="shared" si="48"/>
        <v>UNMETERED SCATTERED LOAD SERVICE CLASSIFICATION</v>
      </c>
      <c r="B308" s="105" t="s">
        <v>117</v>
      </c>
      <c r="C308" s="117"/>
      <c r="D308" s="159" t="s">
        <v>177</v>
      </c>
      <c r="E308" s="119"/>
      <c r="F308" s="160">
        <f>OffPeak</f>
        <v>6.5000000000000002E-2</v>
      </c>
      <c r="G308" s="161">
        <f>IF(AND(E277*12&gt;=150000),0.65*E277*E279,0.65*E277)</f>
        <v>97.5</v>
      </c>
      <c r="H308" s="157">
        <f t="shared" si="50"/>
        <v>6.3375000000000004</v>
      </c>
      <c r="I308" s="162">
        <f>OffPeak</f>
        <v>6.5000000000000002E-2</v>
      </c>
      <c r="J308" s="161">
        <f>IF(AND(E277*12&gt;=150000),0.65*E277*E280,0.65*E277)</f>
        <v>97.5</v>
      </c>
      <c r="K308" s="157">
        <f t="shared" si="51"/>
        <v>6.3375000000000004</v>
      </c>
      <c r="L308" s="125">
        <f>K308-H308</f>
        <v>0</v>
      </c>
      <c r="M308" s="126">
        <f t="shared" si="52"/>
        <v>0</v>
      </c>
    </row>
    <row r="309" spans="1:13" x14ac:dyDescent="0.25">
      <c r="A309" s="100" t="str">
        <f t="shared" si="48"/>
        <v>UNMETERED SCATTERED LOAD SERVICE CLASSIFICATION</v>
      </c>
      <c r="B309" s="105" t="s">
        <v>117</v>
      </c>
      <c r="C309" s="117"/>
      <c r="D309" s="159" t="s">
        <v>178</v>
      </c>
      <c r="E309" s="119"/>
      <c r="F309" s="160">
        <f>MidPeak</f>
        <v>9.4E-2</v>
      </c>
      <c r="G309" s="161">
        <f>IF(AND(E277*12&gt;=150000),0.17*E277*E279,0.17*E277)</f>
        <v>25.500000000000004</v>
      </c>
      <c r="H309" s="157">
        <f t="shared" si="50"/>
        <v>2.3970000000000002</v>
      </c>
      <c r="I309" s="162">
        <f>MidPeak</f>
        <v>9.4E-2</v>
      </c>
      <c r="J309" s="161">
        <f>IF(AND(E277*12&gt;=150000),0.17*E277*E280,0.17*E277)</f>
        <v>25.500000000000004</v>
      </c>
      <c r="K309" s="157">
        <f t="shared" si="51"/>
        <v>2.3970000000000002</v>
      </c>
      <c r="L309" s="125">
        <f>K309-H309</f>
        <v>0</v>
      </c>
      <c r="M309" s="126">
        <f t="shared" si="52"/>
        <v>0</v>
      </c>
    </row>
    <row r="310" spans="1:13" ht="15.75" thickBot="1" x14ac:dyDescent="0.3">
      <c r="A310" s="100" t="str">
        <f t="shared" si="48"/>
        <v>UNMETERED SCATTERED LOAD SERVICE CLASSIFICATION</v>
      </c>
      <c r="B310" s="105" t="s">
        <v>117</v>
      </c>
      <c r="C310" s="117"/>
      <c r="D310" s="105" t="s">
        <v>179</v>
      </c>
      <c r="E310" s="119"/>
      <c r="F310" s="160">
        <f>OnPeak</f>
        <v>0.13200000000000001</v>
      </c>
      <c r="G310" s="161">
        <f>IF(AND(E277*12&gt;=150000),0.18*E277*E279,0.18*E277)</f>
        <v>27</v>
      </c>
      <c r="H310" s="157">
        <f t="shared" si="50"/>
        <v>3.5640000000000001</v>
      </c>
      <c r="I310" s="162">
        <f>OnPeak</f>
        <v>0.13200000000000001</v>
      </c>
      <c r="J310" s="161">
        <f>IF(AND(E277*12&gt;=150000),0.18*E277*E280,0.18*E277)</f>
        <v>27</v>
      </c>
      <c r="K310" s="157">
        <f t="shared" si="51"/>
        <v>3.5640000000000001</v>
      </c>
      <c r="L310" s="125">
        <f>K310-H310</f>
        <v>0</v>
      </c>
      <c r="M310" s="126">
        <f t="shared" si="52"/>
        <v>0</v>
      </c>
    </row>
    <row r="311" spans="1:13" ht="15.75" hidden="1" thickBot="1" x14ac:dyDescent="0.3">
      <c r="A311" s="100" t="str">
        <f t="shared" si="48"/>
        <v>UNMETERED SCATTERED LOAD SERVICE CLASSIFICATION</v>
      </c>
      <c r="B311" s="100" t="s">
        <v>180</v>
      </c>
      <c r="C311" s="117"/>
      <c r="D311" s="159" t="s">
        <v>181</v>
      </c>
      <c r="E311" s="119"/>
      <c r="F311" s="163">
        <v>0.1101</v>
      </c>
      <c r="G311" s="161">
        <f>IF(AND(E277*12&gt;=150000),E277*E279,E277)</f>
        <v>150</v>
      </c>
      <c r="H311" s="157">
        <f>G311*F311</f>
        <v>16.515000000000001</v>
      </c>
      <c r="I311" s="164">
        <f>F311</f>
        <v>0.1101</v>
      </c>
      <c r="J311" s="161">
        <f>IF(AND(E277*12&gt;=150000),E277*E280,E277)</f>
        <v>150</v>
      </c>
      <c r="K311" s="157">
        <f>J311*I311</f>
        <v>16.515000000000001</v>
      </c>
      <c r="L311" s="125">
        <f>K311-H311</f>
        <v>0</v>
      </c>
      <c r="M311" s="126">
        <f t="shared" si="52"/>
        <v>0</v>
      </c>
    </row>
    <row r="312" spans="1:13" ht="15.75" hidden="1" thickBot="1" x14ac:dyDescent="0.3">
      <c r="A312" s="100" t="str">
        <f t="shared" si="48"/>
        <v>UNMETERED SCATTERED LOAD SERVICE CLASSIFICATION</v>
      </c>
      <c r="B312" s="100" t="s">
        <v>121</v>
      </c>
      <c r="C312" s="117"/>
      <c r="D312" s="159" t="s">
        <v>182</v>
      </c>
      <c r="E312" s="119"/>
      <c r="F312" s="163">
        <v>0.1101</v>
      </c>
      <c r="G312" s="161">
        <f>IF(AND(E277*12&gt;=150000),E277*E279,E277)</f>
        <v>150</v>
      </c>
      <c r="H312" s="157">
        <f>G312*F312</f>
        <v>16.515000000000001</v>
      </c>
      <c r="I312" s="164">
        <f>F312</f>
        <v>0.1101</v>
      </c>
      <c r="J312" s="161">
        <f>IF(AND(E277*12&gt;=150000),E277*E280,E277)</f>
        <v>150</v>
      </c>
      <c r="K312" s="157">
        <f>J312*I312</f>
        <v>16.515000000000001</v>
      </c>
      <c r="L312" s="125">
        <f>K312-H312</f>
        <v>0</v>
      </c>
      <c r="M312" s="126">
        <f t="shared" si="52"/>
        <v>0</v>
      </c>
    </row>
    <row r="313" spans="1:13" ht="15.75" thickBot="1" x14ac:dyDescent="0.3">
      <c r="A313" s="100" t="str">
        <f t="shared" si="48"/>
        <v>UNMETERED SCATTERED LOAD SERVICE CLASSIFICATION</v>
      </c>
      <c r="B313" s="105"/>
      <c r="C313" s="117"/>
      <c r="D313" s="165"/>
      <c r="E313" s="166"/>
      <c r="F313" s="167"/>
      <c r="G313" s="168"/>
      <c r="H313" s="169"/>
      <c r="I313" s="167"/>
      <c r="J313" s="170"/>
      <c r="K313" s="169"/>
      <c r="L313" s="171"/>
      <c r="M313" s="172"/>
    </row>
    <row r="314" spans="1:13" x14ac:dyDescent="0.25">
      <c r="A314" s="100" t="str">
        <f t="shared" si="48"/>
        <v>UNMETERED SCATTERED LOAD SERVICE CLASSIFICATION</v>
      </c>
      <c r="B314" s="105" t="s">
        <v>117</v>
      </c>
      <c r="C314" s="117"/>
      <c r="D314" s="173" t="s">
        <v>183</v>
      </c>
      <c r="E314" s="158"/>
      <c r="F314" s="174"/>
      <c r="G314" s="175"/>
      <c r="H314" s="176">
        <f>SUM(H304:H310,H303)</f>
        <v>24.589896000000003</v>
      </c>
      <c r="I314" s="177"/>
      <c r="J314" s="177"/>
      <c r="K314" s="176">
        <f>SUM(K304:K310,K303)</f>
        <v>24.589896000000003</v>
      </c>
      <c r="L314" s="178">
        <f>K314-H314</f>
        <v>0</v>
      </c>
      <c r="M314" s="179">
        <f>IF((H314)=0,"",(L314/H314))</f>
        <v>0</v>
      </c>
    </row>
    <row r="315" spans="1:13" x14ac:dyDescent="0.25">
      <c r="A315" s="100" t="str">
        <f t="shared" si="48"/>
        <v>UNMETERED SCATTERED LOAD SERVICE CLASSIFICATION</v>
      </c>
      <c r="B315" s="105" t="s">
        <v>117</v>
      </c>
      <c r="C315" s="117"/>
      <c r="D315" s="180" t="s">
        <v>184</v>
      </c>
      <c r="E315" s="158"/>
      <c r="F315" s="174">
        <v>0.13</v>
      </c>
      <c r="G315" s="181"/>
      <c r="H315" s="182">
        <f>H314*F315</f>
        <v>3.1966864800000003</v>
      </c>
      <c r="I315" s="183">
        <v>0.13</v>
      </c>
      <c r="J315" s="121"/>
      <c r="K315" s="182">
        <f>K314*I315</f>
        <v>3.1966864800000003</v>
      </c>
      <c r="L315" s="184">
        <f>K315-H315</f>
        <v>0</v>
      </c>
      <c r="M315" s="185">
        <f>IF((H315)=0,"",(L315/H315))</f>
        <v>0</v>
      </c>
    </row>
    <row r="316" spans="1:13" x14ac:dyDescent="0.25">
      <c r="A316" s="100" t="str">
        <f t="shared" si="48"/>
        <v>UNMETERED SCATTERED LOAD SERVICE CLASSIFICATION</v>
      </c>
      <c r="B316" s="105" t="s">
        <v>117</v>
      </c>
      <c r="C316" s="117"/>
      <c r="D316" s="180" t="s">
        <v>185</v>
      </c>
      <c r="E316" s="158"/>
      <c r="F316" s="174">
        <v>0.08</v>
      </c>
      <c r="G316" s="181"/>
      <c r="H316" s="182">
        <v>0</v>
      </c>
      <c r="I316" s="174">
        <v>0.08</v>
      </c>
      <c r="J316" s="121"/>
      <c r="K316" s="182">
        <v>0</v>
      </c>
      <c r="L316" s="184">
        <f>K316-H316</f>
        <v>0</v>
      </c>
      <c r="M316" s="185"/>
    </row>
    <row r="317" spans="1:13" ht="15.75" thickBot="1" x14ac:dyDescent="0.3">
      <c r="A317" s="100" t="str">
        <f t="shared" si="48"/>
        <v>UNMETERED SCATTERED LOAD SERVICE CLASSIFICATION</v>
      </c>
      <c r="B317" s="105" t="s">
        <v>186</v>
      </c>
      <c r="C317" s="117">
        <f>B7</f>
        <v>5</v>
      </c>
      <c r="D317" s="301" t="s">
        <v>187</v>
      </c>
      <c r="E317" s="301"/>
      <c r="F317" s="186"/>
      <c r="G317" s="187"/>
      <c r="H317" s="188">
        <f>H314+H315+H316</f>
        <v>27.786582480000003</v>
      </c>
      <c r="I317" s="189"/>
      <c r="J317" s="189"/>
      <c r="K317" s="190">
        <f>K314+K315+K316</f>
        <v>27.786582480000003</v>
      </c>
      <c r="L317" s="191">
        <f>K317-H317</f>
        <v>0</v>
      </c>
      <c r="M317" s="192">
        <f>IF((H317)=0,"",(L317/H317))</f>
        <v>0</v>
      </c>
    </row>
    <row r="318" spans="1:13" ht="15.75" thickBot="1" x14ac:dyDescent="0.3">
      <c r="A318" s="100" t="str">
        <f t="shared" si="48"/>
        <v>UNMETERED SCATTERED LOAD SERVICE CLASSIFICATION</v>
      </c>
      <c r="B318" s="100" t="s">
        <v>117</v>
      </c>
      <c r="C318" s="117"/>
      <c r="D318" s="165"/>
      <c r="E318" s="166"/>
      <c r="F318" s="167"/>
      <c r="G318" s="168"/>
      <c r="H318" s="169"/>
      <c r="I318" s="167"/>
      <c r="J318" s="170"/>
      <c r="K318" s="169"/>
      <c r="L318" s="171"/>
      <c r="M318" s="172"/>
    </row>
    <row r="319" spans="1:13" hidden="1" x14ac:dyDescent="0.25">
      <c r="A319" s="100" t="str">
        <f t="shared" si="48"/>
        <v>UNMETERED SCATTERED LOAD SERVICE CLASSIFICATION</v>
      </c>
      <c r="B319" s="100" t="s">
        <v>180</v>
      </c>
      <c r="C319" s="117"/>
      <c r="D319" s="173" t="s">
        <v>188</v>
      </c>
      <c r="E319" s="158"/>
      <c r="F319" s="174"/>
      <c r="G319" s="175"/>
      <c r="H319" s="176">
        <f>SUM(H311,H304:H307,H303)</f>
        <v>28.806395999999999</v>
      </c>
      <c r="I319" s="177"/>
      <c r="J319" s="177"/>
      <c r="K319" s="176">
        <f>SUM(K311,K304:K307,K303)</f>
        <v>28.806395999999999</v>
      </c>
      <c r="L319" s="178">
        <f>K319-H319</f>
        <v>0</v>
      </c>
      <c r="M319" s="179">
        <f>IF((H319)=0,"",(L319/H319))</f>
        <v>0</v>
      </c>
    </row>
    <row r="320" spans="1:13" hidden="1" x14ac:dyDescent="0.25">
      <c r="A320" s="100" t="str">
        <f t="shared" si="48"/>
        <v>UNMETERED SCATTERED LOAD SERVICE CLASSIFICATION</v>
      </c>
      <c r="B320" s="100" t="s">
        <v>180</v>
      </c>
      <c r="C320" s="117"/>
      <c r="D320" s="180" t="s">
        <v>184</v>
      </c>
      <c r="E320" s="158"/>
      <c r="F320" s="174">
        <v>0.13</v>
      </c>
      <c r="G320" s="175"/>
      <c r="H320" s="182">
        <f>H319*F320</f>
        <v>3.7448314800000002</v>
      </c>
      <c r="I320" s="174">
        <v>0.13</v>
      </c>
      <c r="J320" s="183"/>
      <c r="K320" s="182">
        <f>K319*I320</f>
        <v>3.7448314800000002</v>
      </c>
      <c r="L320" s="184">
        <f>K320-H320</f>
        <v>0</v>
      </c>
      <c r="M320" s="185">
        <f>IF((H320)=0,"",(L320/H320))</f>
        <v>0</v>
      </c>
    </row>
    <row r="321" spans="1:13" hidden="1" x14ac:dyDescent="0.25">
      <c r="A321" s="100" t="str">
        <f t="shared" si="48"/>
        <v>UNMETERED SCATTERED LOAD SERVICE CLASSIFICATION</v>
      </c>
      <c r="B321" s="100" t="s">
        <v>180</v>
      </c>
      <c r="C321" s="117"/>
      <c r="D321" s="180" t="s">
        <v>185</v>
      </c>
      <c r="E321" s="158"/>
      <c r="F321" s="174">
        <v>0.08</v>
      </c>
      <c r="G321" s="175"/>
      <c r="H321" s="182">
        <v>0</v>
      </c>
      <c r="I321" s="174">
        <v>0.08</v>
      </c>
      <c r="J321" s="183"/>
      <c r="K321" s="182">
        <v>0</v>
      </c>
      <c r="L321" s="184"/>
      <c r="M321" s="185"/>
    </row>
    <row r="322" spans="1:13" hidden="1" x14ac:dyDescent="0.25">
      <c r="A322" s="100" t="str">
        <f t="shared" si="48"/>
        <v>UNMETERED SCATTERED LOAD SERVICE CLASSIFICATION</v>
      </c>
      <c r="B322" s="100" t="s">
        <v>189</v>
      </c>
      <c r="C322" s="117"/>
      <c r="D322" s="301" t="s">
        <v>188</v>
      </c>
      <c r="E322" s="301"/>
      <c r="F322" s="193"/>
      <c r="G322" s="194"/>
      <c r="H322" s="188">
        <f>SUM(H319,H320)</f>
        <v>32.551227480000001</v>
      </c>
      <c r="I322" s="195"/>
      <c r="J322" s="195"/>
      <c r="K322" s="188">
        <f>SUM(K319,K320)</f>
        <v>32.551227480000001</v>
      </c>
      <c r="L322" s="196">
        <f>K322-H322</f>
        <v>0</v>
      </c>
      <c r="M322" s="197">
        <f>IF((H322)=0,"",(L322/H322))</f>
        <v>0</v>
      </c>
    </row>
    <row r="323" spans="1:13" ht="15.75" hidden="1" thickBot="1" x14ac:dyDescent="0.3">
      <c r="A323" s="100" t="str">
        <f t="shared" si="48"/>
        <v>UNMETERED SCATTERED LOAD SERVICE CLASSIFICATION</v>
      </c>
      <c r="B323" s="100" t="s">
        <v>180</v>
      </c>
      <c r="C323" s="117"/>
      <c r="D323" s="165"/>
      <c r="E323" s="166"/>
      <c r="F323" s="198"/>
      <c r="G323" s="199"/>
      <c r="H323" s="200"/>
      <c r="I323" s="198"/>
      <c r="J323" s="168"/>
      <c r="K323" s="200"/>
      <c r="L323" s="201"/>
      <c r="M323" s="172"/>
    </row>
    <row r="324" spans="1:13" hidden="1" x14ac:dyDescent="0.25">
      <c r="A324" s="100" t="str">
        <f t="shared" si="48"/>
        <v>UNMETERED SCATTERED LOAD SERVICE CLASSIFICATION</v>
      </c>
      <c r="B324" s="100" t="s">
        <v>121</v>
      </c>
      <c r="C324" s="117"/>
      <c r="D324" s="173" t="s">
        <v>190</v>
      </c>
      <c r="E324" s="158"/>
      <c r="F324" s="174"/>
      <c r="G324" s="175"/>
      <c r="H324" s="176">
        <f>SUM(H312,H304:H307,H303)</f>
        <v>28.806395999999999</v>
      </c>
      <c r="I324" s="177"/>
      <c r="J324" s="177"/>
      <c r="K324" s="176">
        <f>SUM(K312,K304:K307,K303)</f>
        <v>28.806395999999999</v>
      </c>
      <c r="L324" s="178">
        <f>K324-H324</f>
        <v>0</v>
      </c>
      <c r="M324" s="179">
        <f>IF((H324)=0,"",(L324/H324))</f>
        <v>0</v>
      </c>
    </row>
    <row r="325" spans="1:13" hidden="1" x14ac:dyDescent="0.25">
      <c r="A325" s="100" t="str">
        <f t="shared" si="48"/>
        <v>UNMETERED SCATTERED LOAD SERVICE CLASSIFICATION</v>
      </c>
      <c r="B325" s="100" t="s">
        <v>121</v>
      </c>
      <c r="C325" s="117"/>
      <c r="D325" s="180" t="s">
        <v>184</v>
      </c>
      <c r="E325" s="158"/>
      <c r="F325" s="174">
        <v>0.13</v>
      </c>
      <c r="G325" s="175"/>
      <c r="H325" s="182">
        <f>H324*F325</f>
        <v>3.7448314800000002</v>
      </c>
      <c r="I325" s="174">
        <v>0.13</v>
      </c>
      <c r="J325" s="183"/>
      <c r="K325" s="182">
        <f>K324*I325</f>
        <v>3.7448314800000002</v>
      </c>
      <c r="L325" s="184">
        <f>K325-H325</f>
        <v>0</v>
      </c>
      <c r="M325" s="185">
        <f>IF((H325)=0,"",(L325/H325))</f>
        <v>0</v>
      </c>
    </row>
    <row r="326" spans="1:13" hidden="1" x14ac:dyDescent="0.25">
      <c r="A326" s="100" t="str">
        <f t="shared" si="48"/>
        <v>UNMETERED SCATTERED LOAD SERVICE CLASSIFICATION</v>
      </c>
      <c r="B326" s="100" t="s">
        <v>121</v>
      </c>
      <c r="C326" s="117"/>
      <c r="D326" s="180" t="s">
        <v>185</v>
      </c>
      <c r="E326" s="158"/>
      <c r="F326" s="174">
        <v>0.08</v>
      </c>
      <c r="G326" s="175"/>
      <c r="H326" s="182">
        <v>0</v>
      </c>
      <c r="I326" s="174">
        <v>0.08</v>
      </c>
      <c r="J326" s="183"/>
      <c r="K326" s="182">
        <v>0</v>
      </c>
      <c r="L326" s="184"/>
      <c r="M326" s="185"/>
    </row>
    <row r="327" spans="1:13" hidden="1" x14ac:dyDescent="0.25">
      <c r="A327" s="100" t="str">
        <f t="shared" si="48"/>
        <v>UNMETERED SCATTERED LOAD SERVICE CLASSIFICATION</v>
      </c>
      <c r="B327" s="100" t="s">
        <v>191</v>
      </c>
      <c r="C327" s="117"/>
      <c r="D327" s="301" t="s">
        <v>190</v>
      </c>
      <c r="E327" s="301"/>
      <c r="F327" s="193"/>
      <c r="G327" s="194"/>
      <c r="H327" s="188">
        <f>SUM(H324,H325)</f>
        <v>32.551227480000001</v>
      </c>
      <c r="I327" s="195"/>
      <c r="J327" s="195"/>
      <c r="K327" s="188">
        <f>SUM(K324,K325)</f>
        <v>32.551227480000001</v>
      </c>
      <c r="L327" s="196">
        <f>K327-H327</f>
        <v>0</v>
      </c>
      <c r="M327" s="197">
        <f>IF((H327)=0,"",(L327/H327))</f>
        <v>0</v>
      </c>
    </row>
    <row r="328" spans="1:13" ht="15.75" hidden="1" thickBot="1" x14ac:dyDescent="0.3">
      <c r="A328" s="100" t="str">
        <f t="shared" si="48"/>
        <v>UNMETERED SCATTERED LOAD SERVICE CLASSIFICATION</v>
      </c>
      <c r="B328" s="100" t="s">
        <v>121</v>
      </c>
      <c r="C328" s="117"/>
      <c r="D328" s="165"/>
      <c r="E328" s="166"/>
      <c r="F328" s="202"/>
      <c r="G328" s="203"/>
      <c r="H328" s="204"/>
      <c r="I328" s="202"/>
      <c r="J328" s="205"/>
      <c r="K328" s="204"/>
      <c r="L328" s="206"/>
      <c r="M328" s="207"/>
    </row>
    <row r="331" spans="1:13" x14ac:dyDescent="0.25">
      <c r="C331" s="100"/>
      <c r="D331" s="101" t="s">
        <v>134</v>
      </c>
      <c r="E331" s="302" t="str">
        <f>D8</f>
        <v>SENTINEL LIGHTING SERVICE CLASSIFICATION</v>
      </c>
      <c r="F331" s="302"/>
      <c r="G331" s="302"/>
      <c r="H331" s="302"/>
      <c r="I331" s="302"/>
      <c r="J331" s="302"/>
      <c r="K331" s="100" t="str">
        <f>IF(N8="DEMAND - INTERVAL","RTSR - INTERVAL METERED","")</f>
        <v/>
      </c>
    </row>
    <row r="332" spans="1:13" x14ac:dyDescent="0.25">
      <c r="C332" s="100"/>
      <c r="D332" s="101" t="s">
        <v>135</v>
      </c>
      <c r="E332" s="303" t="str">
        <f>H8</f>
        <v>RPP</v>
      </c>
      <c r="F332" s="303"/>
      <c r="G332" s="303"/>
      <c r="H332" s="102"/>
      <c r="I332" s="102"/>
    </row>
    <row r="333" spans="1:13" ht="15.75" x14ac:dyDescent="0.25">
      <c r="C333" s="100"/>
      <c r="D333" s="101" t="s">
        <v>136</v>
      </c>
      <c r="E333" s="103">
        <f>K8</f>
        <v>650</v>
      </c>
      <c r="F333" s="104" t="s">
        <v>137</v>
      </c>
      <c r="G333" s="105"/>
      <c r="J333" s="106"/>
      <c r="K333" s="106"/>
      <c r="L333" s="106"/>
      <c r="M333" s="106"/>
    </row>
    <row r="334" spans="1:13" ht="15.75" x14ac:dyDescent="0.25">
      <c r="C334" s="100"/>
      <c r="D334" s="101" t="s">
        <v>138</v>
      </c>
      <c r="E334" s="103">
        <f>L8</f>
        <v>1</v>
      </c>
      <c r="F334" s="107" t="s">
        <v>139</v>
      </c>
      <c r="G334" s="108"/>
      <c r="H334" s="109"/>
      <c r="I334" s="109"/>
      <c r="J334" s="109"/>
    </row>
    <row r="335" spans="1:13" x14ac:dyDescent="0.25">
      <c r="C335" s="100"/>
      <c r="D335" s="101" t="s">
        <v>140</v>
      </c>
      <c r="E335" s="110">
        <f>I8</f>
        <v>1.056</v>
      </c>
    </row>
    <row r="336" spans="1:13" x14ac:dyDescent="0.25">
      <c r="C336" s="100"/>
      <c r="D336" s="101" t="s">
        <v>141</v>
      </c>
      <c r="E336" s="110">
        <f>J8</f>
        <v>1.056</v>
      </c>
    </row>
    <row r="337" spans="1:13" x14ac:dyDescent="0.25">
      <c r="C337" s="100"/>
      <c r="D337" s="105"/>
    </row>
    <row r="338" spans="1:13" x14ac:dyDescent="0.25">
      <c r="C338" s="100"/>
      <c r="D338" s="105"/>
      <c r="E338" s="111"/>
      <c r="F338" s="304" t="s">
        <v>142</v>
      </c>
      <c r="G338" s="305"/>
      <c r="H338" s="306"/>
      <c r="I338" s="304" t="s">
        <v>143</v>
      </c>
      <c r="J338" s="305"/>
      <c r="K338" s="306"/>
      <c r="L338" s="304" t="s">
        <v>144</v>
      </c>
      <c r="M338" s="306"/>
    </row>
    <row r="339" spans="1:13" x14ac:dyDescent="0.25">
      <c r="C339" s="100"/>
      <c r="D339" s="105"/>
      <c r="E339" s="295"/>
      <c r="F339" s="112" t="s">
        <v>145</v>
      </c>
      <c r="G339" s="112" t="s">
        <v>146</v>
      </c>
      <c r="H339" s="113" t="s">
        <v>147</v>
      </c>
      <c r="I339" s="112" t="s">
        <v>145</v>
      </c>
      <c r="J339" s="114" t="s">
        <v>146</v>
      </c>
      <c r="K339" s="113" t="s">
        <v>147</v>
      </c>
      <c r="L339" s="297" t="s">
        <v>148</v>
      </c>
      <c r="M339" s="299" t="s">
        <v>149</v>
      </c>
    </row>
    <row r="340" spans="1:13" x14ac:dyDescent="0.25">
      <c r="C340" s="100"/>
      <c r="D340" s="105"/>
      <c r="E340" s="296"/>
      <c r="F340" s="115" t="s">
        <v>150</v>
      </c>
      <c r="G340" s="115"/>
      <c r="H340" s="116" t="s">
        <v>150</v>
      </c>
      <c r="I340" s="115" t="s">
        <v>150</v>
      </c>
      <c r="J340" s="116"/>
      <c r="K340" s="116" t="s">
        <v>150</v>
      </c>
      <c r="L340" s="298"/>
      <c r="M340" s="300"/>
    </row>
    <row r="341" spans="1:13" x14ac:dyDescent="0.25">
      <c r="A341" s="100" t="str">
        <f>$E331</f>
        <v>SENTINEL LIGHTING SERVICE CLASSIFICATION</v>
      </c>
      <c r="C341" s="117"/>
      <c r="D341" s="118" t="s">
        <v>151</v>
      </c>
      <c r="E341" s="119"/>
      <c r="F341" s="120">
        <v>9.4700000000000006</v>
      </c>
      <c r="G341" s="121">
        <v>1</v>
      </c>
      <c r="H341" s="122">
        <f>G341*F341</f>
        <v>9.4700000000000006</v>
      </c>
      <c r="I341" s="123">
        <v>9.58</v>
      </c>
      <c r="J341" s="124">
        <f>G341</f>
        <v>1</v>
      </c>
      <c r="K341" s="122">
        <f>H341</f>
        <v>9.4700000000000006</v>
      </c>
      <c r="L341" s="125">
        <f t="shared" ref="L341:L362" si="53">K341-H341</f>
        <v>0</v>
      </c>
      <c r="M341" s="126">
        <f>IF(ISERROR(L341/H341), "", L341/H341)</f>
        <v>0</v>
      </c>
    </row>
    <row r="342" spans="1:13" x14ac:dyDescent="0.25">
      <c r="A342" s="100" t="str">
        <f>A341</f>
        <v>SENTINEL LIGHTING SERVICE CLASSIFICATION</v>
      </c>
      <c r="C342" s="117"/>
      <c r="D342" s="118" t="s">
        <v>152</v>
      </c>
      <c r="E342" s="119"/>
      <c r="F342" s="127">
        <v>35.905000000000001</v>
      </c>
      <c r="G342" s="121">
        <f>IF($E334&gt;0, $E334, $E333)</f>
        <v>1</v>
      </c>
      <c r="H342" s="122">
        <f t="shared" ref="H342:H354" si="54">G342*F342</f>
        <v>35.905000000000001</v>
      </c>
      <c r="I342" s="128">
        <v>36.335900000000002</v>
      </c>
      <c r="J342" s="124">
        <f>IF($E334&gt;0, $E334, $E333)</f>
        <v>1</v>
      </c>
      <c r="K342" s="122">
        <f>H342</f>
        <v>35.905000000000001</v>
      </c>
      <c r="L342" s="125">
        <f t="shared" si="53"/>
        <v>0</v>
      </c>
      <c r="M342" s="126">
        <f t="shared" ref="M342:M352" si="55">IF(ISERROR(L342/H342), "", L342/H342)</f>
        <v>0</v>
      </c>
    </row>
    <row r="343" spans="1:13" x14ac:dyDescent="0.25">
      <c r="A343" s="100" t="str">
        <f t="shared" ref="A343:A384" si="56">A342</f>
        <v>SENTINEL LIGHTING SERVICE CLASSIFICATION</v>
      </c>
      <c r="C343" s="117"/>
      <c r="D343" s="118" t="s">
        <v>153</v>
      </c>
      <c r="E343" s="119"/>
      <c r="F343" s="127"/>
      <c r="G343" s="121"/>
      <c r="H343" s="122">
        <v>0</v>
      </c>
      <c r="I343" s="128"/>
      <c r="J343" s="124">
        <f>IF($E334&gt;0, $E334, $E333)</f>
        <v>1</v>
      </c>
      <c r="K343" s="122">
        <v>0</v>
      </c>
      <c r="L343" s="125"/>
      <c r="M343" s="126"/>
    </row>
    <row r="344" spans="1:13" x14ac:dyDescent="0.25">
      <c r="A344" s="100" t="str">
        <f t="shared" si="56"/>
        <v>SENTINEL LIGHTING SERVICE CLASSIFICATION</v>
      </c>
      <c r="C344" s="117"/>
      <c r="D344" s="118" t="s">
        <v>154</v>
      </c>
      <c r="E344" s="119"/>
      <c r="F344" s="127"/>
      <c r="G344" s="121">
        <f>IF($E334&gt;0, $E334, $E333)</f>
        <v>1</v>
      </c>
      <c r="H344" s="122">
        <v>0</v>
      </c>
      <c r="I344" s="128"/>
      <c r="J344" s="121">
        <f>IF($E334&gt;0, $E334, $E333)</f>
        <v>1</v>
      </c>
      <c r="K344" s="122">
        <v>0</v>
      </c>
      <c r="L344" s="125">
        <f>K344-H344</f>
        <v>0</v>
      </c>
      <c r="M344" s="126" t="str">
        <f>IF(ISERROR(L344/H344), "", L344/H344)</f>
        <v/>
      </c>
    </row>
    <row r="345" spans="1:13" x14ac:dyDescent="0.25">
      <c r="A345" s="100" t="str">
        <f t="shared" si="56"/>
        <v>SENTINEL LIGHTING SERVICE CLASSIFICATION</v>
      </c>
      <c r="C345" s="117"/>
      <c r="D345" s="129" t="s">
        <v>155</v>
      </c>
      <c r="E345" s="119"/>
      <c r="F345" s="120">
        <v>0</v>
      </c>
      <c r="G345" s="121">
        <v>1</v>
      </c>
      <c r="H345" s="122">
        <f t="shared" si="54"/>
        <v>0</v>
      </c>
      <c r="I345" s="123">
        <v>0</v>
      </c>
      <c r="J345" s="124">
        <f>G345</f>
        <v>1</v>
      </c>
      <c r="K345" s="122">
        <f t="shared" ref="K345:K352" si="57">J345*I345</f>
        <v>0</v>
      </c>
      <c r="L345" s="125">
        <f t="shared" si="53"/>
        <v>0</v>
      </c>
      <c r="M345" s="126" t="str">
        <f t="shared" si="55"/>
        <v/>
      </c>
    </row>
    <row r="346" spans="1:13" x14ac:dyDescent="0.25">
      <c r="A346" s="100" t="str">
        <f t="shared" si="56"/>
        <v>SENTINEL LIGHTING SERVICE CLASSIFICATION</v>
      </c>
      <c r="C346" s="117"/>
      <c r="D346" s="118" t="s">
        <v>156</v>
      </c>
      <c r="E346" s="119"/>
      <c r="F346" s="127">
        <v>0</v>
      </c>
      <c r="G346" s="121">
        <f>IF($E334&gt;0, $E334, $E333)</f>
        <v>1</v>
      </c>
      <c r="H346" s="122">
        <f t="shared" si="54"/>
        <v>0</v>
      </c>
      <c r="I346" s="128">
        <v>0</v>
      </c>
      <c r="J346" s="124">
        <f>IF($E334&gt;0, $E334, $E333)</f>
        <v>1</v>
      </c>
      <c r="K346" s="122">
        <f t="shared" si="57"/>
        <v>0</v>
      </c>
      <c r="L346" s="125">
        <f t="shared" si="53"/>
        <v>0</v>
      </c>
      <c r="M346" s="126" t="str">
        <f t="shared" si="55"/>
        <v/>
      </c>
    </row>
    <row r="347" spans="1:13" x14ac:dyDescent="0.25">
      <c r="A347" s="100" t="str">
        <f t="shared" si="56"/>
        <v>SENTINEL LIGHTING SERVICE CLASSIFICATION</v>
      </c>
      <c r="B347" s="130" t="s">
        <v>157</v>
      </c>
      <c r="C347" s="117">
        <f>B8</f>
        <v>6</v>
      </c>
      <c r="D347" s="131" t="s">
        <v>158</v>
      </c>
      <c r="E347" s="132"/>
      <c r="F347" s="133"/>
      <c r="G347" s="134"/>
      <c r="H347" s="135">
        <f>SUM(H341:H346)</f>
        <v>45.375</v>
      </c>
      <c r="I347" s="136"/>
      <c r="J347" s="137"/>
      <c r="K347" s="135">
        <f>SUM(K341:K346)</f>
        <v>45.375</v>
      </c>
      <c r="L347" s="138">
        <f t="shared" si="53"/>
        <v>0</v>
      </c>
      <c r="M347" s="139">
        <f>IF((H347)=0,"",(L347/H347))</f>
        <v>0</v>
      </c>
    </row>
    <row r="348" spans="1:13" x14ac:dyDescent="0.25">
      <c r="A348" s="100" t="str">
        <f t="shared" si="56"/>
        <v>SENTINEL LIGHTING SERVICE CLASSIFICATION</v>
      </c>
      <c r="C348" s="117"/>
      <c r="D348" s="140" t="s">
        <v>159</v>
      </c>
      <c r="E348" s="119"/>
      <c r="F348" s="127">
        <f>IF((E333*12&gt;=150000), 0, IF(E332="RPP",(F364*0.65+F365*0.17+F366*0.18),IF(E332="Non-RPP (Retailer)",F367,F368)))</f>
        <v>8.1990000000000007E-2</v>
      </c>
      <c r="G348" s="141">
        <f>IF(F348=0, 0, $E333*E335-E333)</f>
        <v>36.399999999999977</v>
      </c>
      <c r="H348" s="122">
        <f>G348*F348</f>
        <v>2.9844359999999983</v>
      </c>
      <c r="I348" s="128">
        <f>IF((E333*12&gt;=150000), 0, IF(E332="RPP",(I364*0.65+I365*0.17+I366*0.18),IF(E332="Non-RPP (Retailer)",I367,I368)))</f>
        <v>8.1990000000000007E-2</v>
      </c>
      <c r="J348" s="141">
        <f>IF(I348=0, 0, E333*E336-E333)</f>
        <v>36.399999999999977</v>
      </c>
      <c r="K348" s="122">
        <f>H348</f>
        <v>2.9844359999999983</v>
      </c>
      <c r="L348" s="125">
        <f>K348-H348</f>
        <v>0</v>
      </c>
      <c r="M348" s="126">
        <f>IF(ISERROR(L348/H348), "", L348/H348)</f>
        <v>0</v>
      </c>
    </row>
    <row r="349" spans="1:13" ht="25.5" x14ac:dyDescent="0.25">
      <c r="A349" s="100" t="str">
        <f t="shared" si="56"/>
        <v>SENTINEL LIGHTING SERVICE CLASSIFICATION</v>
      </c>
      <c r="C349" s="117"/>
      <c r="D349" s="140" t="s">
        <v>160</v>
      </c>
      <c r="E349" s="119"/>
      <c r="F349" s="127">
        <v>-0.47110000000000002</v>
      </c>
      <c r="G349" s="142">
        <f>IF($E334&gt;0, $E334, $E333)</f>
        <v>1</v>
      </c>
      <c r="H349" s="122">
        <f t="shared" si="54"/>
        <v>-0.47110000000000002</v>
      </c>
      <c r="I349" s="128">
        <v>-1.9424999999999999</v>
      </c>
      <c r="J349" s="142">
        <f>IF($E334&gt;0, $E334, $E333)</f>
        <v>1</v>
      </c>
      <c r="K349" s="122">
        <f>H349</f>
        <v>-0.47110000000000002</v>
      </c>
      <c r="L349" s="125">
        <f t="shared" si="53"/>
        <v>0</v>
      </c>
      <c r="M349" s="126">
        <f t="shared" si="55"/>
        <v>0</v>
      </c>
    </row>
    <row r="350" spans="1:13" x14ac:dyDescent="0.25">
      <c r="A350" s="100" t="str">
        <f t="shared" si="56"/>
        <v>SENTINEL LIGHTING SERVICE CLASSIFICATION</v>
      </c>
      <c r="C350" s="117"/>
      <c r="D350" s="140" t="s">
        <v>161</v>
      </c>
      <c r="E350" s="119"/>
      <c r="F350" s="127">
        <v>-2.98E-2</v>
      </c>
      <c r="G350" s="142">
        <f>IF($E334&gt;0, $E334, $E333)</f>
        <v>1</v>
      </c>
      <c r="H350" s="122">
        <f>G350*F350</f>
        <v>-2.98E-2</v>
      </c>
      <c r="I350" s="128">
        <v>0</v>
      </c>
      <c r="J350" s="142">
        <f>IF($E334&gt;0, $E334, $E333)</f>
        <v>1</v>
      </c>
      <c r="K350" s="122">
        <f>H350</f>
        <v>-2.98E-2</v>
      </c>
      <c r="L350" s="125">
        <f t="shared" si="53"/>
        <v>0</v>
      </c>
      <c r="M350" s="126">
        <f t="shared" si="55"/>
        <v>0</v>
      </c>
    </row>
    <row r="351" spans="1:13" x14ac:dyDescent="0.25">
      <c r="A351" s="100" t="str">
        <f t="shared" si="56"/>
        <v>SENTINEL LIGHTING SERVICE CLASSIFICATION</v>
      </c>
      <c r="C351" s="117"/>
      <c r="D351" s="140" t="s">
        <v>162</v>
      </c>
      <c r="E351" s="119"/>
      <c r="F351" s="127">
        <v>0</v>
      </c>
      <c r="G351" s="142">
        <f>E333</f>
        <v>650</v>
      </c>
      <c r="H351" s="122">
        <f>G351*F351</f>
        <v>0</v>
      </c>
      <c r="I351" s="128">
        <v>0</v>
      </c>
      <c r="J351" s="142">
        <f>E333</f>
        <v>650</v>
      </c>
      <c r="K351" s="122">
        <f t="shared" si="57"/>
        <v>0</v>
      </c>
      <c r="L351" s="125">
        <f t="shared" si="53"/>
        <v>0</v>
      </c>
      <c r="M351" s="126" t="str">
        <f t="shared" si="55"/>
        <v/>
      </c>
    </row>
    <row r="352" spans="1:13" x14ac:dyDescent="0.25">
      <c r="A352" s="100" t="str">
        <f t="shared" si="56"/>
        <v>SENTINEL LIGHTING SERVICE CLASSIFICATION</v>
      </c>
      <c r="C352" s="117"/>
      <c r="D352" s="143" t="s">
        <v>163</v>
      </c>
      <c r="E352" s="119"/>
      <c r="F352" s="127">
        <v>0.75470000000000004</v>
      </c>
      <c r="G352" s="142">
        <f>IF($E334&gt;0, $E334, $E333)</f>
        <v>1</v>
      </c>
      <c r="H352" s="122">
        <f t="shared" si="54"/>
        <v>0.75470000000000004</v>
      </c>
      <c r="I352" s="128">
        <v>0.75470000000000004</v>
      </c>
      <c r="J352" s="142">
        <f>IF($E334&gt;0, $E334, $E333)</f>
        <v>1</v>
      </c>
      <c r="K352" s="122">
        <f t="shared" si="57"/>
        <v>0.75470000000000004</v>
      </c>
      <c r="L352" s="125">
        <f t="shared" si="53"/>
        <v>0</v>
      </c>
      <c r="M352" s="126">
        <f t="shared" si="55"/>
        <v>0</v>
      </c>
    </row>
    <row r="353" spans="1:13" ht="25.5" x14ac:dyDescent="0.25">
      <c r="A353" s="100" t="str">
        <f t="shared" si="56"/>
        <v>SENTINEL LIGHTING SERVICE CLASSIFICATION</v>
      </c>
      <c r="C353" s="117"/>
      <c r="D353" s="144" t="s">
        <v>164</v>
      </c>
      <c r="E353" s="119"/>
      <c r="F353" s="145">
        <f>IF(OR(ISNUMBER(SEARCH("RESIDENTIAL", E331))=TRUE, ISNUMBER(SEARCH("GENERAL SERVICE LESS THAN 50", E331))=TRUE), SME, 0)</f>
        <v>0</v>
      </c>
      <c r="G353" s="121">
        <v>1</v>
      </c>
      <c r="H353" s="122">
        <f>G353*F353</f>
        <v>0</v>
      </c>
      <c r="I353" s="146">
        <f>IF(OR(ISNUMBER(SEARCH("RESIDENTIAL", E331))=TRUE, ISNUMBER(SEARCH("GENERAL SERVICE LESS THAN 50", E331))=TRUE), SME, 0)</f>
        <v>0</v>
      </c>
      <c r="J353" s="121">
        <v>1</v>
      </c>
      <c r="K353" s="122">
        <f>J353*I353</f>
        <v>0</v>
      </c>
      <c r="L353" s="125">
        <f t="shared" si="53"/>
        <v>0</v>
      </c>
      <c r="M353" s="126" t="str">
        <f>IF(ISERROR(L353/H353), "", L353/H353)</f>
        <v/>
      </c>
    </row>
    <row r="354" spans="1:13" x14ac:dyDescent="0.25">
      <c r="A354" s="100" t="str">
        <f t="shared" si="56"/>
        <v>SENTINEL LIGHTING SERVICE CLASSIFICATION</v>
      </c>
      <c r="C354" s="117"/>
      <c r="D354" s="143" t="s">
        <v>165</v>
      </c>
      <c r="E354" s="119"/>
      <c r="F354" s="120">
        <v>0</v>
      </c>
      <c r="G354" s="121">
        <v>1</v>
      </c>
      <c r="H354" s="122">
        <f t="shared" si="54"/>
        <v>0</v>
      </c>
      <c r="I354" s="123">
        <v>0</v>
      </c>
      <c r="J354" s="121">
        <v>1</v>
      </c>
      <c r="K354" s="122">
        <f>J354*I354</f>
        <v>0</v>
      </c>
      <c r="L354" s="125">
        <f>K354-H354</f>
        <v>0</v>
      </c>
      <c r="M354" s="126" t="str">
        <f>IF(ISERROR(L354/H354), "", L354/H354)</f>
        <v/>
      </c>
    </row>
    <row r="355" spans="1:13" x14ac:dyDescent="0.25">
      <c r="A355" s="100" t="str">
        <f t="shared" si="56"/>
        <v>SENTINEL LIGHTING SERVICE CLASSIFICATION</v>
      </c>
      <c r="C355" s="117"/>
      <c r="D355" s="143" t="s">
        <v>166</v>
      </c>
      <c r="E355" s="119"/>
      <c r="F355" s="127"/>
      <c r="G355" s="142">
        <f>IF($E334&gt;0, $E334, $E333)</f>
        <v>1</v>
      </c>
      <c r="H355" s="122">
        <f>G355*F355</f>
        <v>0</v>
      </c>
      <c r="I355" s="128">
        <v>0</v>
      </c>
      <c r="J355" s="142">
        <f>IF($E334&gt;0, $E334, $E333)</f>
        <v>1</v>
      </c>
      <c r="K355" s="122">
        <f>J355*I355</f>
        <v>0</v>
      </c>
      <c r="L355" s="125">
        <f t="shared" si="53"/>
        <v>0</v>
      </c>
      <c r="M355" s="126" t="str">
        <f>IF(ISERROR(L355/H355), "", L355/H355)</f>
        <v/>
      </c>
    </row>
    <row r="356" spans="1:13" ht="25.5" x14ac:dyDescent="0.25">
      <c r="A356" s="100" t="str">
        <f t="shared" si="56"/>
        <v>SENTINEL LIGHTING SERVICE CLASSIFICATION</v>
      </c>
      <c r="B356" s="105" t="s">
        <v>167</v>
      </c>
      <c r="C356" s="117">
        <f>B8</f>
        <v>6</v>
      </c>
      <c r="D356" s="147" t="s">
        <v>168</v>
      </c>
      <c r="E356" s="148"/>
      <c r="F356" s="149"/>
      <c r="G356" s="150"/>
      <c r="H356" s="151">
        <f>SUM(H347:H355)</f>
        <v>48.613235999999993</v>
      </c>
      <c r="I356" s="152"/>
      <c r="J356" s="153"/>
      <c r="K356" s="151">
        <f>SUM(K347:K355)</f>
        <v>48.613235999999993</v>
      </c>
      <c r="L356" s="138">
        <f t="shared" si="53"/>
        <v>0</v>
      </c>
      <c r="M356" s="139">
        <f>IF((H356)=0,"",(L356/H356))</f>
        <v>0</v>
      </c>
    </row>
    <row r="357" spans="1:13" x14ac:dyDescent="0.25">
      <c r="A357" s="100" t="str">
        <f t="shared" si="56"/>
        <v>SENTINEL LIGHTING SERVICE CLASSIFICATION</v>
      </c>
      <c r="C357" s="117"/>
      <c r="D357" s="154" t="s">
        <v>169</v>
      </c>
      <c r="E357" s="119"/>
      <c r="F357" s="127">
        <v>1.8704000000000001</v>
      </c>
      <c r="G357" s="141">
        <f>IF($E334&gt;0, $E334, $E333*$E335)</f>
        <v>1</v>
      </c>
      <c r="H357" s="122">
        <f>G357*F357</f>
        <v>1.8704000000000001</v>
      </c>
      <c r="I357" s="128">
        <v>1.7742</v>
      </c>
      <c r="J357" s="141">
        <f>IF($E334&gt;0, $E334, $E333*$E336)</f>
        <v>1</v>
      </c>
      <c r="K357" s="122">
        <f>H357</f>
        <v>1.8704000000000001</v>
      </c>
      <c r="L357" s="125">
        <f t="shared" si="53"/>
        <v>0</v>
      </c>
      <c r="M357" s="126">
        <f>IF(ISERROR(L357/H357), "", L357/H357)</f>
        <v>0</v>
      </c>
    </row>
    <row r="358" spans="1:13" ht="25.5" x14ac:dyDescent="0.25">
      <c r="A358" s="100" t="str">
        <f t="shared" si="56"/>
        <v>SENTINEL LIGHTING SERVICE CLASSIFICATION</v>
      </c>
      <c r="C358" s="117"/>
      <c r="D358" s="155" t="s">
        <v>170</v>
      </c>
      <c r="E358" s="119"/>
      <c r="F358" s="127">
        <v>1.5942000000000001</v>
      </c>
      <c r="G358" s="141">
        <f>IF($E334&gt;0, $E334, $E333*$E335)</f>
        <v>1</v>
      </c>
      <c r="H358" s="122">
        <f>G358*F358</f>
        <v>1.5942000000000001</v>
      </c>
      <c r="I358" s="128">
        <v>1.5068999999999999</v>
      </c>
      <c r="J358" s="141">
        <f>IF($E334&gt;0, $E334, $E333*$E336)</f>
        <v>1</v>
      </c>
      <c r="K358" s="122">
        <f>H358</f>
        <v>1.5942000000000001</v>
      </c>
      <c r="L358" s="125">
        <f t="shared" si="53"/>
        <v>0</v>
      </c>
      <c r="M358" s="126">
        <f>IF(ISERROR(L358/H358), "", L358/H358)</f>
        <v>0</v>
      </c>
    </row>
    <row r="359" spans="1:13" ht="25.5" x14ac:dyDescent="0.25">
      <c r="A359" s="100" t="str">
        <f t="shared" si="56"/>
        <v>SENTINEL LIGHTING SERVICE CLASSIFICATION</v>
      </c>
      <c r="B359" s="105" t="s">
        <v>171</v>
      </c>
      <c r="C359" s="117">
        <f>B8</f>
        <v>6</v>
      </c>
      <c r="D359" s="147" t="s">
        <v>172</v>
      </c>
      <c r="E359" s="132"/>
      <c r="F359" s="149"/>
      <c r="G359" s="150"/>
      <c r="H359" s="151">
        <f>SUM(H356:H358)</f>
        <v>52.077835999999991</v>
      </c>
      <c r="I359" s="152"/>
      <c r="J359" s="137"/>
      <c r="K359" s="151">
        <f>SUM(K356:K358)</f>
        <v>52.077835999999991</v>
      </c>
      <c r="L359" s="138">
        <f t="shared" si="53"/>
        <v>0</v>
      </c>
      <c r="M359" s="139">
        <f>IF((H359)=0,"",(L359/H359))</f>
        <v>0</v>
      </c>
    </row>
    <row r="360" spans="1:13" ht="25.5" x14ac:dyDescent="0.25">
      <c r="A360" s="100" t="str">
        <f t="shared" si="56"/>
        <v>SENTINEL LIGHTING SERVICE CLASSIFICATION</v>
      </c>
      <c r="C360" s="117"/>
      <c r="D360" s="156" t="s">
        <v>173</v>
      </c>
      <c r="E360" s="119"/>
      <c r="F360" s="127">
        <v>3.6000000000000003E-3</v>
      </c>
      <c r="G360" s="141">
        <f>E333*E335</f>
        <v>686.4</v>
      </c>
      <c r="H360" s="157">
        <f t="shared" ref="H360:H366" si="58">G360*F360</f>
        <v>2.4710400000000003</v>
      </c>
      <c r="I360" s="128">
        <v>3.6000000000000003E-3</v>
      </c>
      <c r="J360" s="141">
        <f>E333*E336</f>
        <v>686.4</v>
      </c>
      <c r="K360" s="157">
        <f t="shared" ref="K360:K366" si="59">J360*I360</f>
        <v>2.4710400000000003</v>
      </c>
      <c r="L360" s="125">
        <f t="shared" si="53"/>
        <v>0</v>
      </c>
      <c r="M360" s="126">
        <f t="shared" ref="M360:M368" si="60">IF(ISERROR(L360/H360), "", L360/H360)</f>
        <v>0</v>
      </c>
    </row>
    <row r="361" spans="1:13" ht="25.5" x14ac:dyDescent="0.25">
      <c r="A361" s="100" t="str">
        <f t="shared" si="56"/>
        <v>SENTINEL LIGHTING SERVICE CLASSIFICATION</v>
      </c>
      <c r="C361" s="117"/>
      <c r="D361" s="156" t="s">
        <v>174</v>
      </c>
      <c r="E361" s="119"/>
      <c r="F361" s="127">
        <f>'[1]17. Regulatory Charges'!$D$16</f>
        <v>2.9999999999999997E-4</v>
      </c>
      <c r="G361" s="141">
        <f>E333*E335</f>
        <v>686.4</v>
      </c>
      <c r="H361" s="157">
        <f t="shared" si="58"/>
        <v>0.20591999999999996</v>
      </c>
      <c r="I361" s="128">
        <v>2.9999999999999997E-4</v>
      </c>
      <c r="J361" s="141">
        <f>E333*E336</f>
        <v>686.4</v>
      </c>
      <c r="K361" s="157">
        <f t="shared" si="59"/>
        <v>0.20591999999999996</v>
      </c>
      <c r="L361" s="125">
        <f t="shared" si="53"/>
        <v>0</v>
      </c>
      <c r="M361" s="126">
        <f t="shared" si="60"/>
        <v>0</v>
      </c>
    </row>
    <row r="362" spans="1:13" x14ac:dyDescent="0.25">
      <c r="A362" s="100" t="str">
        <f t="shared" si="56"/>
        <v>SENTINEL LIGHTING SERVICE CLASSIFICATION</v>
      </c>
      <c r="C362" s="117"/>
      <c r="D362" s="158" t="s">
        <v>175</v>
      </c>
      <c r="E362" s="119"/>
      <c r="F362" s="145">
        <v>0.25</v>
      </c>
      <c r="G362" s="121">
        <v>1</v>
      </c>
      <c r="H362" s="157">
        <f t="shared" si="58"/>
        <v>0.25</v>
      </c>
      <c r="I362" s="146">
        <f>'[1]17. Regulatory Charges'!$D$17</f>
        <v>0.25</v>
      </c>
      <c r="J362" s="124">
        <v>1</v>
      </c>
      <c r="K362" s="157">
        <f t="shared" si="59"/>
        <v>0.25</v>
      </c>
      <c r="L362" s="125">
        <f t="shared" si="53"/>
        <v>0</v>
      </c>
      <c r="M362" s="126">
        <f t="shared" si="60"/>
        <v>0</v>
      </c>
    </row>
    <row r="363" spans="1:13" ht="25.5" x14ac:dyDescent="0.25">
      <c r="A363" s="100" t="str">
        <f t="shared" si="56"/>
        <v>SENTINEL LIGHTING SERVICE CLASSIFICATION</v>
      </c>
      <c r="C363" s="117"/>
      <c r="D363" s="156" t="s">
        <v>176</v>
      </c>
      <c r="E363" s="119"/>
      <c r="F363" s="127"/>
      <c r="G363" s="141"/>
      <c r="H363" s="157"/>
      <c r="I363" s="128"/>
      <c r="J363" s="141"/>
      <c r="K363" s="157"/>
      <c r="L363" s="125"/>
      <c r="M363" s="126"/>
    </row>
    <row r="364" spans="1:13" x14ac:dyDescent="0.25">
      <c r="A364" s="100" t="str">
        <f t="shared" si="56"/>
        <v>SENTINEL LIGHTING SERVICE CLASSIFICATION</v>
      </c>
      <c r="B364" s="105" t="s">
        <v>117</v>
      </c>
      <c r="C364" s="117"/>
      <c r="D364" s="159" t="s">
        <v>177</v>
      </c>
      <c r="E364" s="119"/>
      <c r="F364" s="160">
        <f>OffPeak</f>
        <v>6.5000000000000002E-2</v>
      </c>
      <c r="G364" s="161">
        <f>IF(AND(E333*12&gt;=150000),0.65*E333*E335,0.65*E333)</f>
        <v>422.5</v>
      </c>
      <c r="H364" s="157">
        <f t="shared" si="58"/>
        <v>27.462500000000002</v>
      </c>
      <c r="I364" s="162">
        <f>OffPeak</f>
        <v>6.5000000000000002E-2</v>
      </c>
      <c r="J364" s="161">
        <f>IF(AND(E333*12&gt;=150000),0.65*E333*E336,0.65*E333)</f>
        <v>422.5</v>
      </c>
      <c r="K364" s="157">
        <f t="shared" si="59"/>
        <v>27.462500000000002</v>
      </c>
      <c r="L364" s="125">
        <f>K364-H364</f>
        <v>0</v>
      </c>
      <c r="M364" s="126">
        <f t="shared" si="60"/>
        <v>0</v>
      </c>
    </row>
    <row r="365" spans="1:13" x14ac:dyDescent="0.25">
      <c r="A365" s="100" t="str">
        <f t="shared" si="56"/>
        <v>SENTINEL LIGHTING SERVICE CLASSIFICATION</v>
      </c>
      <c r="B365" s="105" t="s">
        <v>117</v>
      </c>
      <c r="C365" s="117"/>
      <c r="D365" s="159" t="s">
        <v>178</v>
      </c>
      <c r="E365" s="119"/>
      <c r="F365" s="160">
        <f>MidPeak</f>
        <v>9.4E-2</v>
      </c>
      <c r="G365" s="161">
        <f>IF(AND(E333*12&gt;=150000),0.17*E333*E335,0.17*E333)</f>
        <v>110.50000000000001</v>
      </c>
      <c r="H365" s="157">
        <f t="shared" si="58"/>
        <v>10.387000000000002</v>
      </c>
      <c r="I365" s="162">
        <f>MidPeak</f>
        <v>9.4E-2</v>
      </c>
      <c r="J365" s="161">
        <f>IF(AND(E333*12&gt;=150000),0.17*E333*E336,0.17*E333)</f>
        <v>110.50000000000001</v>
      </c>
      <c r="K365" s="157">
        <f t="shared" si="59"/>
        <v>10.387000000000002</v>
      </c>
      <c r="L365" s="125">
        <f>K365-H365</f>
        <v>0</v>
      </c>
      <c r="M365" s="126">
        <f t="shared" si="60"/>
        <v>0</v>
      </c>
    </row>
    <row r="366" spans="1:13" ht="15.75" thickBot="1" x14ac:dyDescent="0.3">
      <c r="A366" s="100" t="str">
        <f t="shared" si="56"/>
        <v>SENTINEL LIGHTING SERVICE CLASSIFICATION</v>
      </c>
      <c r="B366" s="105" t="s">
        <v>117</v>
      </c>
      <c r="C366" s="117"/>
      <c r="D366" s="105" t="s">
        <v>179</v>
      </c>
      <c r="E366" s="119"/>
      <c r="F366" s="160">
        <f>OnPeak</f>
        <v>0.13200000000000001</v>
      </c>
      <c r="G366" s="161">
        <f>IF(AND(E333*12&gt;=150000),0.18*E333*E335,0.18*E333)</f>
        <v>117</v>
      </c>
      <c r="H366" s="157">
        <f t="shared" si="58"/>
        <v>15.444000000000001</v>
      </c>
      <c r="I366" s="162">
        <f>OnPeak</f>
        <v>0.13200000000000001</v>
      </c>
      <c r="J366" s="161">
        <f>IF(AND(E333*12&gt;=150000),0.18*E333*E336,0.18*E333)</f>
        <v>117</v>
      </c>
      <c r="K366" s="157">
        <f t="shared" si="59"/>
        <v>15.444000000000001</v>
      </c>
      <c r="L366" s="125">
        <f>K366-H366</f>
        <v>0</v>
      </c>
      <c r="M366" s="126">
        <f t="shared" si="60"/>
        <v>0</v>
      </c>
    </row>
    <row r="367" spans="1:13" ht="15.75" hidden="1" thickBot="1" x14ac:dyDescent="0.3">
      <c r="A367" s="100" t="str">
        <f t="shared" si="56"/>
        <v>SENTINEL LIGHTING SERVICE CLASSIFICATION</v>
      </c>
      <c r="B367" s="100" t="s">
        <v>180</v>
      </c>
      <c r="C367" s="117"/>
      <c r="D367" s="159" t="s">
        <v>181</v>
      </c>
      <c r="E367" s="119"/>
      <c r="F367" s="163">
        <v>0.1101</v>
      </c>
      <c r="G367" s="161">
        <f>IF(AND(E333*12&gt;=150000),E333*E335,E333)</f>
        <v>650</v>
      </c>
      <c r="H367" s="157">
        <f>G367*F367</f>
        <v>71.564999999999998</v>
      </c>
      <c r="I367" s="164">
        <f>F367</f>
        <v>0.1101</v>
      </c>
      <c r="J367" s="161">
        <f>IF(AND(E333*12&gt;=150000),E333*E336,E333)</f>
        <v>650</v>
      </c>
      <c r="K367" s="157">
        <f>J367*I367</f>
        <v>71.564999999999998</v>
      </c>
      <c r="L367" s="125">
        <f>K367-H367</f>
        <v>0</v>
      </c>
      <c r="M367" s="126">
        <f t="shared" si="60"/>
        <v>0</v>
      </c>
    </row>
    <row r="368" spans="1:13" ht="15.75" hidden="1" thickBot="1" x14ac:dyDescent="0.3">
      <c r="A368" s="100" t="str">
        <f t="shared" si="56"/>
        <v>SENTINEL LIGHTING SERVICE CLASSIFICATION</v>
      </c>
      <c r="B368" s="100" t="s">
        <v>121</v>
      </c>
      <c r="C368" s="117"/>
      <c r="D368" s="159" t="s">
        <v>182</v>
      </c>
      <c r="E368" s="119"/>
      <c r="F368" s="163">
        <v>0.1101</v>
      </c>
      <c r="G368" s="161">
        <f>IF(AND(E333*12&gt;=150000),E333*E335,E333)</f>
        <v>650</v>
      </c>
      <c r="H368" s="157">
        <f>G368*F368</f>
        <v>71.564999999999998</v>
      </c>
      <c r="I368" s="164">
        <f>F368</f>
        <v>0.1101</v>
      </c>
      <c r="J368" s="161">
        <f>IF(AND(E333*12&gt;=150000),E333*E336,E333)</f>
        <v>650</v>
      </c>
      <c r="K368" s="157">
        <f>J368*I368</f>
        <v>71.564999999999998</v>
      </c>
      <c r="L368" s="125">
        <f>K368-H368</f>
        <v>0</v>
      </c>
      <c r="M368" s="126">
        <f t="shared" si="60"/>
        <v>0</v>
      </c>
    </row>
    <row r="369" spans="1:13" ht="15.75" thickBot="1" x14ac:dyDescent="0.3">
      <c r="A369" s="100" t="str">
        <f t="shared" si="56"/>
        <v>SENTINEL LIGHTING SERVICE CLASSIFICATION</v>
      </c>
      <c r="B369" s="105"/>
      <c r="C369" s="117"/>
      <c r="D369" s="165"/>
      <c r="E369" s="166"/>
      <c r="F369" s="167"/>
      <c r="G369" s="168"/>
      <c r="H369" s="169"/>
      <c r="I369" s="167"/>
      <c r="J369" s="170"/>
      <c r="K369" s="169"/>
      <c r="L369" s="171"/>
      <c r="M369" s="172"/>
    </row>
    <row r="370" spans="1:13" x14ac:dyDescent="0.25">
      <c r="A370" s="100" t="str">
        <f t="shared" si="56"/>
        <v>SENTINEL LIGHTING SERVICE CLASSIFICATION</v>
      </c>
      <c r="B370" s="105" t="s">
        <v>117</v>
      </c>
      <c r="C370" s="117"/>
      <c r="D370" s="173" t="s">
        <v>183</v>
      </c>
      <c r="E370" s="158"/>
      <c r="F370" s="174"/>
      <c r="G370" s="175"/>
      <c r="H370" s="176">
        <f>SUM(H360:H366,H359)</f>
        <v>108.29829599999999</v>
      </c>
      <c r="I370" s="177"/>
      <c r="J370" s="177"/>
      <c r="K370" s="176">
        <f>SUM(K360:K366,K359)</f>
        <v>108.29829599999999</v>
      </c>
      <c r="L370" s="178">
        <f>K370-H370</f>
        <v>0</v>
      </c>
      <c r="M370" s="179">
        <f>IF((H370)=0,"",(L370/H370))</f>
        <v>0</v>
      </c>
    </row>
    <row r="371" spans="1:13" x14ac:dyDescent="0.25">
      <c r="A371" s="100" t="str">
        <f t="shared" si="56"/>
        <v>SENTINEL LIGHTING SERVICE CLASSIFICATION</v>
      </c>
      <c r="B371" s="105" t="s">
        <v>117</v>
      </c>
      <c r="C371" s="117"/>
      <c r="D371" s="180" t="s">
        <v>184</v>
      </c>
      <c r="E371" s="158"/>
      <c r="F371" s="174">
        <v>0.13</v>
      </c>
      <c r="G371" s="181"/>
      <c r="H371" s="182">
        <f>H370*F371</f>
        <v>14.07877848</v>
      </c>
      <c r="I371" s="183">
        <v>0.13</v>
      </c>
      <c r="J371" s="121"/>
      <c r="K371" s="182">
        <f>K370*I371</f>
        <v>14.07877848</v>
      </c>
      <c r="L371" s="184">
        <f>K371-H371</f>
        <v>0</v>
      </c>
      <c r="M371" s="185">
        <f>IF((H371)=0,"",(L371/H371))</f>
        <v>0</v>
      </c>
    </row>
    <row r="372" spans="1:13" x14ac:dyDescent="0.25">
      <c r="A372" s="100" t="str">
        <f t="shared" si="56"/>
        <v>SENTINEL LIGHTING SERVICE CLASSIFICATION</v>
      </c>
      <c r="B372" s="105" t="s">
        <v>117</v>
      </c>
      <c r="C372" s="117"/>
      <c r="D372" s="180" t="s">
        <v>185</v>
      </c>
      <c r="E372" s="158"/>
      <c r="F372" s="174">
        <v>0.08</v>
      </c>
      <c r="G372" s="181"/>
      <c r="H372" s="182">
        <v>0</v>
      </c>
      <c r="I372" s="174">
        <v>0.08</v>
      </c>
      <c r="J372" s="121"/>
      <c r="K372" s="182">
        <v>0</v>
      </c>
      <c r="L372" s="184">
        <f>K372-H372</f>
        <v>0</v>
      </c>
      <c r="M372" s="185"/>
    </row>
    <row r="373" spans="1:13" ht="15.75" thickBot="1" x14ac:dyDescent="0.3">
      <c r="A373" s="100" t="str">
        <f t="shared" si="56"/>
        <v>SENTINEL LIGHTING SERVICE CLASSIFICATION</v>
      </c>
      <c r="B373" s="105" t="s">
        <v>186</v>
      </c>
      <c r="C373" s="117">
        <f>B8</f>
        <v>6</v>
      </c>
      <c r="D373" s="301" t="s">
        <v>187</v>
      </c>
      <c r="E373" s="301"/>
      <c r="F373" s="186"/>
      <c r="G373" s="187"/>
      <c r="H373" s="188">
        <f>H370+H371+H372</f>
        <v>122.37707447999999</v>
      </c>
      <c r="I373" s="189"/>
      <c r="J373" s="189"/>
      <c r="K373" s="190">
        <f>K370+K371+K372</f>
        <v>122.37707447999999</v>
      </c>
      <c r="L373" s="191">
        <f>K373-H373</f>
        <v>0</v>
      </c>
      <c r="M373" s="192">
        <f>IF((H373)=0,"",(L373/H373))</f>
        <v>0</v>
      </c>
    </row>
    <row r="374" spans="1:13" ht="15.75" thickBot="1" x14ac:dyDescent="0.3">
      <c r="A374" s="100" t="str">
        <f t="shared" si="56"/>
        <v>SENTINEL LIGHTING SERVICE CLASSIFICATION</v>
      </c>
      <c r="B374" s="100" t="s">
        <v>117</v>
      </c>
      <c r="C374" s="117"/>
      <c r="D374" s="165"/>
      <c r="E374" s="166"/>
      <c r="F374" s="167"/>
      <c r="G374" s="168"/>
      <c r="H374" s="169"/>
      <c r="I374" s="167"/>
      <c r="J374" s="170"/>
      <c r="K374" s="169"/>
      <c r="L374" s="171"/>
      <c r="M374" s="172"/>
    </row>
    <row r="375" spans="1:13" hidden="1" x14ac:dyDescent="0.25">
      <c r="A375" s="100" t="str">
        <f t="shared" si="56"/>
        <v>SENTINEL LIGHTING SERVICE CLASSIFICATION</v>
      </c>
      <c r="B375" s="100" t="s">
        <v>180</v>
      </c>
      <c r="C375" s="117"/>
      <c r="D375" s="173" t="s">
        <v>188</v>
      </c>
      <c r="E375" s="158"/>
      <c r="F375" s="174"/>
      <c r="G375" s="175"/>
      <c r="H375" s="176">
        <f>SUM(H367,H360:H363,H359)</f>
        <v>126.569796</v>
      </c>
      <c r="I375" s="177"/>
      <c r="J375" s="177"/>
      <c r="K375" s="176">
        <f>SUM(K367,K360:K363,K359)</f>
        <v>126.569796</v>
      </c>
      <c r="L375" s="178">
        <f>K375-H375</f>
        <v>0</v>
      </c>
      <c r="M375" s="179">
        <f>IF((H375)=0,"",(L375/H375))</f>
        <v>0</v>
      </c>
    </row>
    <row r="376" spans="1:13" hidden="1" x14ac:dyDescent="0.25">
      <c r="A376" s="100" t="str">
        <f t="shared" si="56"/>
        <v>SENTINEL LIGHTING SERVICE CLASSIFICATION</v>
      </c>
      <c r="B376" s="100" t="s">
        <v>180</v>
      </c>
      <c r="C376" s="117"/>
      <c r="D376" s="180" t="s">
        <v>184</v>
      </c>
      <c r="E376" s="158"/>
      <c r="F376" s="174">
        <v>0.13</v>
      </c>
      <c r="G376" s="175"/>
      <c r="H376" s="182">
        <f>H375*F376</f>
        <v>16.454073480000002</v>
      </c>
      <c r="I376" s="174">
        <v>0.13</v>
      </c>
      <c r="J376" s="183"/>
      <c r="K376" s="182">
        <f>K375*I376</f>
        <v>16.454073480000002</v>
      </c>
      <c r="L376" s="184">
        <f>K376-H376</f>
        <v>0</v>
      </c>
      <c r="M376" s="185">
        <f>IF((H376)=0,"",(L376/H376))</f>
        <v>0</v>
      </c>
    </row>
    <row r="377" spans="1:13" hidden="1" x14ac:dyDescent="0.25">
      <c r="A377" s="100" t="str">
        <f t="shared" si="56"/>
        <v>SENTINEL LIGHTING SERVICE CLASSIFICATION</v>
      </c>
      <c r="B377" s="100" t="s">
        <v>180</v>
      </c>
      <c r="C377" s="117"/>
      <c r="D377" s="180" t="s">
        <v>185</v>
      </c>
      <c r="E377" s="158"/>
      <c r="F377" s="174">
        <v>0.08</v>
      </c>
      <c r="G377" s="175"/>
      <c r="H377" s="182">
        <v>0</v>
      </c>
      <c r="I377" s="174">
        <v>0.08</v>
      </c>
      <c r="J377" s="183"/>
      <c r="K377" s="182">
        <v>0</v>
      </c>
      <c r="L377" s="184"/>
      <c r="M377" s="185"/>
    </row>
    <row r="378" spans="1:13" hidden="1" x14ac:dyDescent="0.25">
      <c r="A378" s="100" t="str">
        <f t="shared" si="56"/>
        <v>SENTINEL LIGHTING SERVICE CLASSIFICATION</v>
      </c>
      <c r="B378" s="100" t="s">
        <v>189</v>
      </c>
      <c r="C378" s="117"/>
      <c r="D378" s="301" t="s">
        <v>188</v>
      </c>
      <c r="E378" s="301"/>
      <c r="F378" s="193"/>
      <c r="G378" s="194"/>
      <c r="H378" s="188">
        <f>SUM(H375,H376)</f>
        <v>143.02386948</v>
      </c>
      <c r="I378" s="195"/>
      <c r="J378" s="195"/>
      <c r="K378" s="188">
        <f>SUM(K375,K376)</f>
        <v>143.02386948</v>
      </c>
      <c r="L378" s="196">
        <f>K378-H378</f>
        <v>0</v>
      </c>
      <c r="M378" s="197">
        <f>IF((H378)=0,"",(L378/H378))</f>
        <v>0</v>
      </c>
    </row>
    <row r="379" spans="1:13" ht="15.75" hidden="1" thickBot="1" x14ac:dyDescent="0.3">
      <c r="A379" s="100" t="str">
        <f t="shared" si="56"/>
        <v>SENTINEL LIGHTING SERVICE CLASSIFICATION</v>
      </c>
      <c r="B379" s="100" t="s">
        <v>180</v>
      </c>
      <c r="C379" s="117"/>
      <c r="D379" s="165"/>
      <c r="E379" s="166"/>
      <c r="F379" s="198"/>
      <c r="G379" s="199"/>
      <c r="H379" s="200"/>
      <c r="I379" s="198"/>
      <c r="J379" s="168"/>
      <c r="K379" s="200"/>
      <c r="L379" s="201"/>
      <c r="M379" s="172"/>
    </row>
    <row r="380" spans="1:13" hidden="1" x14ac:dyDescent="0.25">
      <c r="A380" s="100" t="str">
        <f t="shared" si="56"/>
        <v>SENTINEL LIGHTING SERVICE CLASSIFICATION</v>
      </c>
      <c r="B380" s="100" t="s">
        <v>121</v>
      </c>
      <c r="C380" s="117"/>
      <c r="D380" s="173" t="s">
        <v>190</v>
      </c>
      <c r="E380" s="158"/>
      <c r="F380" s="174"/>
      <c r="G380" s="175"/>
      <c r="H380" s="176">
        <f>SUM(H368,H360:H363,H359)</f>
        <v>126.569796</v>
      </c>
      <c r="I380" s="177"/>
      <c r="J380" s="177"/>
      <c r="K380" s="176">
        <f>SUM(K368,K360:K363,K359)</f>
        <v>126.569796</v>
      </c>
      <c r="L380" s="178">
        <f>K380-H380</f>
        <v>0</v>
      </c>
      <c r="M380" s="179">
        <f>IF((H380)=0,"",(L380/H380))</f>
        <v>0</v>
      </c>
    </row>
    <row r="381" spans="1:13" hidden="1" x14ac:dyDescent="0.25">
      <c r="A381" s="100" t="str">
        <f t="shared" si="56"/>
        <v>SENTINEL LIGHTING SERVICE CLASSIFICATION</v>
      </c>
      <c r="B381" s="100" t="s">
        <v>121</v>
      </c>
      <c r="C381" s="117"/>
      <c r="D381" s="180" t="s">
        <v>184</v>
      </c>
      <c r="E381" s="158"/>
      <c r="F381" s="174">
        <v>0.13</v>
      </c>
      <c r="G381" s="175"/>
      <c r="H381" s="182">
        <f>H380*F381</f>
        <v>16.454073480000002</v>
      </c>
      <c r="I381" s="174">
        <v>0.13</v>
      </c>
      <c r="J381" s="183"/>
      <c r="K381" s="182">
        <f>K380*I381</f>
        <v>16.454073480000002</v>
      </c>
      <c r="L381" s="184">
        <f>K381-H381</f>
        <v>0</v>
      </c>
      <c r="M381" s="185">
        <f>IF((H381)=0,"",(L381/H381))</f>
        <v>0</v>
      </c>
    </row>
    <row r="382" spans="1:13" hidden="1" x14ac:dyDescent="0.25">
      <c r="A382" s="100" t="str">
        <f t="shared" si="56"/>
        <v>SENTINEL LIGHTING SERVICE CLASSIFICATION</v>
      </c>
      <c r="B382" s="100" t="s">
        <v>121</v>
      </c>
      <c r="C382" s="117"/>
      <c r="D382" s="180" t="s">
        <v>185</v>
      </c>
      <c r="E382" s="158"/>
      <c r="F382" s="174">
        <v>0.08</v>
      </c>
      <c r="G382" s="175"/>
      <c r="H382" s="182">
        <v>0</v>
      </c>
      <c r="I382" s="174">
        <v>0.08</v>
      </c>
      <c r="J382" s="183"/>
      <c r="K382" s="182">
        <v>0</v>
      </c>
      <c r="L382" s="184"/>
      <c r="M382" s="185"/>
    </row>
    <row r="383" spans="1:13" hidden="1" x14ac:dyDescent="0.25">
      <c r="A383" s="100" t="str">
        <f t="shared" si="56"/>
        <v>SENTINEL LIGHTING SERVICE CLASSIFICATION</v>
      </c>
      <c r="B383" s="100" t="s">
        <v>191</v>
      </c>
      <c r="C383" s="117"/>
      <c r="D383" s="301" t="s">
        <v>190</v>
      </c>
      <c r="E383" s="301"/>
      <c r="F383" s="193"/>
      <c r="G383" s="194"/>
      <c r="H383" s="188">
        <f>SUM(H380,H381)</f>
        <v>143.02386948</v>
      </c>
      <c r="I383" s="195"/>
      <c r="J383" s="195"/>
      <c r="K383" s="188">
        <f>SUM(K380,K381)</f>
        <v>143.02386948</v>
      </c>
      <c r="L383" s="196">
        <f>K383-H383</f>
        <v>0</v>
      </c>
      <c r="M383" s="197">
        <f>IF((H383)=0,"",(L383/H383))</f>
        <v>0</v>
      </c>
    </row>
    <row r="384" spans="1:13" ht="15.75" hidden="1" thickBot="1" x14ac:dyDescent="0.3">
      <c r="A384" s="100" t="str">
        <f t="shared" si="56"/>
        <v>SENTINEL LIGHTING SERVICE CLASSIFICATION</v>
      </c>
      <c r="B384" s="100" t="s">
        <v>121</v>
      </c>
      <c r="C384" s="117"/>
      <c r="D384" s="165"/>
      <c r="E384" s="166"/>
      <c r="F384" s="202"/>
      <c r="G384" s="203"/>
      <c r="H384" s="204"/>
      <c r="I384" s="202"/>
      <c r="J384" s="205"/>
      <c r="K384" s="204"/>
      <c r="L384" s="206"/>
      <c r="M384" s="207"/>
    </row>
    <row r="387" spans="1:13" x14ac:dyDescent="0.25">
      <c r="C387" s="100"/>
      <c r="D387" s="101" t="s">
        <v>134</v>
      </c>
      <c r="E387" s="302" t="str">
        <f>D9</f>
        <v>STREET LIGHTING SERVICE CLASSIFICATION</v>
      </c>
      <c r="F387" s="302"/>
      <c r="G387" s="302"/>
      <c r="H387" s="302"/>
      <c r="I387" s="302"/>
      <c r="J387" s="302"/>
      <c r="K387" s="100" t="str">
        <f>IF(N9="DEMAND - INTERVAL","RTSR - INTERVAL METERED","")</f>
        <v/>
      </c>
    </row>
    <row r="388" spans="1:13" x14ac:dyDescent="0.25">
      <c r="C388" s="100"/>
      <c r="D388" s="101" t="s">
        <v>135</v>
      </c>
      <c r="E388" s="303" t="str">
        <f>H9</f>
        <v>Non-RPP (Other)</v>
      </c>
      <c r="F388" s="303"/>
      <c r="G388" s="303"/>
      <c r="H388" s="102"/>
      <c r="I388" s="102"/>
    </row>
    <row r="389" spans="1:13" ht="15.75" x14ac:dyDescent="0.25">
      <c r="C389" s="100"/>
      <c r="D389" s="101" t="s">
        <v>136</v>
      </c>
      <c r="E389" s="103">
        <f>K9</f>
        <v>94033.37</v>
      </c>
      <c r="F389" s="104" t="s">
        <v>137</v>
      </c>
      <c r="G389" s="105"/>
      <c r="J389" s="106"/>
      <c r="K389" s="106"/>
      <c r="L389" s="106"/>
      <c r="M389" s="106"/>
    </row>
    <row r="390" spans="1:13" ht="15.75" x14ac:dyDescent="0.25">
      <c r="C390" s="100"/>
      <c r="D390" s="101" t="s">
        <v>138</v>
      </c>
      <c r="E390" s="103">
        <f>L9</f>
        <v>251</v>
      </c>
      <c r="F390" s="107" t="s">
        <v>139</v>
      </c>
      <c r="G390" s="108"/>
      <c r="H390" s="109"/>
      <c r="I390" s="109"/>
      <c r="J390" s="109"/>
    </row>
    <row r="391" spans="1:13" x14ac:dyDescent="0.25">
      <c r="C391" s="100"/>
      <c r="D391" s="101" t="s">
        <v>140</v>
      </c>
      <c r="E391" s="110">
        <f>I9</f>
        <v>1.056</v>
      </c>
    </row>
    <row r="392" spans="1:13" x14ac:dyDescent="0.25">
      <c r="C392" s="100"/>
      <c r="D392" s="101" t="s">
        <v>141</v>
      </c>
      <c r="E392" s="110">
        <f>J9</f>
        <v>1.056</v>
      </c>
    </row>
    <row r="393" spans="1:13" x14ac:dyDescent="0.25">
      <c r="C393" s="100"/>
      <c r="D393" s="105"/>
    </row>
    <row r="394" spans="1:13" x14ac:dyDescent="0.25">
      <c r="C394" s="100"/>
      <c r="D394" s="105"/>
      <c r="E394" s="111"/>
      <c r="F394" s="304" t="s">
        <v>142</v>
      </c>
      <c r="G394" s="305"/>
      <c r="H394" s="306"/>
      <c r="I394" s="304" t="s">
        <v>143</v>
      </c>
      <c r="J394" s="305"/>
      <c r="K394" s="306"/>
      <c r="L394" s="304" t="s">
        <v>144</v>
      </c>
      <c r="M394" s="306"/>
    </row>
    <row r="395" spans="1:13" x14ac:dyDescent="0.25">
      <c r="C395" s="100"/>
      <c r="D395" s="105"/>
      <c r="E395" s="295"/>
      <c r="F395" s="112" t="s">
        <v>145</v>
      </c>
      <c r="G395" s="112" t="s">
        <v>146</v>
      </c>
      <c r="H395" s="113" t="s">
        <v>147</v>
      </c>
      <c r="I395" s="112" t="s">
        <v>145</v>
      </c>
      <c r="J395" s="114" t="s">
        <v>146</v>
      </c>
      <c r="K395" s="113" t="s">
        <v>147</v>
      </c>
      <c r="L395" s="297" t="s">
        <v>148</v>
      </c>
      <c r="M395" s="299" t="s">
        <v>149</v>
      </c>
    </row>
    <row r="396" spans="1:13" x14ac:dyDescent="0.25">
      <c r="C396" s="100"/>
      <c r="D396" s="105"/>
      <c r="E396" s="296"/>
      <c r="F396" s="115" t="s">
        <v>150</v>
      </c>
      <c r="G396" s="115"/>
      <c r="H396" s="116" t="s">
        <v>150</v>
      </c>
      <c r="I396" s="115" t="s">
        <v>150</v>
      </c>
      <c r="J396" s="116"/>
      <c r="K396" s="116" t="s">
        <v>150</v>
      </c>
      <c r="L396" s="298"/>
      <c r="M396" s="300"/>
    </row>
    <row r="397" spans="1:13" x14ac:dyDescent="0.25">
      <c r="A397" s="100" t="str">
        <f>$E387</f>
        <v>STREET LIGHTING SERVICE CLASSIFICATION</v>
      </c>
      <c r="C397" s="117"/>
      <c r="D397" s="118" t="s">
        <v>151</v>
      </c>
      <c r="E397" s="119"/>
      <c r="F397" s="120">
        <v>2.2999999999999998</v>
      </c>
      <c r="G397" s="121">
        <v>1</v>
      </c>
      <c r="H397" s="122">
        <f>G397*F397</f>
        <v>2.2999999999999998</v>
      </c>
      <c r="I397" s="123">
        <v>2.33</v>
      </c>
      <c r="J397" s="124">
        <f>G397</f>
        <v>1</v>
      </c>
      <c r="K397" s="122">
        <f>H397</f>
        <v>2.2999999999999998</v>
      </c>
      <c r="L397" s="125">
        <f t="shared" ref="L397:L418" si="61">K397-H397</f>
        <v>0</v>
      </c>
      <c r="M397" s="126">
        <f>IF(ISERROR(L397/H397), "", L397/H397)</f>
        <v>0</v>
      </c>
    </row>
    <row r="398" spans="1:13" x14ac:dyDescent="0.25">
      <c r="A398" s="100" t="str">
        <f>A397</f>
        <v>STREET LIGHTING SERVICE CLASSIFICATION</v>
      </c>
      <c r="C398" s="117"/>
      <c r="D398" s="118" t="s">
        <v>152</v>
      </c>
      <c r="E398" s="119"/>
      <c r="F398" s="127">
        <v>1.5523</v>
      </c>
      <c r="G398" s="121">
        <f>IF($E390&gt;0, $E390, $E389)</f>
        <v>251</v>
      </c>
      <c r="H398" s="122">
        <f t="shared" ref="H398:H410" si="62">G398*F398</f>
        <v>389.62729999999999</v>
      </c>
      <c r="I398" s="128">
        <v>1.5709</v>
      </c>
      <c r="J398" s="124">
        <f>IF($E390&gt;0, $E390, $E389)</f>
        <v>251</v>
      </c>
      <c r="K398" s="122">
        <f>H398</f>
        <v>389.62729999999999</v>
      </c>
      <c r="L398" s="125">
        <f t="shared" si="61"/>
        <v>0</v>
      </c>
      <c r="M398" s="126">
        <f t="shared" ref="M398:M408" si="63">IF(ISERROR(L398/H398), "", L398/H398)</f>
        <v>0</v>
      </c>
    </row>
    <row r="399" spans="1:13" x14ac:dyDescent="0.25">
      <c r="A399" s="100" t="str">
        <f t="shared" ref="A399:A440" si="64">A398</f>
        <v>STREET LIGHTING SERVICE CLASSIFICATION</v>
      </c>
      <c r="C399" s="117"/>
      <c r="D399" s="118" t="s">
        <v>153</v>
      </c>
      <c r="E399" s="119"/>
      <c r="F399" s="127"/>
      <c r="G399" s="121"/>
      <c r="H399" s="122">
        <v>0</v>
      </c>
      <c r="I399" s="128"/>
      <c r="J399" s="124">
        <f>IF($E390&gt;0, $E390, $E389)</f>
        <v>251</v>
      </c>
      <c r="K399" s="122">
        <v>0</v>
      </c>
      <c r="L399" s="125"/>
      <c r="M399" s="126"/>
    </row>
    <row r="400" spans="1:13" x14ac:dyDescent="0.25">
      <c r="A400" s="100" t="str">
        <f t="shared" si="64"/>
        <v>STREET LIGHTING SERVICE CLASSIFICATION</v>
      </c>
      <c r="C400" s="117"/>
      <c r="D400" s="118" t="s">
        <v>154</v>
      </c>
      <c r="E400" s="119"/>
      <c r="F400" s="127"/>
      <c r="G400" s="121">
        <f>IF($E390&gt;0, $E390, $E389)</f>
        <v>251</v>
      </c>
      <c r="H400" s="122">
        <v>0</v>
      </c>
      <c r="I400" s="128"/>
      <c r="J400" s="121">
        <f>IF($E390&gt;0, $E390, $E389)</f>
        <v>251</v>
      </c>
      <c r="K400" s="122">
        <v>0</v>
      </c>
      <c r="L400" s="125">
        <f>K400-H400</f>
        <v>0</v>
      </c>
      <c r="M400" s="126" t="str">
        <f>IF(ISERROR(L400/H400), "", L400/H400)</f>
        <v/>
      </c>
    </row>
    <row r="401" spans="1:13" x14ac:dyDescent="0.25">
      <c r="A401" s="100" t="str">
        <f t="shared" si="64"/>
        <v>STREET LIGHTING SERVICE CLASSIFICATION</v>
      </c>
      <c r="C401" s="117"/>
      <c r="D401" s="129" t="s">
        <v>155</v>
      </c>
      <c r="E401" s="119"/>
      <c r="F401" s="120">
        <v>0</v>
      </c>
      <c r="G401" s="121">
        <v>1</v>
      </c>
      <c r="H401" s="122">
        <f t="shared" si="62"/>
        <v>0</v>
      </c>
      <c r="I401" s="123">
        <v>0</v>
      </c>
      <c r="J401" s="124">
        <f>G401</f>
        <v>1</v>
      </c>
      <c r="K401" s="122">
        <f t="shared" ref="K401:K407" si="65">J401*I401</f>
        <v>0</v>
      </c>
      <c r="L401" s="125">
        <f t="shared" si="61"/>
        <v>0</v>
      </c>
      <c r="M401" s="126" t="str">
        <f t="shared" si="63"/>
        <v/>
      </c>
    </row>
    <row r="402" spans="1:13" x14ac:dyDescent="0.25">
      <c r="A402" s="100" t="str">
        <f t="shared" si="64"/>
        <v>STREET LIGHTING SERVICE CLASSIFICATION</v>
      </c>
      <c r="C402" s="117"/>
      <c r="D402" s="118" t="s">
        <v>156</v>
      </c>
      <c r="E402" s="119"/>
      <c r="F402" s="127">
        <v>0</v>
      </c>
      <c r="G402" s="121">
        <f>IF($E390&gt;0, $E390, $E389)</f>
        <v>251</v>
      </c>
      <c r="H402" s="122">
        <f t="shared" si="62"/>
        <v>0</v>
      </c>
      <c r="I402" s="128">
        <v>0</v>
      </c>
      <c r="J402" s="124">
        <f>IF($E390&gt;0, $E390, $E389)</f>
        <v>251</v>
      </c>
      <c r="K402" s="122">
        <f t="shared" si="65"/>
        <v>0</v>
      </c>
      <c r="L402" s="125">
        <f t="shared" si="61"/>
        <v>0</v>
      </c>
      <c r="M402" s="126" t="str">
        <f t="shared" si="63"/>
        <v/>
      </c>
    </row>
    <row r="403" spans="1:13" x14ac:dyDescent="0.25">
      <c r="A403" s="100" t="str">
        <f t="shared" si="64"/>
        <v>STREET LIGHTING SERVICE CLASSIFICATION</v>
      </c>
      <c r="B403" s="130" t="s">
        <v>157</v>
      </c>
      <c r="C403" s="117">
        <f>B9</f>
        <v>7</v>
      </c>
      <c r="D403" s="131" t="s">
        <v>158</v>
      </c>
      <c r="E403" s="132"/>
      <c r="F403" s="133"/>
      <c r="G403" s="134"/>
      <c r="H403" s="135">
        <f>SUM(H397:H402)</f>
        <v>391.9273</v>
      </c>
      <c r="I403" s="136"/>
      <c r="J403" s="137"/>
      <c r="K403" s="135">
        <f>SUM(K397:K402)</f>
        <v>391.9273</v>
      </c>
      <c r="L403" s="138">
        <f t="shared" si="61"/>
        <v>0</v>
      </c>
      <c r="M403" s="139">
        <f>IF((H403)=0,"",(L403/H403))</f>
        <v>0</v>
      </c>
    </row>
    <row r="404" spans="1:13" x14ac:dyDescent="0.25">
      <c r="A404" s="100" t="str">
        <f t="shared" si="64"/>
        <v>STREET LIGHTING SERVICE CLASSIFICATION</v>
      </c>
      <c r="C404" s="117"/>
      <c r="D404" s="140" t="s">
        <v>159</v>
      </c>
      <c r="E404" s="119"/>
      <c r="F404" s="127">
        <f>IF((E389*12&gt;=150000), 0, IF(E388="RPP",(F420*0.65+F421*0.17+F422*0.18),IF(E388="Non-RPP (Retailer)",F423,F424)))</f>
        <v>0</v>
      </c>
      <c r="G404" s="141">
        <f>IF(F404=0, 0, $E389*E391-E389)</f>
        <v>0</v>
      </c>
      <c r="H404" s="122">
        <f>G404*F404</f>
        <v>0</v>
      </c>
      <c r="I404" s="128">
        <f>IF((E389*12&gt;=150000), 0, IF(E388="RPP",(I420*0.65+I421*0.17+I422*0.18),IF(E388="Non-RPP (Retailer)",I423,I424)))</f>
        <v>0</v>
      </c>
      <c r="J404" s="141">
        <f>IF(I404=0, 0, E389*E392-E389)</f>
        <v>0</v>
      </c>
      <c r="K404" s="122">
        <f>J404*I404</f>
        <v>0</v>
      </c>
      <c r="L404" s="125">
        <f>K404-H404</f>
        <v>0</v>
      </c>
      <c r="M404" s="126" t="str">
        <f>IF(ISERROR(L404/H404), "", L404/H404)</f>
        <v/>
      </c>
    </row>
    <row r="405" spans="1:13" ht="25.5" x14ac:dyDescent="0.25">
      <c r="A405" s="100" t="str">
        <f t="shared" si="64"/>
        <v>STREET LIGHTING SERVICE CLASSIFICATION</v>
      </c>
      <c r="C405" s="117"/>
      <c r="D405" s="140" t="s">
        <v>160</v>
      </c>
      <c r="E405" s="119"/>
      <c r="F405" s="127">
        <v>-0.97850000000000004</v>
      </c>
      <c r="G405" s="142">
        <f>IF($E390&gt;0, $E390, $E389)</f>
        <v>251</v>
      </c>
      <c r="H405" s="122">
        <f t="shared" si="62"/>
        <v>-245.6035</v>
      </c>
      <c r="I405" s="128">
        <v>-1.8794</v>
      </c>
      <c r="J405" s="142">
        <f>IF($E390&gt;0, $E390, $E389)</f>
        <v>251</v>
      </c>
      <c r="K405" s="122">
        <f>H405</f>
        <v>-245.6035</v>
      </c>
      <c r="L405" s="125">
        <f t="shared" si="61"/>
        <v>0</v>
      </c>
      <c r="M405" s="126">
        <f t="shared" si="63"/>
        <v>0</v>
      </c>
    </row>
    <row r="406" spans="1:13" x14ac:dyDescent="0.25">
      <c r="A406" s="100" t="str">
        <f t="shared" si="64"/>
        <v>STREET LIGHTING SERVICE CLASSIFICATION</v>
      </c>
      <c r="C406" s="117"/>
      <c r="D406" s="140" t="s">
        <v>161</v>
      </c>
      <c r="E406" s="119"/>
      <c r="F406" s="127">
        <v>-2.8500000000000001E-2</v>
      </c>
      <c r="G406" s="142">
        <f>IF($E390&gt;0, $E390, $E389)</f>
        <v>251</v>
      </c>
      <c r="H406" s="122">
        <f>G406*F406</f>
        <v>-7.1535000000000002</v>
      </c>
      <c r="I406" s="128">
        <v>0</v>
      </c>
      <c r="J406" s="142">
        <f>IF($E390&gt;0, $E390, $E389)</f>
        <v>251</v>
      </c>
      <c r="K406" s="122">
        <f>H406</f>
        <v>-7.1535000000000002</v>
      </c>
      <c r="L406" s="125">
        <f t="shared" si="61"/>
        <v>0</v>
      </c>
      <c r="M406" s="126">
        <f t="shared" si="63"/>
        <v>0</v>
      </c>
    </row>
    <row r="407" spans="1:13" x14ac:dyDescent="0.25">
      <c r="A407" s="100" t="str">
        <f t="shared" si="64"/>
        <v>STREET LIGHTING SERVICE CLASSIFICATION</v>
      </c>
      <c r="C407" s="117"/>
      <c r="D407" s="140" t="s">
        <v>162</v>
      </c>
      <c r="E407" s="119"/>
      <c r="F407" s="127">
        <v>-1E-3</v>
      </c>
      <c r="G407" s="142">
        <f>E389</f>
        <v>94033.37</v>
      </c>
      <c r="H407" s="122">
        <f>G407*F407</f>
        <v>-94.033369999999991</v>
      </c>
      <c r="I407" s="128">
        <v>1.37E-2</v>
      </c>
      <c r="J407" s="142">
        <f>E389</f>
        <v>94033.37</v>
      </c>
      <c r="K407" s="122">
        <f t="shared" si="65"/>
        <v>1288.257169</v>
      </c>
      <c r="L407" s="125">
        <f t="shared" si="61"/>
        <v>1382.2905390000001</v>
      </c>
      <c r="M407" s="126">
        <f t="shared" si="63"/>
        <v>-14.700000000000003</v>
      </c>
    </row>
    <row r="408" spans="1:13" x14ac:dyDescent="0.25">
      <c r="A408" s="100" t="str">
        <f t="shared" si="64"/>
        <v>STREET LIGHTING SERVICE CLASSIFICATION</v>
      </c>
      <c r="C408" s="117"/>
      <c r="D408" s="143" t="s">
        <v>163</v>
      </c>
      <c r="E408" s="119"/>
      <c r="F408" s="127">
        <v>0.73929999999999996</v>
      </c>
      <c r="G408" s="142">
        <f>IF($E390&gt;0, $E390, $E389)</f>
        <v>251</v>
      </c>
      <c r="H408" s="122">
        <f t="shared" si="62"/>
        <v>185.5643</v>
      </c>
      <c r="I408" s="128">
        <v>0.73929999999999996</v>
      </c>
      <c r="J408" s="142">
        <f>IF($E390&gt;0, $E390, $E389)</f>
        <v>251</v>
      </c>
      <c r="K408" s="122">
        <f>H408</f>
        <v>185.5643</v>
      </c>
      <c r="L408" s="125">
        <f t="shared" si="61"/>
        <v>0</v>
      </c>
      <c r="M408" s="126">
        <f t="shared" si="63"/>
        <v>0</v>
      </c>
    </row>
    <row r="409" spans="1:13" ht="25.5" x14ac:dyDescent="0.25">
      <c r="A409" s="100" t="str">
        <f t="shared" si="64"/>
        <v>STREET LIGHTING SERVICE CLASSIFICATION</v>
      </c>
      <c r="C409" s="117"/>
      <c r="D409" s="144" t="s">
        <v>164</v>
      </c>
      <c r="E409" s="119"/>
      <c r="F409" s="145">
        <f>IF(OR(ISNUMBER(SEARCH("RESIDENTIAL", E387))=TRUE, ISNUMBER(SEARCH("GENERAL SERVICE LESS THAN 50", E387))=TRUE), SME, 0)</f>
        <v>0</v>
      </c>
      <c r="G409" s="121">
        <v>1</v>
      </c>
      <c r="H409" s="122">
        <f>G409*F409</f>
        <v>0</v>
      </c>
      <c r="I409" s="146">
        <f>IF(OR(ISNUMBER(SEARCH("RESIDENTIAL", E387))=TRUE, ISNUMBER(SEARCH("GENERAL SERVICE LESS THAN 50", E387))=TRUE), SME, 0)</f>
        <v>0</v>
      </c>
      <c r="J409" s="121">
        <v>1</v>
      </c>
      <c r="K409" s="122">
        <f>J409*I409</f>
        <v>0</v>
      </c>
      <c r="L409" s="125">
        <f t="shared" si="61"/>
        <v>0</v>
      </c>
      <c r="M409" s="126" t="str">
        <f>IF(ISERROR(L409/H409), "", L409/H409)</f>
        <v/>
      </c>
    </row>
    <row r="410" spans="1:13" x14ac:dyDescent="0.25">
      <c r="A410" s="100" t="str">
        <f t="shared" si="64"/>
        <v>STREET LIGHTING SERVICE CLASSIFICATION</v>
      </c>
      <c r="C410" s="117"/>
      <c r="D410" s="143" t="s">
        <v>165</v>
      </c>
      <c r="E410" s="119"/>
      <c r="F410" s="120">
        <v>0</v>
      </c>
      <c r="G410" s="121">
        <v>1</v>
      </c>
      <c r="H410" s="122">
        <f t="shared" si="62"/>
        <v>0</v>
      </c>
      <c r="I410" s="123">
        <v>0</v>
      </c>
      <c r="J410" s="121">
        <v>1</v>
      </c>
      <c r="K410" s="122">
        <f>J410*I410</f>
        <v>0</v>
      </c>
      <c r="L410" s="125">
        <f>K410-H410</f>
        <v>0</v>
      </c>
      <c r="M410" s="126" t="str">
        <f>IF(ISERROR(L410/H410), "", L410/H410)</f>
        <v/>
      </c>
    </row>
    <row r="411" spans="1:13" x14ac:dyDescent="0.25">
      <c r="A411" s="100" t="str">
        <f t="shared" si="64"/>
        <v>STREET LIGHTING SERVICE CLASSIFICATION</v>
      </c>
      <c r="C411" s="117"/>
      <c r="D411" s="143" t="s">
        <v>166</v>
      </c>
      <c r="E411" s="119"/>
      <c r="F411" s="127"/>
      <c r="G411" s="142">
        <f>IF($E390&gt;0, $E390, $E389)</f>
        <v>251</v>
      </c>
      <c r="H411" s="122">
        <f>G411*F411</f>
        <v>0</v>
      </c>
      <c r="I411" s="128">
        <v>0</v>
      </c>
      <c r="J411" s="142">
        <f>IF($E390&gt;0, $E390, $E389)</f>
        <v>251</v>
      </c>
      <c r="K411" s="122">
        <f>J411*I411</f>
        <v>0</v>
      </c>
      <c r="L411" s="125">
        <f t="shared" si="61"/>
        <v>0</v>
      </c>
      <c r="M411" s="126" t="str">
        <f>IF(ISERROR(L411/H411), "", L411/H411)</f>
        <v/>
      </c>
    </row>
    <row r="412" spans="1:13" ht="25.5" x14ac:dyDescent="0.25">
      <c r="A412" s="100" t="str">
        <f t="shared" si="64"/>
        <v>STREET LIGHTING SERVICE CLASSIFICATION</v>
      </c>
      <c r="B412" s="105" t="s">
        <v>167</v>
      </c>
      <c r="C412" s="117">
        <f>B9</f>
        <v>7</v>
      </c>
      <c r="D412" s="147" t="s">
        <v>168</v>
      </c>
      <c r="E412" s="148"/>
      <c r="F412" s="149"/>
      <c r="G412" s="150"/>
      <c r="H412" s="151">
        <f>SUM(H403:H411)</f>
        <v>230.70123000000001</v>
      </c>
      <c r="I412" s="152"/>
      <c r="J412" s="153"/>
      <c r="K412" s="151">
        <f>SUM(K403:K411)</f>
        <v>1612.991769</v>
      </c>
      <c r="L412" s="138">
        <f t="shared" si="61"/>
        <v>1382.2905390000001</v>
      </c>
      <c r="M412" s="139">
        <f>IF((H412)=0,"",(L412/H412))</f>
        <v>5.9916912406578851</v>
      </c>
    </row>
    <row r="413" spans="1:13" x14ac:dyDescent="0.25">
      <c r="A413" s="100" t="str">
        <f t="shared" si="64"/>
        <v>STREET LIGHTING SERVICE CLASSIFICATION</v>
      </c>
      <c r="C413" s="117"/>
      <c r="D413" s="154" t="s">
        <v>169</v>
      </c>
      <c r="E413" s="119"/>
      <c r="F413" s="127">
        <v>1.8616999999999999</v>
      </c>
      <c r="G413" s="141">
        <f>IF($E390&gt;0, $E390, $E389*$E391)</f>
        <v>251</v>
      </c>
      <c r="H413" s="122">
        <f>G413*F413</f>
        <v>467.2867</v>
      </c>
      <c r="I413" s="128">
        <v>1.766</v>
      </c>
      <c r="J413" s="141">
        <f>IF($E390&gt;0, $E390, $E389*$E392)</f>
        <v>251</v>
      </c>
      <c r="K413" s="122">
        <f>H413</f>
        <v>467.2867</v>
      </c>
      <c r="L413" s="125">
        <f t="shared" si="61"/>
        <v>0</v>
      </c>
      <c r="M413" s="126">
        <f>IF(ISERROR(L413/H413), "", L413/H413)</f>
        <v>0</v>
      </c>
    </row>
    <row r="414" spans="1:13" ht="25.5" x14ac:dyDescent="0.25">
      <c r="A414" s="100" t="str">
        <f t="shared" si="64"/>
        <v>STREET LIGHTING SERVICE CLASSIFICATION</v>
      </c>
      <c r="C414" s="117"/>
      <c r="D414" s="155" t="s">
        <v>170</v>
      </c>
      <c r="E414" s="119"/>
      <c r="F414" s="127">
        <v>1.5617000000000001</v>
      </c>
      <c r="G414" s="141">
        <f>IF($E390&gt;0, $E390, $E389*$E391)</f>
        <v>251</v>
      </c>
      <c r="H414" s="122">
        <f>G414*F414</f>
        <v>391.98670000000004</v>
      </c>
      <c r="I414" s="128">
        <v>1.4761</v>
      </c>
      <c r="J414" s="141">
        <f>IF($E390&gt;0, $E390, $E389*$E392)</f>
        <v>251</v>
      </c>
      <c r="K414" s="122">
        <f>H414</f>
        <v>391.98670000000004</v>
      </c>
      <c r="L414" s="125">
        <f t="shared" si="61"/>
        <v>0</v>
      </c>
      <c r="M414" s="126">
        <f>IF(ISERROR(L414/H414), "", L414/H414)</f>
        <v>0</v>
      </c>
    </row>
    <row r="415" spans="1:13" ht="25.5" x14ac:dyDescent="0.25">
      <c r="A415" s="100" t="str">
        <f t="shared" si="64"/>
        <v>STREET LIGHTING SERVICE CLASSIFICATION</v>
      </c>
      <c r="B415" s="105" t="s">
        <v>171</v>
      </c>
      <c r="C415" s="117">
        <f>B9</f>
        <v>7</v>
      </c>
      <c r="D415" s="147" t="s">
        <v>172</v>
      </c>
      <c r="E415" s="132"/>
      <c r="F415" s="149"/>
      <c r="G415" s="150"/>
      <c r="H415" s="151">
        <f>SUM(H412:H414)</f>
        <v>1089.9746300000002</v>
      </c>
      <c r="I415" s="152"/>
      <c r="J415" s="137"/>
      <c r="K415" s="151">
        <f>SUM(K412:K414)</f>
        <v>2472.2651689999998</v>
      </c>
      <c r="L415" s="138">
        <f t="shared" si="61"/>
        <v>1382.2905389999996</v>
      </c>
      <c r="M415" s="139">
        <f>IF((H415)=0,"",(L415/H415))</f>
        <v>1.2681859751176039</v>
      </c>
    </row>
    <row r="416" spans="1:13" ht="25.5" x14ac:dyDescent="0.25">
      <c r="A416" s="100" t="str">
        <f t="shared" si="64"/>
        <v>STREET LIGHTING SERVICE CLASSIFICATION</v>
      </c>
      <c r="C416" s="117"/>
      <c r="D416" s="156" t="s">
        <v>173</v>
      </c>
      <c r="E416" s="119"/>
      <c r="F416" s="127">
        <v>3.6000000000000003E-3</v>
      </c>
      <c r="G416" s="141">
        <f>E389*E391</f>
        <v>99299.238719999994</v>
      </c>
      <c r="H416" s="157">
        <f t="shared" ref="H416:H422" si="66">G416*F416</f>
        <v>357.47725939200001</v>
      </c>
      <c r="I416" s="128">
        <v>3.6000000000000003E-3</v>
      </c>
      <c r="J416" s="141">
        <f>E389*E392</f>
        <v>99299.238719999994</v>
      </c>
      <c r="K416" s="157">
        <f t="shared" ref="K416:K422" si="67">J416*I416</f>
        <v>357.47725939200001</v>
      </c>
      <c r="L416" s="125">
        <f t="shared" si="61"/>
        <v>0</v>
      </c>
      <c r="M416" s="126">
        <f t="shared" ref="M416:M424" si="68">IF(ISERROR(L416/H416), "", L416/H416)</f>
        <v>0</v>
      </c>
    </row>
    <row r="417" spans="1:13" ht="25.5" x14ac:dyDescent="0.25">
      <c r="A417" s="100" t="str">
        <f t="shared" si="64"/>
        <v>STREET LIGHTING SERVICE CLASSIFICATION</v>
      </c>
      <c r="C417" s="117"/>
      <c r="D417" s="156" t="s">
        <v>174</v>
      </c>
      <c r="E417" s="119"/>
      <c r="F417" s="127">
        <f>'[1]17. Regulatory Charges'!$D$16</f>
        <v>2.9999999999999997E-4</v>
      </c>
      <c r="G417" s="141">
        <f>E389*E391</f>
        <v>99299.238719999994</v>
      </c>
      <c r="H417" s="157">
        <f t="shared" si="66"/>
        <v>29.789771615999996</v>
      </c>
      <c r="I417" s="128">
        <v>2.9999999999999997E-4</v>
      </c>
      <c r="J417" s="141">
        <f>E389*E392</f>
        <v>99299.238719999994</v>
      </c>
      <c r="K417" s="157">
        <f t="shared" si="67"/>
        <v>29.789771615999996</v>
      </c>
      <c r="L417" s="125">
        <f t="shared" si="61"/>
        <v>0</v>
      </c>
      <c r="M417" s="126">
        <f t="shared" si="68"/>
        <v>0</v>
      </c>
    </row>
    <row r="418" spans="1:13" x14ac:dyDescent="0.25">
      <c r="A418" s="100" t="str">
        <f t="shared" si="64"/>
        <v>STREET LIGHTING SERVICE CLASSIFICATION</v>
      </c>
      <c r="C418" s="117"/>
      <c r="D418" s="158" t="s">
        <v>175</v>
      </c>
      <c r="E418" s="119"/>
      <c r="F418" s="145">
        <v>0.25</v>
      </c>
      <c r="G418" s="121">
        <v>1</v>
      </c>
      <c r="H418" s="157">
        <f t="shared" si="66"/>
        <v>0.25</v>
      </c>
      <c r="I418" s="146">
        <f>'[1]17. Regulatory Charges'!$D$17</f>
        <v>0.25</v>
      </c>
      <c r="J418" s="124">
        <v>1</v>
      </c>
      <c r="K418" s="157">
        <f t="shared" si="67"/>
        <v>0.25</v>
      </c>
      <c r="L418" s="125">
        <f t="shared" si="61"/>
        <v>0</v>
      </c>
      <c r="M418" s="126">
        <f t="shared" si="68"/>
        <v>0</v>
      </c>
    </row>
    <row r="419" spans="1:13" ht="25.5" x14ac:dyDescent="0.25">
      <c r="A419" s="100" t="str">
        <f t="shared" si="64"/>
        <v>STREET LIGHTING SERVICE CLASSIFICATION</v>
      </c>
      <c r="C419" s="117"/>
      <c r="D419" s="156" t="s">
        <v>176</v>
      </c>
      <c r="E419" s="119"/>
      <c r="F419" s="127"/>
      <c r="G419" s="141"/>
      <c r="H419" s="157"/>
      <c r="I419" s="128"/>
      <c r="J419" s="141"/>
      <c r="K419" s="157"/>
      <c r="L419" s="125"/>
      <c r="M419" s="126"/>
    </row>
    <row r="420" spans="1:13" hidden="1" x14ac:dyDescent="0.25">
      <c r="A420" s="100" t="str">
        <f t="shared" si="64"/>
        <v>STREET LIGHTING SERVICE CLASSIFICATION</v>
      </c>
      <c r="B420" s="105" t="s">
        <v>117</v>
      </c>
      <c r="C420" s="117"/>
      <c r="D420" s="159" t="s">
        <v>177</v>
      </c>
      <c r="E420" s="119"/>
      <c r="F420" s="160">
        <f>OffPeak</f>
        <v>6.5000000000000002E-2</v>
      </c>
      <c r="G420" s="161">
        <f>IF(AND(E389*12&gt;=150000),0.65*E389*E391,0.65*E389)</f>
        <v>64544.505168000003</v>
      </c>
      <c r="H420" s="157">
        <f t="shared" si="66"/>
        <v>4195.3928359199999</v>
      </c>
      <c r="I420" s="162">
        <f>OffPeak</f>
        <v>6.5000000000000002E-2</v>
      </c>
      <c r="J420" s="161">
        <f>IF(AND(E389*12&gt;=150000),0.65*E389*E392,0.65*E389)</f>
        <v>64544.505168000003</v>
      </c>
      <c r="K420" s="157">
        <f t="shared" si="67"/>
        <v>4195.3928359199999</v>
      </c>
      <c r="L420" s="125">
        <f>K420-H420</f>
        <v>0</v>
      </c>
      <c r="M420" s="126">
        <f t="shared" si="68"/>
        <v>0</v>
      </c>
    </row>
    <row r="421" spans="1:13" hidden="1" x14ac:dyDescent="0.25">
      <c r="A421" s="100" t="str">
        <f t="shared" si="64"/>
        <v>STREET LIGHTING SERVICE CLASSIFICATION</v>
      </c>
      <c r="B421" s="105" t="s">
        <v>117</v>
      </c>
      <c r="C421" s="117"/>
      <c r="D421" s="159" t="s">
        <v>178</v>
      </c>
      <c r="E421" s="119"/>
      <c r="F421" s="160">
        <f>MidPeak</f>
        <v>9.4E-2</v>
      </c>
      <c r="G421" s="161">
        <f>IF(AND(E389*12&gt;=150000),0.17*E389*E391,0.17*E389)</f>
        <v>16880.870582399999</v>
      </c>
      <c r="H421" s="157">
        <f t="shared" si="66"/>
        <v>1586.8018347456</v>
      </c>
      <c r="I421" s="162">
        <f>MidPeak</f>
        <v>9.4E-2</v>
      </c>
      <c r="J421" s="161">
        <f>IF(AND(E389*12&gt;=150000),0.17*E389*E392,0.17*E389)</f>
        <v>16880.870582399999</v>
      </c>
      <c r="K421" s="157">
        <f t="shared" si="67"/>
        <v>1586.8018347456</v>
      </c>
      <c r="L421" s="125">
        <f>K421-H421</f>
        <v>0</v>
      </c>
      <c r="M421" s="126">
        <f t="shared" si="68"/>
        <v>0</v>
      </c>
    </row>
    <row r="422" spans="1:13" hidden="1" x14ac:dyDescent="0.25">
      <c r="A422" s="100" t="str">
        <f t="shared" si="64"/>
        <v>STREET LIGHTING SERVICE CLASSIFICATION</v>
      </c>
      <c r="B422" s="105" t="s">
        <v>117</v>
      </c>
      <c r="C422" s="117"/>
      <c r="D422" s="105" t="s">
        <v>179</v>
      </c>
      <c r="E422" s="119"/>
      <c r="F422" s="160">
        <f>OnPeak</f>
        <v>0.13200000000000001</v>
      </c>
      <c r="G422" s="161">
        <f>IF(AND(E389*12&gt;=150000),0.18*E389*E391,0.18*E389)</f>
        <v>17873.862969599999</v>
      </c>
      <c r="H422" s="157">
        <f t="shared" si="66"/>
        <v>2359.3499119871999</v>
      </c>
      <c r="I422" s="162">
        <f>OnPeak</f>
        <v>0.13200000000000001</v>
      </c>
      <c r="J422" s="161">
        <f>IF(AND(E389*12&gt;=150000),0.18*E389*E392,0.18*E389)</f>
        <v>17873.862969599999</v>
      </c>
      <c r="K422" s="157">
        <f t="shared" si="67"/>
        <v>2359.3499119871999</v>
      </c>
      <c r="L422" s="125">
        <f>K422-H422</f>
        <v>0</v>
      </c>
      <c r="M422" s="126">
        <f t="shared" si="68"/>
        <v>0</v>
      </c>
    </row>
    <row r="423" spans="1:13" hidden="1" x14ac:dyDescent="0.25">
      <c r="A423" s="100" t="str">
        <f t="shared" si="64"/>
        <v>STREET LIGHTING SERVICE CLASSIFICATION</v>
      </c>
      <c r="B423" s="100" t="s">
        <v>180</v>
      </c>
      <c r="C423" s="117"/>
      <c r="D423" s="159" t="s">
        <v>181</v>
      </c>
      <c r="E423" s="119"/>
      <c r="F423" s="163">
        <v>0.1101</v>
      </c>
      <c r="G423" s="161">
        <f>IF(AND(E389*12&gt;=150000),E389*E391,E389)</f>
        <v>99299.238719999994</v>
      </c>
      <c r="H423" s="157">
        <f>G423*F423</f>
        <v>10932.846183071999</v>
      </c>
      <c r="I423" s="164">
        <f>F423</f>
        <v>0.1101</v>
      </c>
      <c r="J423" s="161">
        <f>IF(AND(E389*12&gt;=150000),E389*E392,E389)</f>
        <v>99299.238719999994</v>
      </c>
      <c r="K423" s="157">
        <f>J423*I423</f>
        <v>10932.846183071999</v>
      </c>
      <c r="L423" s="125">
        <f>K423-H423</f>
        <v>0</v>
      </c>
      <c r="M423" s="126">
        <f t="shared" si="68"/>
        <v>0</v>
      </c>
    </row>
    <row r="424" spans="1:13" ht="15.75" thickBot="1" x14ac:dyDescent="0.3">
      <c r="A424" s="100" t="str">
        <f t="shared" si="64"/>
        <v>STREET LIGHTING SERVICE CLASSIFICATION</v>
      </c>
      <c r="B424" s="100" t="s">
        <v>121</v>
      </c>
      <c r="C424" s="117"/>
      <c r="D424" s="159" t="s">
        <v>182</v>
      </c>
      <c r="E424" s="119"/>
      <c r="F424" s="163">
        <v>0.1101</v>
      </c>
      <c r="G424" s="161">
        <f>IF(AND(E389*12&gt;=150000),E389*E391,E389)</f>
        <v>99299.238719999994</v>
      </c>
      <c r="H424" s="157">
        <f>G424*F424</f>
        <v>10932.846183071999</v>
      </c>
      <c r="I424" s="164">
        <f>F424</f>
        <v>0.1101</v>
      </c>
      <c r="J424" s="161">
        <f>IF(AND(E389*12&gt;=150000),E389*E392,E389)</f>
        <v>99299.238719999994</v>
      </c>
      <c r="K424" s="157">
        <f>J424*I424</f>
        <v>10932.846183071999</v>
      </c>
      <c r="L424" s="125">
        <f>K424-H424</f>
        <v>0</v>
      </c>
      <c r="M424" s="126">
        <f t="shared" si="68"/>
        <v>0</v>
      </c>
    </row>
    <row r="425" spans="1:13" ht="15.75" thickBot="1" x14ac:dyDescent="0.3">
      <c r="A425" s="100" t="str">
        <f t="shared" si="64"/>
        <v>STREET LIGHTING SERVICE CLASSIFICATION</v>
      </c>
      <c r="B425" s="105"/>
      <c r="C425" s="117"/>
      <c r="D425" s="165"/>
      <c r="E425" s="166"/>
      <c r="F425" s="167"/>
      <c r="G425" s="168"/>
      <c r="H425" s="169"/>
      <c r="I425" s="167"/>
      <c r="J425" s="170"/>
      <c r="K425" s="169"/>
      <c r="L425" s="171"/>
      <c r="M425" s="172"/>
    </row>
    <row r="426" spans="1:13" hidden="1" x14ac:dyDescent="0.25">
      <c r="A426" s="100" t="str">
        <f t="shared" si="64"/>
        <v>STREET LIGHTING SERVICE CLASSIFICATION</v>
      </c>
      <c r="B426" s="105" t="s">
        <v>117</v>
      </c>
      <c r="C426" s="117"/>
      <c r="D426" s="173" t="s">
        <v>183</v>
      </c>
      <c r="E426" s="158"/>
      <c r="F426" s="174"/>
      <c r="G426" s="175"/>
      <c r="H426" s="176">
        <f>SUM(H416:H422,H415)</f>
        <v>9619.0362436608011</v>
      </c>
      <c r="I426" s="177"/>
      <c r="J426" s="177"/>
      <c r="K426" s="176">
        <f>SUM(K416:K422,K415)</f>
        <v>11001.326782660801</v>
      </c>
      <c r="L426" s="178">
        <f>K426-H426</f>
        <v>1382.2905389999996</v>
      </c>
      <c r="M426" s="179">
        <f>IF((H426)=0,"",(L426/H426))</f>
        <v>0.14370364181868694</v>
      </c>
    </row>
    <row r="427" spans="1:13" hidden="1" x14ac:dyDescent="0.25">
      <c r="A427" s="100" t="str">
        <f t="shared" si="64"/>
        <v>STREET LIGHTING SERVICE CLASSIFICATION</v>
      </c>
      <c r="B427" s="105" t="s">
        <v>117</v>
      </c>
      <c r="C427" s="117"/>
      <c r="D427" s="180" t="s">
        <v>184</v>
      </c>
      <c r="E427" s="158"/>
      <c r="F427" s="174">
        <v>0.13</v>
      </c>
      <c r="G427" s="181"/>
      <c r="H427" s="182">
        <f>H426*F427</f>
        <v>1250.4747116759042</v>
      </c>
      <c r="I427" s="183">
        <v>0.13</v>
      </c>
      <c r="J427" s="121"/>
      <c r="K427" s="182">
        <f>K426*I427</f>
        <v>1430.1724817459042</v>
      </c>
      <c r="L427" s="184">
        <f>K427-H427</f>
        <v>179.69777006999993</v>
      </c>
      <c r="M427" s="185">
        <f>IF((H427)=0,"",(L427/H427))</f>
        <v>0.14370364181868692</v>
      </c>
    </row>
    <row r="428" spans="1:13" hidden="1" x14ac:dyDescent="0.25">
      <c r="A428" s="100" t="str">
        <f t="shared" si="64"/>
        <v>STREET LIGHTING SERVICE CLASSIFICATION</v>
      </c>
      <c r="B428" s="105" t="s">
        <v>117</v>
      </c>
      <c r="C428" s="117"/>
      <c r="D428" s="180" t="s">
        <v>185</v>
      </c>
      <c r="E428" s="158"/>
      <c r="F428" s="174">
        <v>0.08</v>
      </c>
      <c r="G428" s="181"/>
      <c r="H428" s="182">
        <v>0</v>
      </c>
      <c r="I428" s="174">
        <v>0.08</v>
      </c>
      <c r="J428" s="121"/>
      <c r="K428" s="182">
        <v>0</v>
      </c>
      <c r="L428" s="184">
        <f>K428-H428</f>
        <v>0</v>
      </c>
      <c r="M428" s="185"/>
    </row>
    <row r="429" spans="1:13" hidden="1" x14ac:dyDescent="0.25">
      <c r="A429" s="100" t="str">
        <f t="shared" si="64"/>
        <v>STREET LIGHTING SERVICE CLASSIFICATION</v>
      </c>
      <c r="B429" s="105" t="s">
        <v>186</v>
      </c>
      <c r="C429" s="117"/>
      <c r="D429" s="301" t="s">
        <v>187</v>
      </c>
      <c r="E429" s="301"/>
      <c r="F429" s="186"/>
      <c r="G429" s="187"/>
      <c r="H429" s="188">
        <f>H426+H427+H428</f>
        <v>10869.510955336706</v>
      </c>
      <c r="I429" s="189"/>
      <c r="J429" s="189"/>
      <c r="K429" s="190">
        <f>K426+K427+K428</f>
        <v>12431.499264406704</v>
      </c>
      <c r="L429" s="191">
        <f>K429-H429</f>
        <v>1561.9883090699986</v>
      </c>
      <c r="M429" s="192">
        <f>IF((H429)=0,"",(L429/H429))</f>
        <v>0.14370364181868686</v>
      </c>
    </row>
    <row r="430" spans="1:13" ht="15.75" hidden="1" thickBot="1" x14ac:dyDescent="0.3">
      <c r="A430" s="100" t="str">
        <f t="shared" si="64"/>
        <v>STREET LIGHTING SERVICE CLASSIFICATION</v>
      </c>
      <c r="B430" s="100" t="s">
        <v>117</v>
      </c>
      <c r="C430" s="117"/>
      <c r="D430" s="165"/>
      <c r="E430" s="166"/>
      <c r="F430" s="167"/>
      <c r="G430" s="168"/>
      <c r="H430" s="169"/>
      <c r="I430" s="167"/>
      <c r="J430" s="170"/>
      <c r="K430" s="169"/>
      <c r="L430" s="171"/>
      <c r="M430" s="172"/>
    </row>
    <row r="431" spans="1:13" hidden="1" x14ac:dyDescent="0.25">
      <c r="A431" s="100" t="str">
        <f t="shared" si="64"/>
        <v>STREET LIGHTING SERVICE CLASSIFICATION</v>
      </c>
      <c r="B431" s="100" t="s">
        <v>180</v>
      </c>
      <c r="C431" s="117"/>
      <c r="D431" s="173" t="s">
        <v>188</v>
      </c>
      <c r="E431" s="158"/>
      <c r="F431" s="174"/>
      <c r="G431" s="175"/>
      <c r="H431" s="176">
        <f>SUM(H423,H416:H419,H415)</f>
        <v>12410.337844080001</v>
      </c>
      <c r="I431" s="177"/>
      <c r="J431" s="177"/>
      <c r="K431" s="176">
        <f>SUM(K423,K416:K419,K415)</f>
        <v>13792.62838308</v>
      </c>
      <c r="L431" s="178">
        <f>K431-H431</f>
        <v>1382.2905389999996</v>
      </c>
      <c r="M431" s="179">
        <f>IF((H431)=0,"",(L431/H431))</f>
        <v>0.11138218446320397</v>
      </c>
    </row>
    <row r="432" spans="1:13" hidden="1" x14ac:dyDescent="0.25">
      <c r="A432" s="100" t="str">
        <f t="shared" si="64"/>
        <v>STREET LIGHTING SERVICE CLASSIFICATION</v>
      </c>
      <c r="B432" s="100" t="s">
        <v>180</v>
      </c>
      <c r="C432" s="117"/>
      <c r="D432" s="180" t="s">
        <v>184</v>
      </c>
      <c r="E432" s="158"/>
      <c r="F432" s="174">
        <v>0.13</v>
      </c>
      <c r="G432" s="175"/>
      <c r="H432" s="182">
        <f>H431*F432</f>
        <v>1613.3439197304001</v>
      </c>
      <c r="I432" s="174">
        <v>0.13</v>
      </c>
      <c r="J432" s="183"/>
      <c r="K432" s="182">
        <f>K431*I432</f>
        <v>1793.0416898004</v>
      </c>
      <c r="L432" s="184">
        <f>K432-H432</f>
        <v>179.69777006999993</v>
      </c>
      <c r="M432" s="185">
        <f>IF((H432)=0,"",(L432/H432))</f>
        <v>0.11138218446320396</v>
      </c>
    </row>
    <row r="433" spans="1:13" hidden="1" x14ac:dyDescent="0.25">
      <c r="A433" s="100" t="str">
        <f t="shared" si="64"/>
        <v>STREET LIGHTING SERVICE CLASSIFICATION</v>
      </c>
      <c r="B433" s="100" t="s">
        <v>180</v>
      </c>
      <c r="C433" s="117"/>
      <c r="D433" s="180" t="s">
        <v>185</v>
      </c>
      <c r="E433" s="158"/>
      <c r="F433" s="174">
        <v>0.08</v>
      </c>
      <c r="G433" s="175"/>
      <c r="H433" s="182">
        <v>0</v>
      </c>
      <c r="I433" s="174">
        <v>0.08</v>
      </c>
      <c r="J433" s="183"/>
      <c r="K433" s="182">
        <v>0</v>
      </c>
      <c r="L433" s="184"/>
      <c r="M433" s="185"/>
    </row>
    <row r="434" spans="1:13" hidden="1" x14ac:dyDescent="0.25">
      <c r="A434" s="100" t="str">
        <f t="shared" si="64"/>
        <v>STREET LIGHTING SERVICE CLASSIFICATION</v>
      </c>
      <c r="B434" s="100" t="s">
        <v>189</v>
      </c>
      <c r="C434" s="117"/>
      <c r="D434" s="301" t="s">
        <v>188</v>
      </c>
      <c r="E434" s="301"/>
      <c r="F434" s="193"/>
      <c r="G434" s="194"/>
      <c r="H434" s="188">
        <f>SUM(H431,H432)</f>
        <v>14023.6817638104</v>
      </c>
      <c r="I434" s="195"/>
      <c r="J434" s="195"/>
      <c r="K434" s="188">
        <f>SUM(K431,K432)</f>
        <v>15585.670072880401</v>
      </c>
      <c r="L434" s="196">
        <f>K434-H434</f>
        <v>1561.9883090700005</v>
      </c>
      <c r="M434" s="197">
        <f>IF((H434)=0,"",(L434/H434))</f>
        <v>0.11138218446320403</v>
      </c>
    </row>
    <row r="435" spans="1:13" ht="15.75" hidden="1" thickBot="1" x14ac:dyDescent="0.3">
      <c r="A435" s="100" t="str">
        <f t="shared" si="64"/>
        <v>STREET LIGHTING SERVICE CLASSIFICATION</v>
      </c>
      <c r="B435" s="100" t="s">
        <v>180</v>
      </c>
      <c r="C435" s="117"/>
      <c r="D435" s="165"/>
      <c r="E435" s="166"/>
      <c r="F435" s="198"/>
      <c r="G435" s="199"/>
      <c r="H435" s="200"/>
      <c r="I435" s="198"/>
      <c r="J435" s="168"/>
      <c r="K435" s="200"/>
      <c r="L435" s="201"/>
      <c r="M435" s="172"/>
    </row>
    <row r="436" spans="1:13" x14ac:dyDescent="0.25">
      <c r="A436" s="100" t="str">
        <f t="shared" si="64"/>
        <v>STREET LIGHTING SERVICE CLASSIFICATION</v>
      </c>
      <c r="B436" s="100" t="s">
        <v>121</v>
      </c>
      <c r="C436" s="117"/>
      <c r="D436" s="173" t="s">
        <v>190</v>
      </c>
      <c r="E436" s="158"/>
      <c r="F436" s="174"/>
      <c r="G436" s="175"/>
      <c r="H436" s="176">
        <f>SUM(H424,H416:H419,H415)</f>
        <v>12410.337844080001</v>
      </c>
      <c r="I436" s="177"/>
      <c r="J436" s="177"/>
      <c r="K436" s="176">
        <f>SUM(K424,K416:K419,K415)</f>
        <v>13792.62838308</v>
      </c>
      <c r="L436" s="178">
        <f>K436-H436</f>
        <v>1382.2905389999996</v>
      </c>
      <c r="M436" s="179">
        <f>IF((H436)=0,"",(L436/H436))</f>
        <v>0.11138218446320397</v>
      </c>
    </row>
    <row r="437" spans="1:13" x14ac:dyDescent="0.25">
      <c r="A437" s="100" t="str">
        <f t="shared" si="64"/>
        <v>STREET LIGHTING SERVICE CLASSIFICATION</v>
      </c>
      <c r="B437" s="100" t="s">
        <v>121</v>
      </c>
      <c r="C437" s="117"/>
      <c r="D437" s="180" t="s">
        <v>184</v>
      </c>
      <c r="E437" s="158"/>
      <c r="F437" s="174">
        <v>0.13</v>
      </c>
      <c r="G437" s="175"/>
      <c r="H437" s="182">
        <f>H436*F437</f>
        <v>1613.3439197304001</v>
      </c>
      <c r="I437" s="174">
        <v>0.13</v>
      </c>
      <c r="J437" s="183"/>
      <c r="K437" s="182">
        <f>K436*I437</f>
        <v>1793.0416898004</v>
      </c>
      <c r="L437" s="184">
        <f>K437-H437</f>
        <v>179.69777006999993</v>
      </c>
      <c r="M437" s="185">
        <f>IF((H437)=0,"",(L437/H437))</f>
        <v>0.11138218446320396</v>
      </c>
    </row>
    <row r="438" spans="1:13" x14ac:dyDescent="0.25">
      <c r="A438" s="100" t="str">
        <f t="shared" si="64"/>
        <v>STREET LIGHTING SERVICE CLASSIFICATION</v>
      </c>
      <c r="B438" s="100" t="s">
        <v>121</v>
      </c>
      <c r="C438" s="117"/>
      <c r="D438" s="180" t="s">
        <v>185</v>
      </c>
      <c r="E438" s="158"/>
      <c r="F438" s="174">
        <v>0.08</v>
      </c>
      <c r="G438" s="175"/>
      <c r="H438" s="182">
        <v>0</v>
      </c>
      <c r="I438" s="174">
        <v>0.08</v>
      </c>
      <c r="J438" s="183"/>
      <c r="K438" s="182">
        <v>0</v>
      </c>
      <c r="L438" s="184"/>
      <c r="M438" s="185"/>
    </row>
    <row r="439" spans="1:13" ht="15.75" thickBot="1" x14ac:dyDescent="0.3">
      <c r="A439" s="100" t="str">
        <f t="shared" si="64"/>
        <v>STREET LIGHTING SERVICE CLASSIFICATION</v>
      </c>
      <c r="B439" s="100" t="s">
        <v>191</v>
      </c>
      <c r="C439" s="117">
        <f>B9</f>
        <v>7</v>
      </c>
      <c r="D439" s="301" t="s">
        <v>190</v>
      </c>
      <c r="E439" s="301"/>
      <c r="F439" s="193"/>
      <c r="G439" s="194"/>
      <c r="H439" s="188">
        <f>SUM(H436,H437)</f>
        <v>14023.6817638104</v>
      </c>
      <c r="I439" s="195"/>
      <c r="J439" s="195"/>
      <c r="K439" s="188">
        <f>SUM(K436,K437)</f>
        <v>15585.670072880401</v>
      </c>
      <c r="L439" s="196">
        <f>K439-H439</f>
        <v>1561.9883090700005</v>
      </c>
      <c r="M439" s="197">
        <f>IF((H439)=0,"",(L439/H439))</f>
        <v>0.11138218446320403</v>
      </c>
    </row>
    <row r="440" spans="1:13" ht="15.75" thickBot="1" x14ac:dyDescent="0.3">
      <c r="A440" s="100" t="str">
        <f t="shared" si="64"/>
        <v>STREET LIGHTING SERVICE CLASSIFICATION</v>
      </c>
      <c r="B440" s="100" t="s">
        <v>121</v>
      </c>
      <c r="C440" s="117"/>
      <c r="D440" s="165"/>
      <c r="E440" s="166"/>
      <c r="F440" s="202"/>
      <c r="G440" s="203"/>
      <c r="H440" s="204"/>
      <c r="I440" s="202"/>
      <c r="J440" s="205"/>
      <c r="K440" s="204"/>
      <c r="L440" s="206"/>
      <c r="M440" s="207"/>
    </row>
    <row r="443" spans="1:13" x14ac:dyDescent="0.25">
      <c r="C443" s="100"/>
      <c r="D443" s="101" t="s">
        <v>134</v>
      </c>
      <c r="E443" s="302" t="str">
        <f>D10</f>
        <v>RESIDENTIAL SERVICE CLASSIFICATION</v>
      </c>
      <c r="F443" s="302"/>
      <c r="G443" s="302"/>
      <c r="H443" s="302"/>
      <c r="I443" s="302"/>
      <c r="J443" s="302"/>
      <c r="K443" s="100" t="str">
        <f>IF(N10="DEMAND - INTERVAL","RTSR - INTERVAL METERED","")</f>
        <v/>
      </c>
    </row>
    <row r="444" spans="1:13" x14ac:dyDescent="0.25">
      <c r="C444" s="100"/>
      <c r="D444" s="101" t="s">
        <v>135</v>
      </c>
      <c r="E444" s="303" t="str">
        <f>H10</f>
        <v>RPP</v>
      </c>
      <c r="F444" s="303"/>
      <c r="G444" s="303"/>
      <c r="H444" s="102"/>
      <c r="I444" s="102"/>
    </row>
    <row r="445" spans="1:13" ht="15.75" x14ac:dyDescent="0.25">
      <c r="C445" s="100"/>
      <c r="D445" s="101" t="s">
        <v>136</v>
      </c>
      <c r="E445" s="103">
        <f>K10</f>
        <v>342</v>
      </c>
      <c r="F445" s="104" t="s">
        <v>137</v>
      </c>
      <c r="G445" s="105"/>
      <c r="J445" s="106"/>
      <c r="K445" s="106"/>
      <c r="L445" s="106"/>
      <c r="M445" s="106"/>
    </row>
    <row r="446" spans="1:13" ht="15.75" x14ac:dyDescent="0.25">
      <c r="C446" s="100"/>
      <c r="D446" s="101" t="s">
        <v>138</v>
      </c>
      <c r="E446" s="103">
        <f>L10</f>
        <v>0</v>
      </c>
      <c r="F446" s="107" t="s">
        <v>139</v>
      </c>
      <c r="G446" s="108"/>
      <c r="H446" s="109"/>
      <c r="I446" s="109"/>
      <c r="J446" s="109"/>
    </row>
    <row r="447" spans="1:13" x14ac:dyDescent="0.25">
      <c r="C447" s="100"/>
      <c r="D447" s="101" t="s">
        <v>140</v>
      </c>
      <c r="E447" s="110">
        <f>I10</f>
        <v>1.056</v>
      </c>
    </row>
    <row r="448" spans="1:13" x14ac:dyDescent="0.25">
      <c r="C448" s="100"/>
      <c r="D448" s="101" t="s">
        <v>141</v>
      </c>
      <c r="E448" s="110">
        <f>J10</f>
        <v>1.056</v>
      </c>
    </row>
    <row r="449" spans="1:13" x14ac:dyDescent="0.25">
      <c r="C449" s="100"/>
      <c r="D449" s="105"/>
    </row>
    <row r="450" spans="1:13" x14ac:dyDescent="0.25">
      <c r="C450" s="100"/>
      <c r="D450" s="105"/>
      <c r="E450" s="111"/>
      <c r="F450" s="304" t="s">
        <v>142</v>
      </c>
      <c r="G450" s="305"/>
      <c r="H450" s="306"/>
      <c r="I450" s="304" t="s">
        <v>143</v>
      </c>
      <c r="J450" s="305"/>
      <c r="K450" s="306"/>
      <c r="L450" s="304" t="s">
        <v>144</v>
      </c>
      <c r="M450" s="306"/>
    </row>
    <row r="451" spans="1:13" x14ac:dyDescent="0.25">
      <c r="C451" s="100"/>
      <c r="D451" s="105"/>
      <c r="E451" s="295"/>
      <c r="F451" s="112" t="s">
        <v>145</v>
      </c>
      <c r="G451" s="112" t="s">
        <v>146</v>
      </c>
      <c r="H451" s="113" t="s">
        <v>147</v>
      </c>
      <c r="I451" s="112" t="s">
        <v>145</v>
      </c>
      <c r="J451" s="114" t="s">
        <v>146</v>
      </c>
      <c r="K451" s="113" t="s">
        <v>147</v>
      </c>
      <c r="L451" s="297" t="s">
        <v>148</v>
      </c>
      <c r="M451" s="299" t="s">
        <v>149</v>
      </c>
    </row>
    <row r="452" spans="1:13" x14ac:dyDescent="0.25">
      <c r="C452" s="100"/>
      <c r="D452" s="105"/>
      <c r="E452" s="296"/>
      <c r="F452" s="115" t="s">
        <v>150</v>
      </c>
      <c r="G452" s="115"/>
      <c r="H452" s="116" t="s">
        <v>150</v>
      </c>
      <c r="I452" s="115" t="s">
        <v>150</v>
      </c>
      <c r="J452" s="116"/>
      <c r="K452" s="116" t="s">
        <v>150</v>
      </c>
      <c r="L452" s="298"/>
      <c r="M452" s="300"/>
    </row>
    <row r="453" spans="1:13" x14ac:dyDescent="0.25">
      <c r="A453" s="100" t="str">
        <f>$E443</f>
        <v>RESIDENTIAL SERVICE CLASSIFICATION</v>
      </c>
      <c r="C453" s="117"/>
      <c r="D453" s="118" t="s">
        <v>151</v>
      </c>
      <c r="E453" s="119"/>
      <c r="F453" s="120">
        <v>23.48</v>
      </c>
      <c r="G453" s="121">
        <v>1</v>
      </c>
      <c r="H453" s="122">
        <f>G453*F453</f>
        <v>23.48</v>
      </c>
      <c r="I453" s="123">
        <v>26.72</v>
      </c>
      <c r="J453" s="124">
        <f>G453</f>
        <v>1</v>
      </c>
      <c r="K453" s="122">
        <f>H453</f>
        <v>23.48</v>
      </c>
      <c r="L453" s="125">
        <f t="shared" ref="L453:L474" si="69">K453-H453</f>
        <v>0</v>
      </c>
      <c r="M453" s="126">
        <f>IF(ISERROR(L453/H453), "", L453/H453)</f>
        <v>0</v>
      </c>
    </row>
    <row r="454" spans="1:13" x14ac:dyDescent="0.25">
      <c r="A454" s="100" t="str">
        <f>A453</f>
        <v>RESIDENTIAL SERVICE CLASSIFICATION</v>
      </c>
      <c r="C454" s="117"/>
      <c r="D454" s="118" t="s">
        <v>152</v>
      </c>
      <c r="E454" s="119"/>
      <c r="F454" s="127">
        <v>3.3999999999999998E-3</v>
      </c>
      <c r="G454" s="121">
        <f>IF($E446&gt;0, $E446, $E445)</f>
        <v>342</v>
      </c>
      <c r="H454" s="122">
        <f t="shared" ref="H454:H466" si="70">G454*F454</f>
        <v>1.1627999999999998</v>
      </c>
      <c r="I454" s="128">
        <v>0</v>
      </c>
      <c r="J454" s="124">
        <f>IF($E446&gt;0, $E446, $E445)</f>
        <v>342</v>
      </c>
      <c r="K454" s="122">
        <f>H454</f>
        <v>1.1627999999999998</v>
      </c>
      <c r="L454" s="125">
        <f t="shared" si="69"/>
        <v>0</v>
      </c>
      <c r="M454" s="126">
        <f t="shared" ref="M454:M464" si="71">IF(ISERROR(L454/H454), "", L454/H454)</f>
        <v>0</v>
      </c>
    </row>
    <row r="455" spans="1:13" x14ac:dyDescent="0.25">
      <c r="A455" s="100" t="str">
        <f t="shared" ref="A455:A496" si="72">A454</f>
        <v>RESIDENTIAL SERVICE CLASSIFICATION</v>
      </c>
      <c r="C455" s="117"/>
      <c r="D455" s="118" t="s">
        <v>153</v>
      </c>
      <c r="E455" s="119"/>
      <c r="F455" s="127"/>
      <c r="G455" s="121">
        <f>IF($E446&gt;0, $E446, $E445)</f>
        <v>342</v>
      </c>
      <c r="H455" s="122">
        <v>0</v>
      </c>
      <c r="I455" s="128"/>
      <c r="J455" s="124">
        <f>IF($E446&gt;0, $E446, $E445)</f>
        <v>342</v>
      </c>
      <c r="K455" s="122">
        <v>0</v>
      </c>
      <c r="L455" s="125"/>
      <c r="M455" s="126"/>
    </row>
    <row r="456" spans="1:13" x14ac:dyDescent="0.25">
      <c r="A456" s="100" t="str">
        <f t="shared" si="72"/>
        <v>RESIDENTIAL SERVICE CLASSIFICATION</v>
      </c>
      <c r="C456" s="117"/>
      <c r="D456" s="118" t="s">
        <v>154</v>
      </c>
      <c r="E456" s="119"/>
      <c r="F456" s="127"/>
      <c r="G456" s="121">
        <f>IF($E446&gt;0, $E446, $E445)</f>
        <v>342</v>
      </c>
      <c r="H456" s="122">
        <v>0</v>
      </c>
      <c r="I456" s="128"/>
      <c r="J456" s="121">
        <f>IF($E446&gt;0, $E446, $E445)</f>
        <v>342</v>
      </c>
      <c r="K456" s="122">
        <v>0</v>
      </c>
      <c r="L456" s="125">
        <f>K456-H456</f>
        <v>0</v>
      </c>
      <c r="M456" s="126" t="str">
        <f>IF(ISERROR(L456/H456), "", L456/H456)</f>
        <v/>
      </c>
    </row>
    <row r="457" spans="1:13" x14ac:dyDescent="0.25">
      <c r="A457" s="100" t="str">
        <f t="shared" si="72"/>
        <v>RESIDENTIAL SERVICE CLASSIFICATION</v>
      </c>
      <c r="C457" s="117"/>
      <c r="D457" s="129" t="s">
        <v>155</v>
      </c>
      <c r="E457" s="119"/>
      <c r="F457" s="120">
        <v>0</v>
      </c>
      <c r="G457" s="121">
        <v>1</v>
      </c>
      <c r="H457" s="122">
        <f t="shared" si="70"/>
        <v>0</v>
      </c>
      <c r="I457" s="123">
        <v>0</v>
      </c>
      <c r="J457" s="124">
        <f>G457</f>
        <v>1</v>
      </c>
      <c r="K457" s="122">
        <f t="shared" ref="K457:K464" si="73">J457*I457</f>
        <v>0</v>
      </c>
      <c r="L457" s="125">
        <f t="shared" si="69"/>
        <v>0</v>
      </c>
      <c r="M457" s="126" t="str">
        <f t="shared" si="71"/>
        <v/>
      </c>
    </row>
    <row r="458" spans="1:13" x14ac:dyDescent="0.25">
      <c r="A458" s="100" t="str">
        <f t="shared" si="72"/>
        <v>RESIDENTIAL SERVICE CLASSIFICATION</v>
      </c>
      <c r="C458" s="117"/>
      <c r="D458" s="118" t="s">
        <v>156</v>
      </c>
      <c r="E458" s="119"/>
      <c r="F458" s="127">
        <v>0</v>
      </c>
      <c r="G458" s="121">
        <f>IF($E446&gt;0, $E446, $E445)</f>
        <v>342</v>
      </c>
      <c r="H458" s="122">
        <f t="shared" si="70"/>
        <v>0</v>
      </c>
      <c r="I458" s="128">
        <v>0</v>
      </c>
      <c r="J458" s="124">
        <f>IF($E446&gt;0, $E446, $E445)</f>
        <v>342</v>
      </c>
      <c r="K458" s="122">
        <f t="shared" si="73"/>
        <v>0</v>
      </c>
      <c r="L458" s="125">
        <f t="shared" si="69"/>
        <v>0</v>
      </c>
      <c r="M458" s="126" t="str">
        <f t="shared" si="71"/>
        <v/>
      </c>
    </row>
    <row r="459" spans="1:13" x14ac:dyDescent="0.25">
      <c r="A459" s="100" t="str">
        <f t="shared" si="72"/>
        <v>RESIDENTIAL SERVICE CLASSIFICATION</v>
      </c>
      <c r="B459" s="130" t="s">
        <v>157</v>
      </c>
      <c r="C459" s="117">
        <f>B10</f>
        <v>8</v>
      </c>
      <c r="D459" s="131" t="s">
        <v>158</v>
      </c>
      <c r="E459" s="132"/>
      <c r="F459" s="133"/>
      <c r="G459" s="134"/>
      <c r="H459" s="135">
        <f>SUM(H453:H458)</f>
        <v>24.642800000000001</v>
      </c>
      <c r="I459" s="136"/>
      <c r="J459" s="137"/>
      <c r="K459" s="135">
        <f>SUM(K453:K458)</f>
        <v>24.642800000000001</v>
      </c>
      <c r="L459" s="138">
        <f t="shared" si="69"/>
        <v>0</v>
      </c>
      <c r="M459" s="139">
        <f>IF((H459)=0,"",(L459/H459))</f>
        <v>0</v>
      </c>
    </row>
    <row r="460" spans="1:13" x14ac:dyDescent="0.25">
      <c r="A460" s="100" t="str">
        <f t="shared" si="72"/>
        <v>RESIDENTIAL SERVICE CLASSIFICATION</v>
      </c>
      <c r="C460" s="117"/>
      <c r="D460" s="140" t="s">
        <v>159</v>
      </c>
      <c r="E460" s="119"/>
      <c r="F460" s="127">
        <f>IF((E445*12&gt;=150000), 0, IF(E444="RPP",(F476*0.65+F477*0.17+F478*0.18),IF(E444="Non-RPP (Retailer)",F479,F480)))</f>
        <v>8.1990000000000007E-2</v>
      </c>
      <c r="G460" s="141">
        <f>IF(F460=0, 0, $E445*E447-E445)</f>
        <v>19.152000000000044</v>
      </c>
      <c r="H460" s="122">
        <f>G460*F460</f>
        <v>1.5702724800000036</v>
      </c>
      <c r="I460" s="128">
        <f>IF((E445*12&gt;=150000), 0, IF(E444="RPP",(I476*0.65+I477*0.17+I478*0.18),IF(E444="Non-RPP (Retailer)",I479,I480)))</f>
        <v>8.1990000000000007E-2</v>
      </c>
      <c r="J460" s="141">
        <f>IF(I460=0, 0, E445*E448-E445)</f>
        <v>19.152000000000044</v>
      </c>
      <c r="K460" s="122">
        <f>J460*I460</f>
        <v>1.5702724800000036</v>
      </c>
      <c r="L460" s="125">
        <f>K460-H460</f>
        <v>0</v>
      </c>
      <c r="M460" s="126">
        <f>IF(ISERROR(L460/H460), "", L460/H460)</f>
        <v>0</v>
      </c>
    </row>
    <row r="461" spans="1:13" ht="25.5" x14ac:dyDescent="0.25">
      <c r="A461" s="100" t="str">
        <f t="shared" si="72"/>
        <v>RESIDENTIAL SERVICE CLASSIFICATION</v>
      </c>
      <c r="C461" s="117"/>
      <c r="D461" s="140" t="s">
        <v>160</v>
      </c>
      <c r="E461" s="119"/>
      <c r="F461" s="127">
        <v>-1.4E-3</v>
      </c>
      <c r="G461" s="142">
        <f>IF($E446&gt;0, $E446, $E445)</f>
        <v>342</v>
      </c>
      <c r="H461" s="122">
        <f t="shared" si="70"/>
        <v>-0.4788</v>
      </c>
      <c r="I461" s="128">
        <v>-5.3E-3</v>
      </c>
      <c r="J461" s="142">
        <f>IF($E446&gt;0, $E446, $E445)</f>
        <v>342</v>
      </c>
      <c r="K461" s="122">
        <f>H461</f>
        <v>-0.4788</v>
      </c>
      <c r="L461" s="125">
        <f t="shared" si="69"/>
        <v>0</v>
      </c>
      <c r="M461" s="126">
        <f t="shared" si="71"/>
        <v>0</v>
      </c>
    </row>
    <row r="462" spans="1:13" x14ac:dyDescent="0.25">
      <c r="A462" s="100" t="str">
        <f t="shared" si="72"/>
        <v>RESIDENTIAL SERVICE CLASSIFICATION</v>
      </c>
      <c r="C462" s="117"/>
      <c r="D462" s="140" t="s">
        <v>161</v>
      </c>
      <c r="E462" s="119"/>
      <c r="F462" s="127">
        <v>-1E-4</v>
      </c>
      <c r="G462" s="142">
        <f>IF($E446&gt;0, $E446, $E445)</f>
        <v>342</v>
      </c>
      <c r="H462" s="122">
        <f>G462*F462</f>
        <v>-3.4200000000000001E-2</v>
      </c>
      <c r="I462" s="128">
        <v>0</v>
      </c>
      <c r="J462" s="142">
        <f>IF($E446&gt;0, $E446, $E445)</f>
        <v>342</v>
      </c>
      <c r="K462" s="122">
        <f>H462</f>
        <v>-3.4200000000000001E-2</v>
      </c>
      <c r="L462" s="125">
        <f t="shared" si="69"/>
        <v>0</v>
      </c>
      <c r="M462" s="126">
        <f t="shared" si="71"/>
        <v>0</v>
      </c>
    </row>
    <row r="463" spans="1:13" x14ac:dyDescent="0.25">
      <c r="A463" s="100" t="str">
        <f t="shared" si="72"/>
        <v>RESIDENTIAL SERVICE CLASSIFICATION</v>
      </c>
      <c r="C463" s="117"/>
      <c r="D463" s="140" t="s">
        <v>162</v>
      </c>
      <c r="E463" s="119"/>
      <c r="F463" s="127">
        <v>0</v>
      </c>
      <c r="G463" s="142">
        <f>E445</f>
        <v>342</v>
      </c>
      <c r="H463" s="122">
        <f>G463*F463</f>
        <v>0</v>
      </c>
      <c r="I463" s="128">
        <v>0</v>
      </c>
      <c r="J463" s="142">
        <f>E445</f>
        <v>342</v>
      </c>
      <c r="K463" s="122">
        <f t="shared" si="73"/>
        <v>0</v>
      </c>
      <c r="L463" s="125">
        <f t="shared" si="69"/>
        <v>0</v>
      </c>
      <c r="M463" s="126" t="str">
        <f t="shared" si="71"/>
        <v/>
      </c>
    </row>
    <row r="464" spans="1:13" x14ac:dyDescent="0.25">
      <c r="A464" s="100" t="str">
        <f t="shared" si="72"/>
        <v>RESIDENTIAL SERVICE CLASSIFICATION</v>
      </c>
      <c r="C464" s="117"/>
      <c r="D464" s="143" t="s">
        <v>163</v>
      </c>
      <c r="E464" s="119"/>
      <c r="F464" s="127">
        <v>2.5999999999999999E-3</v>
      </c>
      <c r="G464" s="142">
        <f>IF($E446&gt;0, $E446, $E445)</f>
        <v>342</v>
      </c>
      <c r="H464" s="122">
        <f t="shared" si="70"/>
        <v>0.88919999999999999</v>
      </c>
      <c r="I464" s="128">
        <v>2.5999999999999999E-3</v>
      </c>
      <c r="J464" s="142">
        <f>IF($E446&gt;0, $E446, $E445)</f>
        <v>342</v>
      </c>
      <c r="K464" s="122">
        <f t="shared" si="73"/>
        <v>0.88919999999999999</v>
      </c>
      <c r="L464" s="125">
        <f t="shared" si="69"/>
        <v>0</v>
      </c>
      <c r="M464" s="126">
        <f t="shared" si="71"/>
        <v>0</v>
      </c>
    </row>
    <row r="465" spans="1:13" ht="25.5" x14ac:dyDescent="0.25">
      <c r="A465" s="100" t="str">
        <f t="shared" si="72"/>
        <v>RESIDENTIAL SERVICE CLASSIFICATION</v>
      </c>
      <c r="C465" s="117"/>
      <c r="D465" s="144" t="s">
        <v>164</v>
      </c>
      <c r="E465" s="119"/>
      <c r="F465" s="145">
        <f>IF(OR(ISNUMBER(SEARCH("RESIDENTIAL", E443))=TRUE, ISNUMBER(SEARCH("GENERAL SERVICE LESS THAN 50", E443))=TRUE), SME, 0)</f>
        <v>0.56999999999999995</v>
      </c>
      <c r="G465" s="121">
        <v>1</v>
      </c>
      <c r="H465" s="122">
        <f>G465*F465</f>
        <v>0.56999999999999995</v>
      </c>
      <c r="I465" s="146">
        <f>IF(OR(ISNUMBER(SEARCH("RESIDENTIAL", E443))=TRUE, ISNUMBER(SEARCH("GENERAL SERVICE LESS THAN 50", E443))=TRUE), SME, 0)</f>
        <v>0.56999999999999995</v>
      </c>
      <c r="J465" s="121">
        <v>1</v>
      </c>
      <c r="K465" s="122">
        <f>J465*I465</f>
        <v>0.56999999999999995</v>
      </c>
      <c r="L465" s="125">
        <f t="shared" si="69"/>
        <v>0</v>
      </c>
      <c r="M465" s="126">
        <f>IF(ISERROR(L465/H465), "", L465/H465)</f>
        <v>0</v>
      </c>
    </row>
    <row r="466" spans="1:13" x14ac:dyDescent="0.25">
      <c r="A466" s="100" t="str">
        <f t="shared" si="72"/>
        <v>RESIDENTIAL SERVICE CLASSIFICATION</v>
      </c>
      <c r="C466" s="117"/>
      <c r="D466" s="143" t="s">
        <v>165</v>
      </c>
      <c r="E466" s="119"/>
      <c r="F466" s="120">
        <v>0</v>
      </c>
      <c r="G466" s="121">
        <v>1</v>
      </c>
      <c r="H466" s="122">
        <f t="shared" si="70"/>
        <v>0</v>
      </c>
      <c r="I466" s="123">
        <v>0</v>
      </c>
      <c r="J466" s="121">
        <v>1</v>
      </c>
      <c r="K466" s="122">
        <f>J466*I466</f>
        <v>0</v>
      </c>
      <c r="L466" s="125">
        <f>K466-H466</f>
        <v>0</v>
      </c>
      <c r="M466" s="126" t="str">
        <f>IF(ISERROR(L466/H466), "", L466/H466)</f>
        <v/>
      </c>
    </row>
    <row r="467" spans="1:13" x14ac:dyDescent="0.25">
      <c r="A467" s="100" t="str">
        <f t="shared" si="72"/>
        <v>RESIDENTIAL SERVICE CLASSIFICATION</v>
      </c>
      <c r="C467" s="117"/>
      <c r="D467" s="143" t="s">
        <v>166</v>
      </c>
      <c r="E467" s="119"/>
      <c r="F467" s="127"/>
      <c r="G467" s="142">
        <f>IF($E446&gt;0, $E446, $E445)</f>
        <v>342</v>
      </c>
      <c r="H467" s="122">
        <f>G467*F467</f>
        <v>0</v>
      </c>
      <c r="I467" s="128">
        <v>0</v>
      </c>
      <c r="J467" s="142">
        <f>IF($E446&gt;0, $E446, $E445)</f>
        <v>342</v>
      </c>
      <c r="K467" s="122">
        <f>J467*I467</f>
        <v>0</v>
      </c>
      <c r="L467" s="125">
        <f t="shared" si="69"/>
        <v>0</v>
      </c>
      <c r="M467" s="126" t="str">
        <f>IF(ISERROR(L467/H467), "", L467/H467)</f>
        <v/>
      </c>
    </row>
    <row r="468" spans="1:13" ht="25.5" x14ac:dyDescent="0.25">
      <c r="A468" s="100" t="str">
        <f t="shared" si="72"/>
        <v>RESIDENTIAL SERVICE CLASSIFICATION</v>
      </c>
      <c r="B468" s="105" t="s">
        <v>167</v>
      </c>
      <c r="C468" s="117">
        <f>B10</f>
        <v>8</v>
      </c>
      <c r="D468" s="147" t="s">
        <v>168</v>
      </c>
      <c r="E468" s="148"/>
      <c r="F468" s="149"/>
      <c r="G468" s="150"/>
      <c r="H468" s="151">
        <f>SUM(H459:H467)</f>
        <v>27.159272480000006</v>
      </c>
      <c r="I468" s="152"/>
      <c r="J468" s="153"/>
      <c r="K468" s="151">
        <f>SUM(K459:K467)</f>
        <v>27.159272480000006</v>
      </c>
      <c r="L468" s="138">
        <f t="shared" si="69"/>
        <v>0</v>
      </c>
      <c r="M468" s="139">
        <f>IF((H468)=0,"",(L468/H468))</f>
        <v>0</v>
      </c>
    </row>
    <row r="469" spans="1:13" x14ac:dyDescent="0.25">
      <c r="A469" s="100" t="str">
        <f t="shared" si="72"/>
        <v>RESIDENTIAL SERVICE CLASSIFICATION</v>
      </c>
      <c r="C469" s="117"/>
      <c r="D469" s="154" t="s">
        <v>169</v>
      </c>
      <c r="E469" s="119"/>
      <c r="F469" s="127">
        <v>6.7999999999999996E-3</v>
      </c>
      <c r="G469" s="141">
        <f>IF($E446&gt;0, $E446, $E445*$E447)</f>
        <v>361.15200000000004</v>
      </c>
      <c r="H469" s="122">
        <f>G469*F469</f>
        <v>2.4558336000000001</v>
      </c>
      <c r="I469" s="128">
        <v>6.4999999999999997E-3</v>
      </c>
      <c r="J469" s="141">
        <f>IF($E446&gt;0, $E446, $E445*$E448)</f>
        <v>361.15200000000004</v>
      </c>
      <c r="K469" s="122">
        <f>H469</f>
        <v>2.4558336000000001</v>
      </c>
      <c r="L469" s="125">
        <f t="shared" si="69"/>
        <v>0</v>
      </c>
      <c r="M469" s="126">
        <f>IF(ISERROR(L469/H469), "", L469/H469)</f>
        <v>0</v>
      </c>
    </row>
    <row r="470" spans="1:13" ht="25.5" x14ac:dyDescent="0.25">
      <c r="A470" s="100" t="str">
        <f t="shared" si="72"/>
        <v>RESIDENTIAL SERVICE CLASSIFICATION</v>
      </c>
      <c r="C470" s="117"/>
      <c r="D470" s="155" t="s">
        <v>170</v>
      </c>
      <c r="E470" s="119"/>
      <c r="F470" s="127">
        <v>5.5999999999999999E-3</v>
      </c>
      <c r="G470" s="141">
        <f>IF($E446&gt;0, $E446, $E445*$E447)</f>
        <v>361.15200000000004</v>
      </c>
      <c r="H470" s="122">
        <f>G470*F470</f>
        <v>2.0224512000000003</v>
      </c>
      <c r="I470" s="128">
        <v>5.3E-3</v>
      </c>
      <c r="J470" s="141">
        <f>IF($E446&gt;0, $E446, $E445*$E448)</f>
        <v>361.15200000000004</v>
      </c>
      <c r="K470" s="122">
        <f>H470</f>
        <v>2.0224512000000003</v>
      </c>
      <c r="L470" s="125">
        <f t="shared" si="69"/>
        <v>0</v>
      </c>
      <c r="M470" s="126">
        <f>IF(ISERROR(L470/H470), "", L470/H470)</f>
        <v>0</v>
      </c>
    </row>
    <row r="471" spans="1:13" ht="25.5" x14ac:dyDescent="0.25">
      <c r="A471" s="100" t="str">
        <f t="shared" si="72"/>
        <v>RESIDENTIAL SERVICE CLASSIFICATION</v>
      </c>
      <c r="B471" s="105" t="s">
        <v>171</v>
      </c>
      <c r="C471" s="117">
        <f>B10</f>
        <v>8</v>
      </c>
      <c r="D471" s="147" t="s">
        <v>172</v>
      </c>
      <c r="E471" s="132"/>
      <c r="F471" s="149"/>
      <c r="G471" s="150"/>
      <c r="H471" s="151">
        <f>SUM(H468:H470)</f>
        <v>31.637557280000003</v>
      </c>
      <c r="I471" s="152"/>
      <c r="J471" s="137"/>
      <c r="K471" s="151">
        <f>SUM(K468:K470)</f>
        <v>31.637557280000003</v>
      </c>
      <c r="L471" s="138">
        <f t="shared" si="69"/>
        <v>0</v>
      </c>
      <c r="M471" s="139">
        <f>IF((H471)=0,"",(L471/H471))</f>
        <v>0</v>
      </c>
    </row>
    <row r="472" spans="1:13" ht="25.5" x14ac:dyDescent="0.25">
      <c r="A472" s="100" t="str">
        <f t="shared" si="72"/>
        <v>RESIDENTIAL SERVICE CLASSIFICATION</v>
      </c>
      <c r="C472" s="117"/>
      <c r="D472" s="156" t="s">
        <v>173</v>
      </c>
      <c r="E472" s="119"/>
      <c r="F472" s="127">
        <v>3.6000000000000003E-3</v>
      </c>
      <c r="G472" s="141">
        <f>E445*E447</f>
        <v>361.15200000000004</v>
      </c>
      <c r="H472" s="157">
        <f t="shared" ref="H472:H478" si="74">G472*F472</f>
        <v>1.3001472000000003</v>
      </c>
      <c r="I472" s="128">
        <v>3.6000000000000003E-3</v>
      </c>
      <c r="J472" s="141">
        <f>E445*E448</f>
        <v>361.15200000000004</v>
      </c>
      <c r="K472" s="157">
        <f t="shared" ref="K472:K478" si="75">J472*I472</f>
        <v>1.3001472000000003</v>
      </c>
      <c r="L472" s="125">
        <f t="shared" si="69"/>
        <v>0</v>
      </c>
      <c r="M472" s="126">
        <f t="shared" ref="M472:M480" si="76">IF(ISERROR(L472/H472), "", L472/H472)</f>
        <v>0</v>
      </c>
    </row>
    <row r="473" spans="1:13" ht="25.5" x14ac:dyDescent="0.25">
      <c r="A473" s="100" t="str">
        <f t="shared" si="72"/>
        <v>RESIDENTIAL SERVICE CLASSIFICATION</v>
      </c>
      <c r="C473" s="117"/>
      <c r="D473" s="156" t="s">
        <v>174</v>
      </c>
      <c r="E473" s="119"/>
      <c r="F473" s="127">
        <f>'[1]17. Regulatory Charges'!$D$16</f>
        <v>2.9999999999999997E-4</v>
      </c>
      <c r="G473" s="141">
        <f>E445*E447</f>
        <v>361.15200000000004</v>
      </c>
      <c r="H473" s="157">
        <f t="shared" si="74"/>
        <v>0.1083456</v>
      </c>
      <c r="I473" s="128">
        <v>2.9999999999999997E-4</v>
      </c>
      <c r="J473" s="141">
        <f>E445*E448</f>
        <v>361.15200000000004</v>
      </c>
      <c r="K473" s="157">
        <f t="shared" si="75"/>
        <v>0.1083456</v>
      </c>
      <c r="L473" s="125">
        <f t="shared" si="69"/>
        <v>0</v>
      </c>
      <c r="M473" s="126">
        <f t="shared" si="76"/>
        <v>0</v>
      </c>
    </row>
    <row r="474" spans="1:13" x14ac:dyDescent="0.25">
      <c r="A474" s="100" t="str">
        <f t="shared" si="72"/>
        <v>RESIDENTIAL SERVICE CLASSIFICATION</v>
      </c>
      <c r="C474" s="117"/>
      <c r="D474" s="158" t="s">
        <v>175</v>
      </c>
      <c r="E474" s="119"/>
      <c r="F474" s="145">
        <v>0.25</v>
      </c>
      <c r="G474" s="121">
        <v>1</v>
      </c>
      <c r="H474" s="157">
        <f t="shared" si="74"/>
        <v>0.25</v>
      </c>
      <c r="I474" s="146">
        <f>'[1]17. Regulatory Charges'!$D$17</f>
        <v>0.25</v>
      </c>
      <c r="J474" s="124">
        <v>1</v>
      </c>
      <c r="K474" s="157">
        <f t="shared" si="75"/>
        <v>0.25</v>
      </c>
      <c r="L474" s="125">
        <f t="shared" si="69"/>
        <v>0</v>
      </c>
      <c r="M474" s="126">
        <f t="shared" si="76"/>
        <v>0</v>
      </c>
    </row>
    <row r="475" spans="1:13" ht="25.5" x14ac:dyDescent="0.25">
      <c r="A475" s="100" t="str">
        <f t="shared" si="72"/>
        <v>RESIDENTIAL SERVICE CLASSIFICATION</v>
      </c>
      <c r="C475" s="117"/>
      <c r="D475" s="156" t="s">
        <v>176</v>
      </c>
      <c r="E475" s="119"/>
      <c r="F475" s="127"/>
      <c r="G475" s="141"/>
      <c r="H475" s="157"/>
      <c r="I475" s="128"/>
      <c r="J475" s="141"/>
      <c r="K475" s="157"/>
      <c r="L475" s="125"/>
      <c r="M475" s="126"/>
    </row>
    <row r="476" spans="1:13" x14ac:dyDescent="0.25">
      <c r="A476" s="100" t="str">
        <f t="shared" si="72"/>
        <v>RESIDENTIAL SERVICE CLASSIFICATION</v>
      </c>
      <c r="B476" s="105" t="s">
        <v>117</v>
      </c>
      <c r="C476" s="117"/>
      <c r="D476" s="159" t="s">
        <v>177</v>
      </c>
      <c r="E476" s="119"/>
      <c r="F476" s="160">
        <f>OffPeak</f>
        <v>6.5000000000000002E-2</v>
      </c>
      <c r="G476" s="161">
        <f>IF(AND(E445*12&gt;=150000),0.65*E445*E447,0.65*E445)</f>
        <v>222.3</v>
      </c>
      <c r="H476" s="157">
        <f t="shared" si="74"/>
        <v>14.4495</v>
      </c>
      <c r="I476" s="162">
        <f>OffPeak</f>
        <v>6.5000000000000002E-2</v>
      </c>
      <c r="J476" s="161">
        <f>IF(AND(E445*12&gt;=150000),0.65*E445*E448,0.65*E445)</f>
        <v>222.3</v>
      </c>
      <c r="K476" s="157">
        <f t="shared" si="75"/>
        <v>14.4495</v>
      </c>
      <c r="L476" s="125">
        <f>K476-H476</f>
        <v>0</v>
      </c>
      <c r="M476" s="126">
        <f t="shared" si="76"/>
        <v>0</v>
      </c>
    </row>
    <row r="477" spans="1:13" x14ac:dyDescent="0.25">
      <c r="A477" s="100" t="str">
        <f t="shared" si="72"/>
        <v>RESIDENTIAL SERVICE CLASSIFICATION</v>
      </c>
      <c r="B477" s="105" t="s">
        <v>117</v>
      </c>
      <c r="C477" s="117"/>
      <c r="D477" s="159" t="s">
        <v>178</v>
      </c>
      <c r="E477" s="119"/>
      <c r="F477" s="160">
        <f>MidPeak</f>
        <v>9.4E-2</v>
      </c>
      <c r="G477" s="161">
        <f>IF(AND(E445*12&gt;=150000),0.17*E445*E447,0.17*E445)</f>
        <v>58.140000000000008</v>
      </c>
      <c r="H477" s="157">
        <f t="shared" si="74"/>
        <v>5.4651600000000009</v>
      </c>
      <c r="I477" s="162">
        <f>MidPeak</f>
        <v>9.4E-2</v>
      </c>
      <c r="J477" s="161">
        <f>IF(AND(E445*12&gt;=150000),0.17*E445*E448,0.17*E445)</f>
        <v>58.140000000000008</v>
      </c>
      <c r="K477" s="157">
        <f t="shared" si="75"/>
        <v>5.4651600000000009</v>
      </c>
      <c r="L477" s="125">
        <f>K477-H477</f>
        <v>0</v>
      </c>
      <c r="M477" s="126">
        <f t="shared" si="76"/>
        <v>0</v>
      </c>
    </row>
    <row r="478" spans="1:13" ht="15.75" thickBot="1" x14ac:dyDescent="0.3">
      <c r="A478" s="100" t="str">
        <f t="shared" si="72"/>
        <v>RESIDENTIAL SERVICE CLASSIFICATION</v>
      </c>
      <c r="B478" s="105" t="s">
        <v>117</v>
      </c>
      <c r="C478" s="117"/>
      <c r="D478" s="105" t="s">
        <v>179</v>
      </c>
      <c r="E478" s="119"/>
      <c r="F478" s="160">
        <f>OnPeak</f>
        <v>0.13200000000000001</v>
      </c>
      <c r="G478" s="161">
        <f>IF(AND(E445*12&gt;=150000),0.18*E445*E447,0.18*E445)</f>
        <v>61.559999999999995</v>
      </c>
      <c r="H478" s="157">
        <f t="shared" si="74"/>
        <v>8.1259199999999989</v>
      </c>
      <c r="I478" s="162">
        <f>OnPeak</f>
        <v>0.13200000000000001</v>
      </c>
      <c r="J478" s="161">
        <f>IF(AND(E445*12&gt;=150000),0.18*E445*E448,0.18*E445)</f>
        <v>61.559999999999995</v>
      </c>
      <c r="K478" s="157">
        <f t="shared" si="75"/>
        <v>8.1259199999999989</v>
      </c>
      <c r="L478" s="125">
        <f>K478-H478</f>
        <v>0</v>
      </c>
      <c r="M478" s="126">
        <f t="shared" si="76"/>
        <v>0</v>
      </c>
    </row>
    <row r="479" spans="1:13" ht="15.75" hidden="1" thickBot="1" x14ac:dyDescent="0.3">
      <c r="A479" s="100" t="str">
        <f t="shared" si="72"/>
        <v>RESIDENTIAL SERVICE CLASSIFICATION</v>
      </c>
      <c r="B479" s="100" t="s">
        <v>180</v>
      </c>
      <c r="C479" s="117"/>
      <c r="D479" s="159" t="s">
        <v>181</v>
      </c>
      <c r="E479" s="119"/>
      <c r="F479" s="163">
        <v>0.1101</v>
      </c>
      <c r="G479" s="161">
        <f>IF(AND(E445*12&gt;=150000),E445*E447,E445)</f>
        <v>342</v>
      </c>
      <c r="H479" s="157">
        <f>G479*F479</f>
        <v>37.654200000000003</v>
      </c>
      <c r="I479" s="164">
        <f>F479</f>
        <v>0.1101</v>
      </c>
      <c r="J479" s="161">
        <f>IF(AND(E445*12&gt;=150000),E445*E448,E445)</f>
        <v>342</v>
      </c>
      <c r="K479" s="157">
        <f>J479*I479</f>
        <v>37.654200000000003</v>
      </c>
      <c r="L479" s="125">
        <f>K479-H479</f>
        <v>0</v>
      </c>
      <c r="M479" s="126">
        <f t="shared" si="76"/>
        <v>0</v>
      </c>
    </row>
    <row r="480" spans="1:13" ht="15.75" hidden="1" thickBot="1" x14ac:dyDescent="0.3">
      <c r="A480" s="100" t="str">
        <f t="shared" si="72"/>
        <v>RESIDENTIAL SERVICE CLASSIFICATION</v>
      </c>
      <c r="B480" s="100" t="s">
        <v>121</v>
      </c>
      <c r="C480" s="117"/>
      <c r="D480" s="159" t="s">
        <v>182</v>
      </c>
      <c r="E480" s="119"/>
      <c r="F480" s="163">
        <v>0.1101</v>
      </c>
      <c r="G480" s="161">
        <f>IF(AND(E445*12&gt;=150000),E445*E447,E445)</f>
        <v>342</v>
      </c>
      <c r="H480" s="157">
        <f>G480*F480</f>
        <v>37.654200000000003</v>
      </c>
      <c r="I480" s="164">
        <f>F480</f>
        <v>0.1101</v>
      </c>
      <c r="J480" s="161">
        <f>IF(AND(E445*12&gt;=150000),E445*E448,E445)</f>
        <v>342</v>
      </c>
      <c r="K480" s="157">
        <f>J480*I480</f>
        <v>37.654200000000003</v>
      </c>
      <c r="L480" s="125">
        <f>K480-H480</f>
        <v>0</v>
      </c>
      <c r="M480" s="126">
        <f t="shared" si="76"/>
        <v>0</v>
      </c>
    </row>
    <row r="481" spans="1:13" ht="15.75" thickBot="1" x14ac:dyDescent="0.3">
      <c r="A481" s="100" t="str">
        <f t="shared" si="72"/>
        <v>RESIDENTIAL SERVICE CLASSIFICATION</v>
      </c>
      <c r="B481" s="105"/>
      <c r="C481" s="117"/>
      <c r="D481" s="165"/>
      <c r="E481" s="166"/>
      <c r="F481" s="167"/>
      <c r="G481" s="168"/>
      <c r="H481" s="169"/>
      <c r="I481" s="167"/>
      <c r="J481" s="170"/>
      <c r="K481" s="169"/>
      <c r="L481" s="171"/>
      <c r="M481" s="172"/>
    </row>
    <row r="482" spans="1:13" x14ac:dyDescent="0.25">
      <c r="A482" s="100" t="str">
        <f t="shared" si="72"/>
        <v>RESIDENTIAL SERVICE CLASSIFICATION</v>
      </c>
      <c r="B482" s="105" t="s">
        <v>117</v>
      </c>
      <c r="C482" s="117"/>
      <c r="D482" s="173" t="s">
        <v>183</v>
      </c>
      <c r="E482" s="158"/>
      <c r="F482" s="174"/>
      <c r="G482" s="175"/>
      <c r="H482" s="176">
        <f>SUM(H472:H478,H471)</f>
        <v>61.336630080000006</v>
      </c>
      <c r="I482" s="177"/>
      <c r="J482" s="177"/>
      <c r="K482" s="176">
        <f>SUM(K472:K478,K471)</f>
        <v>61.336630080000006</v>
      </c>
      <c r="L482" s="178">
        <f>K482-H482</f>
        <v>0</v>
      </c>
      <c r="M482" s="179">
        <f>IF((H482)=0,"",(L482/H482))</f>
        <v>0</v>
      </c>
    </row>
    <row r="483" spans="1:13" x14ac:dyDescent="0.25">
      <c r="A483" s="100" t="str">
        <f t="shared" si="72"/>
        <v>RESIDENTIAL SERVICE CLASSIFICATION</v>
      </c>
      <c r="B483" s="105" t="s">
        <v>117</v>
      </c>
      <c r="C483" s="117"/>
      <c r="D483" s="180" t="s">
        <v>184</v>
      </c>
      <c r="E483" s="158"/>
      <c r="F483" s="174">
        <v>0.13</v>
      </c>
      <c r="G483" s="181"/>
      <c r="H483" s="182">
        <f>H482*F483</f>
        <v>7.9737619104000013</v>
      </c>
      <c r="I483" s="183">
        <v>0.13</v>
      </c>
      <c r="J483" s="121"/>
      <c r="K483" s="182">
        <f>K482*I483</f>
        <v>7.9737619104000013</v>
      </c>
      <c r="L483" s="184">
        <f>K483-H483</f>
        <v>0</v>
      </c>
      <c r="M483" s="185">
        <f>IF((H483)=0,"",(L483/H483))</f>
        <v>0</v>
      </c>
    </row>
    <row r="484" spans="1:13" x14ac:dyDescent="0.25">
      <c r="A484" s="100" t="str">
        <f t="shared" si="72"/>
        <v>RESIDENTIAL SERVICE CLASSIFICATION</v>
      </c>
      <c r="B484" s="105" t="s">
        <v>117</v>
      </c>
      <c r="C484" s="117"/>
      <c r="D484" s="180" t="s">
        <v>185</v>
      </c>
      <c r="E484" s="158"/>
      <c r="F484" s="174">
        <v>0.08</v>
      </c>
      <c r="G484" s="181"/>
      <c r="H484" s="182">
        <f>H482*-F484</f>
        <v>-4.9069304064000008</v>
      </c>
      <c r="I484" s="174">
        <v>0.08</v>
      </c>
      <c r="J484" s="121"/>
      <c r="K484" s="182">
        <f>K482*-I484</f>
        <v>-4.9069304064000008</v>
      </c>
      <c r="L484" s="184">
        <f>K484-H484</f>
        <v>0</v>
      </c>
      <c r="M484" s="185"/>
    </row>
    <row r="485" spans="1:13" ht="15.75" thickBot="1" x14ac:dyDescent="0.3">
      <c r="A485" s="100" t="str">
        <f t="shared" si="72"/>
        <v>RESIDENTIAL SERVICE CLASSIFICATION</v>
      </c>
      <c r="B485" s="105" t="s">
        <v>186</v>
      </c>
      <c r="C485" s="117">
        <f>B10</f>
        <v>8</v>
      </c>
      <c r="D485" s="301" t="s">
        <v>187</v>
      </c>
      <c r="E485" s="301"/>
      <c r="F485" s="186"/>
      <c r="G485" s="187"/>
      <c r="H485" s="188">
        <f>H482+H483+H484</f>
        <v>64.403461584000013</v>
      </c>
      <c r="I485" s="189"/>
      <c r="J485" s="189"/>
      <c r="K485" s="190">
        <f>K482+K483+K484</f>
        <v>64.403461584000013</v>
      </c>
      <c r="L485" s="191">
        <f>K485-H485</f>
        <v>0</v>
      </c>
      <c r="M485" s="192">
        <f>IF((H485)=0,"",(L485/H485))</f>
        <v>0</v>
      </c>
    </row>
    <row r="486" spans="1:13" ht="15.75" hidden="1" thickBot="1" x14ac:dyDescent="0.3">
      <c r="A486" s="100" t="str">
        <f t="shared" si="72"/>
        <v>RESIDENTIAL SERVICE CLASSIFICATION</v>
      </c>
      <c r="B486" s="100" t="s">
        <v>117</v>
      </c>
      <c r="C486" s="117"/>
      <c r="D486" s="165"/>
      <c r="E486" s="166"/>
      <c r="F486" s="167"/>
      <c r="G486" s="168"/>
      <c r="H486" s="169"/>
      <c r="I486" s="167"/>
      <c r="J486" s="170"/>
      <c r="K486" s="169"/>
      <c r="L486" s="171"/>
      <c r="M486" s="172"/>
    </row>
    <row r="487" spans="1:13" ht="15.75" hidden="1" thickBot="1" x14ac:dyDescent="0.3">
      <c r="A487" s="100" t="str">
        <f t="shared" si="72"/>
        <v>RESIDENTIAL SERVICE CLASSIFICATION</v>
      </c>
      <c r="B487" s="100" t="s">
        <v>180</v>
      </c>
      <c r="C487" s="117"/>
      <c r="D487" s="173" t="s">
        <v>188</v>
      </c>
      <c r="E487" s="158"/>
      <c r="F487" s="174"/>
      <c r="G487" s="175"/>
      <c r="H487" s="176">
        <f>SUM(H479,H472:H475,H471)</f>
        <v>70.950250080000004</v>
      </c>
      <c r="I487" s="177"/>
      <c r="J487" s="177"/>
      <c r="K487" s="176">
        <f>SUM(K479,K472:K475,K471)</f>
        <v>70.950250080000004</v>
      </c>
      <c r="L487" s="178">
        <f>K487-H487</f>
        <v>0</v>
      </c>
      <c r="M487" s="179">
        <f>IF((H487)=0,"",(L487/H487))</f>
        <v>0</v>
      </c>
    </row>
    <row r="488" spans="1:13" ht="15.75" hidden="1" thickBot="1" x14ac:dyDescent="0.3">
      <c r="A488" s="100" t="str">
        <f t="shared" si="72"/>
        <v>RESIDENTIAL SERVICE CLASSIFICATION</v>
      </c>
      <c r="B488" s="100" t="s">
        <v>180</v>
      </c>
      <c r="C488" s="117"/>
      <c r="D488" s="180" t="s">
        <v>184</v>
      </c>
      <c r="E488" s="158"/>
      <c r="F488" s="174">
        <v>0.13</v>
      </c>
      <c r="G488" s="175"/>
      <c r="H488" s="182">
        <f>H487*F488</f>
        <v>9.2235325104000001</v>
      </c>
      <c r="I488" s="174">
        <v>0.13</v>
      </c>
      <c r="J488" s="183"/>
      <c r="K488" s="182">
        <f>K487*I488</f>
        <v>9.2235325104000001</v>
      </c>
      <c r="L488" s="184">
        <f>K488-H488</f>
        <v>0</v>
      </c>
      <c r="M488" s="185">
        <f>IF((H488)=0,"",(L488/H488))</f>
        <v>0</v>
      </c>
    </row>
    <row r="489" spans="1:13" ht="15.75" hidden="1" thickBot="1" x14ac:dyDescent="0.3">
      <c r="A489" s="100" t="str">
        <f t="shared" si="72"/>
        <v>RESIDENTIAL SERVICE CLASSIFICATION</v>
      </c>
      <c r="B489" s="100" t="s">
        <v>180</v>
      </c>
      <c r="C489" s="117"/>
      <c r="D489" s="180" t="s">
        <v>185</v>
      </c>
      <c r="E489" s="158"/>
      <c r="F489" s="174">
        <v>0.08</v>
      </c>
      <c r="G489" s="175"/>
      <c r="H489" s="182"/>
      <c r="I489" s="174">
        <v>0.08</v>
      </c>
      <c r="J489" s="183"/>
      <c r="K489" s="182"/>
      <c r="L489" s="184"/>
      <c r="M489" s="185"/>
    </row>
    <row r="490" spans="1:13" ht="15.75" hidden="1" thickBot="1" x14ac:dyDescent="0.3">
      <c r="A490" s="100" t="str">
        <f t="shared" si="72"/>
        <v>RESIDENTIAL SERVICE CLASSIFICATION</v>
      </c>
      <c r="B490" s="100" t="s">
        <v>189</v>
      </c>
      <c r="C490" s="117"/>
      <c r="D490" s="301" t="s">
        <v>188</v>
      </c>
      <c r="E490" s="301"/>
      <c r="F490" s="193"/>
      <c r="G490" s="194"/>
      <c r="H490" s="188">
        <f>SUM(H487,H488)</f>
        <v>80.173782590400009</v>
      </c>
      <c r="I490" s="195"/>
      <c r="J490" s="195"/>
      <c r="K490" s="188">
        <f>SUM(K487,K488)</f>
        <v>80.173782590400009</v>
      </c>
      <c r="L490" s="196">
        <f>K490-H490</f>
        <v>0</v>
      </c>
      <c r="M490" s="197">
        <f>IF((H490)=0,"",(L490/H490))</f>
        <v>0</v>
      </c>
    </row>
    <row r="491" spans="1:13" ht="15.75" hidden="1" thickBot="1" x14ac:dyDescent="0.3">
      <c r="A491" s="100" t="str">
        <f t="shared" si="72"/>
        <v>RESIDENTIAL SERVICE CLASSIFICATION</v>
      </c>
      <c r="B491" s="100" t="s">
        <v>180</v>
      </c>
      <c r="C491" s="117"/>
      <c r="D491" s="165"/>
      <c r="E491" s="166"/>
      <c r="F491" s="198"/>
      <c r="G491" s="199"/>
      <c r="H491" s="200"/>
      <c r="I491" s="198"/>
      <c r="J491" s="168"/>
      <c r="K491" s="200"/>
      <c r="L491" s="201"/>
      <c r="M491" s="172"/>
    </row>
    <row r="492" spans="1:13" ht="15.75" hidden="1" thickBot="1" x14ac:dyDescent="0.3">
      <c r="A492" s="100" t="str">
        <f t="shared" si="72"/>
        <v>RESIDENTIAL SERVICE CLASSIFICATION</v>
      </c>
      <c r="B492" s="100" t="s">
        <v>121</v>
      </c>
      <c r="C492" s="117"/>
      <c r="D492" s="173" t="s">
        <v>190</v>
      </c>
      <c r="E492" s="158"/>
      <c r="F492" s="174"/>
      <c r="G492" s="175"/>
      <c r="H492" s="176">
        <f>SUM(H480,H472:H475,H471)</f>
        <v>70.950250080000004</v>
      </c>
      <c r="I492" s="177"/>
      <c r="J492" s="177"/>
      <c r="K492" s="176">
        <f>SUM(K480,K472:K475,K471)</f>
        <v>70.950250080000004</v>
      </c>
      <c r="L492" s="178">
        <f>K492-H492</f>
        <v>0</v>
      </c>
      <c r="M492" s="179">
        <f>IF((H492)=0,"",(L492/H492))</f>
        <v>0</v>
      </c>
    </row>
    <row r="493" spans="1:13" ht="15.75" hidden="1" thickBot="1" x14ac:dyDescent="0.3">
      <c r="A493" s="100" t="str">
        <f t="shared" si="72"/>
        <v>RESIDENTIAL SERVICE CLASSIFICATION</v>
      </c>
      <c r="B493" s="100" t="s">
        <v>121</v>
      </c>
      <c r="C493" s="117"/>
      <c r="D493" s="180" t="s">
        <v>184</v>
      </c>
      <c r="E493" s="158"/>
      <c r="F493" s="174">
        <v>0.13</v>
      </c>
      <c r="G493" s="175"/>
      <c r="H493" s="182">
        <f>H492*F493</f>
        <v>9.2235325104000001</v>
      </c>
      <c r="I493" s="174">
        <v>0.13</v>
      </c>
      <c r="J493" s="183"/>
      <c r="K493" s="182">
        <f>K492*I493</f>
        <v>9.2235325104000001</v>
      </c>
      <c r="L493" s="184">
        <f>K493-H493</f>
        <v>0</v>
      </c>
      <c r="M493" s="185">
        <f>IF((H493)=0,"",(L493/H493))</f>
        <v>0</v>
      </c>
    </row>
    <row r="494" spans="1:13" ht="15.75" hidden="1" thickBot="1" x14ac:dyDescent="0.3">
      <c r="A494" s="100" t="str">
        <f t="shared" si="72"/>
        <v>RESIDENTIAL SERVICE CLASSIFICATION</v>
      </c>
      <c r="B494" s="100" t="s">
        <v>121</v>
      </c>
      <c r="C494" s="117"/>
      <c r="D494" s="180" t="s">
        <v>185</v>
      </c>
      <c r="E494" s="158"/>
      <c r="F494" s="174">
        <v>0.08</v>
      </c>
      <c r="G494" s="175"/>
      <c r="H494" s="182"/>
      <c r="I494" s="174">
        <v>0.08</v>
      </c>
      <c r="J494" s="183"/>
      <c r="K494" s="182"/>
      <c r="L494" s="184"/>
      <c r="M494" s="185"/>
    </row>
    <row r="495" spans="1:13" ht="15.75" hidden="1" thickBot="1" x14ac:dyDescent="0.3">
      <c r="A495" s="100" t="str">
        <f t="shared" si="72"/>
        <v>RESIDENTIAL SERVICE CLASSIFICATION</v>
      </c>
      <c r="B495" s="100" t="s">
        <v>191</v>
      </c>
      <c r="C495" s="117"/>
      <c r="D495" s="301" t="s">
        <v>190</v>
      </c>
      <c r="E495" s="301"/>
      <c r="F495" s="193"/>
      <c r="G495" s="194"/>
      <c r="H495" s="188">
        <f>SUM(H492,H493)</f>
        <v>80.173782590400009</v>
      </c>
      <c r="I495" s="195"/>
      <c r="J495" s="195"/>
      <c r="K495" s="188">
        <f>SUM(K492,K493)</f>
        <v>80.173782590400009</v>
      </c>
      <c r="L495" s="196">
        <f>K495-H495</f>
        <v>0</v>
      </c>
      <c r="M495" s="197">
        <f>IF((H495)=0,"",(L495/H495))</f>
        <v>0</v>
      </c>
    </row>
    <row r="496" spans="1:13" ht="15.75" thickBot="1" x14ac:dyDescent="0.3">
      <c r="A496" s="100" t="str">
        <f t="shared" si="72"/>
        <v>RESIDENTIAL SERVICE CLASSIFICATION</v>
      </c>
      <c r="B496" s="100" t="s">
        <v>121</v>
      </c>
      <c r="C496" s="117"/>
      <c r="D496" s="165"/>
      <c r="E496" s="166"/>
      <c r="F496" s="202"/>
      <c r="G496" s="203"/>
      <c r="H496" s="204"/>
      <c r="I496" s="202"/>
      <c r="J496" s="205"/>
      <c r="K496" s="204"/>
      <c r="L496" s="206"/>
      <c r="M496" s="207"/>
    </row>
    <row r="499" spans="1:13" x14ac:dyDescent="0.25">
      <c r="C499" s="100"/>
      <c r="D499" s="101" t="s">
        <v>134</v>
      </c>
      <c r="E499" s="302" t="str">
        <f>D11</f>
        <v>RESIDENTIAL SERVICE CLASSIFICATION</v>
      </c>
      <c r="F499" s="302"/>
      <c r="G499" s="302"/>
      <c r="H499" s="302"/>
      <c r="I499" s="302"/>
      <c r="J499" s="302"/>
      <c r="K499" s="100" t="str">
        <f>IF(N11="DEMAND - INTERVAL","RTSR - INTERVAL METERED","")</f>
        <v/>
      </c>
    </row>
    <row r="500" spans="1:13" x14ac:dyDescent="0.25">
      <c r="C500" s="100"/>
      <c r="D500" s="101" t="s">
        <v>135</v>
      </c>
      <c r="E500" s="303" t="str">
        <f>H11</f>
        <v>RPP</v>
      </c>
      <c r="F500" s="303"/>
      <c r="G500" s="303"/>
      <c r="H500" s="102"/>
      <c r="I500" s="102"/>
    </row>
    <row r="501" spans="1:13" ht="15.75" x14ac:dyDescent="0.25">
      <c r="C501" s="100"/>
      <c r="D501" s="101" t="s">
        <v>136</v>
      </c>
      <c r="E501" s="103">
        <f>K11</f>
        <v>1000</v>
      </c>
      <c r="F501" s="104" t="s">
        <v>137</v>
      </c>
      <c r="G501" s="105"/>
      <c r="J501" s="106"/>
      <c r="K501" s="106"/>
      <c r="L501" s="106"/>
      <c r="M501" s="106"/>
    </row>
    <row r="502" spans="1:13" ht="15.75" x14ac:dyDescent="0.25">
      <c r="C502" s="100"/>
      <c r="D502" s="101" t="s">
        <v>138</v>
      </c>
      <c r="E502" s="103">
        <f>L11</f>
        <v>0</v>
      </c>
      <c r="F502" s="107" t="s">
        <v>139</v>
      </c>
      <c r="G502" s="108"/>
      <c r="H502" s="109"/>
      <c r="I502" s="109"/>
      <c r="J502" s="109"/>
    </row>
    <row r="503" spans="1:13" x14ac:dyDescent="0.25">
      <c r="C503" s="100"/>
      <c r="D503" s="101" t="s">
        <v>140</v>
      </c>
      <c r="E503" s="110">
        <f>I11</f>
        <v>1.056</v>
      </c>
    </row>
    <row r="504" spans="1:13" x14ac:dyDescent="0.25">
      <c r="C504" s="100"/>
      <c r="D504" s="101" t="s">
        <v>141</v>
      </c>
      <c r="E504" s="110">
        <f>J11</f>
        <v>1.056</v>
      </c>
    </row>
    <row r="505" spans="1:13" x14ac:dyDescent="0.25">
      <c r="C505" s="100"/>
      <c r="D505" s="105"/>
    </row>
    <row r="506" spans="1:13" x14ac:dyDescent="0.25">
      <c r="C506" s="100"/>
      <c r="D506" s="105"/>
      <c r="E506" s="111"/>
      <c r="F506" s="304" t="s">
        <v>142</v>
      </c>
      <c r="G506" s="305"/>
      <c r="H506" s="306"/>
      <c r="I506" s="304" t="s">
        <v>143</v>
      </c>
      <c r="J506" s="305"/>
      <c r="K506" s="306"/>
      <c r="L506" s="304" t="s">
        <v>144</v>
      </c>
      <c r="M506" s="306"/>
    </row>
    <row r="507" spans="1:13" x14ac:dyDescent="0.25">
      <c r="C507" s="100"/>
      <c r="D507" s="105"/>
      <c r="E507" s="295"/>
      <c r="F507" s="112" t="s">
        <v>145</v>
      </c>
      <c r="G507" s="112" t="s">
        <v>146</v>
      </c>
      <c r="H507" s="113" t="s">
        <v>147</v>
      </c>
      <c r="I507" s="112" t="s">
        <v>145</v>
      </c>
      <c r="J507" s="114" t="s">
        <v>146</v>
      </c>
      <c r="K507" s="113" t="s">
        <v>147</v>
      </c>
      <c r="L507" s="297" t="s">
        <v>148</v>
      </c>
      <c r="M507" s="299" t="s">
        <v>149</v>
      </c>
    </row>
    <row r="508" spans="1:13" x14ac:dyDescent="0.25">
      <c r="C508" s="100"/>
      <c r="D508" s="105"/>
      <c r="E508" s="296"/>
      <c r="F508" s="115" t="s">
        <v>150</v>
      </c>
      <c r="G508" s="115"/>
      <c r="H508" s="116" t="s">
        <v>150</v>
      </c>
      <c r="I508" s="115" t="s">
        <v>150</v>
      </c>
      <c r="J508" s="116"/>
      <c r="K508" s="116" t="s">
        <v>150</v>
      </c>
      <c r="L508" s="298"/>
      <c r="M508" s="300"/>
    </row>
    <row r="509" spans="1:13" x14ac:dyDescent="0.25">
      <c r="A509" s="100" t="str">
        <f>$E499</f>
        <v>RESIDENTIAL SERVICE CLASSIFICATION</v>
      </c>
      <c r="C509" s="117"/>
      <c r="D509" s="118" t="s">
        <v>151</v>
      </c>
      <c r="E509" s="119"/>
      <c r="F509" s="120">
        <v>23.48</v>
      </c>
      <c r="G509" s="121">
        <v>1</v>
      </c>
      <c r="H509" s="122">
        <f>G509*F509</f>
        <v>23.48</v>
      </c>
      <c r="I509" s="123">
        <v>26.72</v>
      </c>
      <c r="J509" s="124">
        <f>G509</f>
        <v>1</v>
      </c>
      <c r="K509" s="122">
        <f>H509</f>
        <v>23.48</v>
      </c>
      <c r="L509" s="125">
        <f t="shared" ref="L509:L530" si="77">K509-H509</f>
        <v>0</v>
      </c>
      <c r="M509" s="126">
        <f>IF(ISERROR(L509/H509), "", L509/H509)</f>
        <v>0</v>
      </c>
    </row>
    <row r="510" spans="1:13" x14ac:dyDescent="0.25">
      <c r="A510" s="100" t="str">
        <f>A509</f>
        <v>RESIDENTIAL SERVICE CLASSIFICATION</v>
      </c>
      <c r="C510" s="117"/>
      <c r="D510" s="118" t="s">
        <v>152</v>
      </c>
      <c r="E510" s="119"/>
      <c r="F510" s="127">
        <v>3.3999999999999998E-3</v>
      </c>
      <c r="G510" s="121">
        <f>IF($E502&gt;0, $E502, $E501)</f>
        <v>1000</v>
      </c>
      <c r="H510" s="122">
        <f t="shared" ref="H510:H522" si="78">G510*F510</f>
        <v>3.4</v>
      </c>
      <c r="I510" s="128">
        <v>0</v>
      </c>
      <c r="J510" s="124">
        <f>IF($E502&gt;0, $E502, $E501)</f>
        <v>1000</v>
      </c>
      <c r="K510" s="122">
        <f t="shared" ref="K510:K514" si="79">H510</f>
        <v>3.4</v>
      </c>
      <c r="L510" s="125">
        <f t="shared" si="77"/>
        <v>0</v>
      </c>
      <c r="M510" s="126">
        <f t="shared" ref="M510:M520" si="80">IF(ISERROR(L510/H510), "", L510/H510)</f>
        <v>0</v>
      </c>
    </row>
    <row r="511" spans="1:13" x14ac:dyDescent="0.25">
      <c r="A511" s="100" t="str">
        <f t="shared" ref="A511:A552" si="81">A510</f>
        <v>RESIDENTIAL SERVICE CLASSIFICATION</v>
      </c>
      <c r="C511" s="117"/>
      <c r="D511" s="118" t="s">
        <v>153</v>
      </c>
      <c r="E511" s="119"/>
      <c r="F511" s="127"/>
      <c r="G511" s="121">
        <f>IF($E502&gt;0, $E502, $E501)</f>
        <v>1000</v>
      </c>
      <c r="H511" s="122">
        <v>0</v>
      </c>
      <c r="I511" s="128"/>
      <c r="J511" s="124">
        <f>IF($E502&gt;0, $E502, $E501)</f>
        <v>1000</v>
      </c>
      <c r="K511" s="122">
        <f t="shared" si="79"/>
        <v>0</v>
      </c>
      <c r="L511" s="125"/>
      <c r="M511" s="126"/>
    </row>
    <row r="512" spans="1:13" x14ac:dyDescent="0.25">
      <c r="A512" s="100" t="str">
        <f t="shared" si="81"/>
        <v>RESIDENTIAL SERVICE CLASSIFICATION</v>
      </c>
      <c r="C512" s="117"/>
      <c r="D512" s="118" t="s">
        <v>154</v>
      </c>
      <c r="E512" s="119"/>
      <c r="F512" s="127"/>
      <c r="G512" s="121">
        <f>IF($E502&gt;0, $E502, $E501)</f>
        <v>1000</v>
      </c>
      <c r="H512" s="122">
        <v>0</v>
      </c>
      <c r="I512" s="128"/>
      <c r="J512" s="121">
        <f>IF($E502&gt;0, $E502, $E501)</f>
        <v>1000</v>
      </c>
      <c r="K512" s="122">
        <f t="shared" si="79"/>
        <v>0</v>
      </c>
      <c r="L512" s="125">
        <f>K512-H512</f>
        <v>0</v>
      </c>
      <c r="M512" s="126" t="str">
        <f>IF(ISERROR(L512/H512), "", L512/H512)</f>
        <v/>
      </c>
    </row>
    <row r="513" spans="1:13" x14ac:dyDescent="0.25">
      <c r="A513" s="100" t="str">
        <f t="shared" si="81"/>
        <v>RESIDENTIAL SERVICE CLASSIFICATION</v>
      </c>
      <c r="C513" s="117"/>
      <c r="D513" s="129" t="s">
        <v>155</v>
      </c>
      <c r="E513" s="119"/>
      <c r="F513" s="120">
        <v>0</v>
      </c>
      <c r="G513" s="121">
        <v>1</v>
      </c>
      <c r="H513" s="122">
        <f t="shared" si="78"/>
        <v>0</v>
      </c>
      <c r="I513" s="123">
        <v>0</v>
      </c>
      <c r="J513" s="124">
        <f>G513</f>
        <v>1</v>
      </c>
      <c r="K513" s="122">
        <f t="shared" si="79"/>
        <v>0</v>
      </c>
      <c r="L513" s="125">
        <f t="shared" si="77"/>
        <v>0</v>
      </c>
      <c r="M513" s="126" t="str">
        <f t="shared" si="80"/>
        <v/>
      </c>
    </row>
    <row r="514" spans="1:13" x14ac:dyDescent="0.25">
      <c r="A514" s="100" t="str">
        <f t="shared" si="81"/>
        <v>RESIDENTIAL SERVICE CLASSIFICATION</v>
      </c>
      <c r="C514" s="117"/>
      <c r="D514" s="118" t="s">
        <v>156</v>
      </c>
      <c r="E514" s="119"/>
      <c r="F514" s="127">
        <v>0</v>
      </c>
      <c r="G514" s="121">
        <f>IF($E502&gt;0, $E502, $E501)</f>
        <v>1000</v>
      </c>
      <c r="H514" s="122">
        <f t="shared" si="78"/>
        <v>0</v>
      </c>
      <c r="I514" s="128">
        <v>0</v>
      </c>
      <c r="J514" s="124">
        <f>IF($E502&gt;0, $E502, $E501)</f>
        <v>1000</v>
      </c>
      <c r="K514" s="122">
        <f t="shared" si="79"/>
        <v>0</v>
      </c>
      <c r="L514" s="125">
        <f t="shared" si="77"/>
        <v>0</v>
      </c>
      <c r="M514" s="126" t="str">
        <f t="shared" si="80"/>
        <v/>
      </c>
    </row>
    <row r="515" spans="1:13" x14ac:dyDescent="0.25">
      <c r="A515" s="100" t="str">
        <f t="shared" si="81"/>
        <v>RESIDENTIAL SERVICE CLASSIFICATION</v>
      </c>
      <c r="B515" s="130" t="s">
        <v>157</v>
      </c>
      <c r="C515" s="117">
        <f>B11</f>
        <v>9</v>
      </c>
      <c r="D515" s="131" t="s">
        <v>158</v>
      </c>
      <c r="E515" s="132"/>
      <c r="F515" s="133"/>
      <c r="G515" s="134"/>
      <c r="H515" s="135">
        <f>SUM(H509:H514)</f>
        <v>26.88</v>
      </c>
      <c r="I515" s="136"/>
      <c r="J515" s="137"/>
      <c r="K515" s="135">
        <f>SUM(K509:K514)</f>
        <v>26.88</v>
      </c>
      <c r="L515" s="138">
        <f t="shared" si="77"/>
        <v>0</v>
      </c>
      <c r="M515" s="139">
        <f>IF((H515)=0,"",(L515/H515))</f>
        <v>0</v>
      </c>
    </row>
    <row r="516" spans="1:13" x14ac:dyDescent="0.25">
      <c r="A516" s="100" t="str">
        <f t="shared" si="81"/>
        <v>RESIDENTIAL SERVICE CLASSIFICATION</v>
      </c>
      <c r="C516" s="117"/>
      <c r="D516" s="140" t="s">
        <v>159</v>
      </c>
      <c r="E516" s="119"/>
      <c r="F516" s="127">
        <f>IF((E501*12&gt;=150000), 0, IF(E500="RPP",(F532*0.65+F533*0.17+F534*0.18),IF(E500="Non-RPP (Retailer)",F535,F536)))</f>
        <v>8.1990000000000007E-2</v>
      </c>
      <c r="G516" s="141">
        <f>IF(F516=0, 0, $E501*E503-E501)</f>
        <v>56</v>
      </c>
      <c r="H516" s="122">
        <f>G516*F516</f>
        <v>4.5914400000000004</v>
      </c>
      <c r="I516" s="128">
        <f>IF((E501*12&gt;=150000), 0, IF(E500="RPP",(I532*0.65+I533*0.17+I534*0.18),IF(E500="Non-RPP (Retailer)",I535,I536)))</f>
        <v>8.1990000000000007E-2</v>
      </c>
      <c r="J516" s="141">
        <f>IF(I516=0, 0, E501*E504-E501)</f>
        <v>56</v>
      </c>
      <c r="K516" s="122">
        <f t="shared" ref="K516:K523" si="82">H516</f>
        <v>4.5914400000000004</v>
      </c>
      <c r="L516" s="125">
        <f>K516-H516</f>
        <v>0</v>
      </c>
      <c r="M516" s="126">
        <f>IF(ISERROR(L516/H516), "", L516/H516)</f>
        <v>0</v>
      </c>
    </row>
    <row r="517" spans="1:13" ht="25.5" x14ac:dyDescent="0.25">
      <c r="A517" s="100" t="str">
        <f t="shared" si="81"/>
        <v>RESIDENTIAL SERVICE CLASSIFICATION</v>
      </c>
      <c r="C517" s="117"/>
      <c r="D517" s="140" t="s">
        <v>160</v>
      </c>
      <c r="E517" s="119"/>
      <c r="F517" s="127">
        <v>-1.4E-3</v>
      </c>
      <c r="G517" s="142">
        <f>IF($E502&gt;0, $E502, $E501)</f>
        <v>1000</v>
      </c>
      <c r="H517" s="122">
        <f t="shared" si="78"/>
        <v>-1.4</v>
      </c>
      <c r="I517" s="128">
        <v>-5.3E-3</v>
      </c>
      <c r="J517" s="142">
        <f>IF($E502&gt;0, $E502, $E501)</f>
        <v>1000</v>
      </c>
      <c r="K517" s="122">
        <f t="shared" si="82"/>
        <v>-1.4</v>
      </c>
      <c r="L517" s="125">
        <f t="shared" si="77"/>
        <v>0</v>
      </c>
      <c r="M517" s="126">
        <f t="shared" si="80"/>
        <v>0</v>
      </c>
    </row>
    <row r="518" spans="1:13" x14ac:dyDescent="0.25">
      <c r="A518" s="100" t="str">
        <f t="shared" si="81"/>
        <v>RESIDENTIAL SERVICE CLASSIFICATION</v>
      </c>
      <c r="C518" s="117"/>
      <c r="D518" s="140" t="s">
        <v>161</v>
      </c>
      <c r="E518" s="119"/>
      <c r="F518" s="127">
        <v>-1E-4</v>
      </c>
      <c r="G518" s="142">
        <f>IF($E502&gt;0, $E502, $E501)</f>
        <v>1000</v>
      </c>
      <c r="H518" s="122">
        <f>G518*F518</f>
        <v>-0.1</v>
      </c>
      <c r="I518" s="128">
        <v>0</v>
      </c>
      <c r="J518" s="142">
        <f>IF($E502&gt;0, $E502, $E501)</f>
        <v>1000</v>
      </c>
      <c r="K518" s="122">
        <f t="shared" si="82"/>
        <v>-0.1</v>
      </c>
      <c r="L518" s="125">
        <f t="shared" si="77"/>
        <v>0</v>
      </c>
      <c r="M518" s="126">
        <f t="shared" si="80"/>
        <v>0</v>
      </c>
    </row>
    <row r="519" spans="1:13" x14ac:dyDescent="0.25">
      <c r="A519" s="100" t="str">
        <f t="shared" si="81"/>
        <v>RESIDENTIAL SERVICE CLASSIFICATION</v>
      </c>
      <c r="C519" s="117"/>
      <c r="D519" s="140" t="s">
        <v>162</v>
      </c>
      <c r="E519" s="119"/>
      <c r="F519" s="127">
        <v>0</v>
      </c>
      <c r="G519" s="142">
        <f>E501</f>
        <v>1000</v>
      </c>
      <c r="H519" s="122">
        <f>G519*F519</f>
        <v>0</v>
      </c>
      <c r="I519" s="128">
        <v>0</v>
      </c>
      <c r="J519" s="142">
        <f>E501</f>
        <v>1000</v>
      </c>
      <c r="K519" s="122">
        <f t="shared" si="82"/>
        <v>0</v>
      </c>
      <c r="L519" s="125">
        <f t="shared" si="77"/>
        <v>0</v>
      </c>
      <c r="M519" s="126" t="str">
        <f t="shared" si="80"/>
        <v/>
      </c>
    </row>
    <row r="520" spans="1:13" x14ac:dyDescent="0.25">
      <c r="A520" s="100" t="str">
        <f t="shared" si="81"/>
        <v>RESIDENTIAL SERVICE CLASSIFICATION</v>
      </c>
      <c r="C520" s="117"/>
      <c r="D520" s="143" t="s">
        <v>163</v>
      </c>
      <c r="E520" s="119"/>
      <c r="F520" s="127">
        <v>2.5999999999999999E-3</v>
      </c>
      <c r="G520" s="142">
        <f>IF($E502&gt;0, $E502, $E501)</f>
        <v>1000</v>
      </c>
      <c r="H520" s="122">
        <f t="shared" si="78"/>
        <v>2.6</v>
      </c>
      <c r="I520" s="128">
        <v>2.5999999999999999E-3</v>
      </c>
      <c r="J520" s="142">
        <f>IF($E502&gt;0, $E502, $E501)</f>
        <v>1000</v>
      </c>
      <c r="K520" s="122">
        <f t="shared" si="82"/>
        <v>2.6</v>
      </c>
      <c r="L520" s="125">
        <f t="shared" si="77"/>
        <v>0</v>
      </c>
      <c r="M520" s="126">
        <f t="shared" si="80"/>
        <v>0</v>
      </c>
    </row>
    <row r="521" spans="1:13" ht="25.5" x14ac:dyDescent="0.25">
      <c r="A521" s="100" t="str">
        <f t="shared" si="81"/>
        <v>RESIDENTIAL SERVICE CLASSIFICATION</v>
      </c>
      <c r="C521" s="117"/>
      <c r="D521" s="144" t="s">
        <v>164</v>
      </c>
      <c r="E521" s="119"/>
      <c r="F521" s="145">
        <f>IF(OR(ISNUMBER(SEARCH("RESIDENTIAL", E499))=TRUE, ISNUMBER(SEARCH("GENERAL SERVICE LESS THAN 50", E499))=TRUE), SME, 0)</f>
        <v>0.56999999999999995</v>
      </c>
      <c r="G521" s="121">
        <v>1</v>
      </c>
      <c r="H521" s="122">
        <f>G521*F521</f>
        <v>0.56999999999999995</v>
      </c>
      <c r="I521" s="146">
        <f>IF(OR(ISNUMBER(SEARCH("RESIDENTIAL", E499))=TRUE, ISNUMBER(SEARCH("GENERAL SERVICE LESS THAN 50", E499))=TRUE), SME, 0)</f>
        <v>0.56999999999999995</v>
      </c>
      <c r="J521" s="121">
        <v>1</v>
      </c>
      <c r="K521" s="122">
        <f t="shared" si="82"/>
        <v>0.56999999999999995</v>
      </c>
      <c r="L521" s="125">
        <f t="shared" si="77"/>
        <v>0</v>
      </c>
      <c r="M521" s="126">
        <f>IF(ISERROR(L521/H521), "", L521/H521)</f>
        <v>0</v>
      </c>
    </row>
    <row r="522" spans="1:13" x14ac:dyDescent="0.25">
      <c r="A522" s="100" t="str">
        <f t="shared" si="81"/>
        <v>RESIDENTIAL SERVICE CLASSIFICATION</v>
      </c>
      <c r="C522" s="117"/>
      <c r="D522" s="143" t="s">
        <v>165</v>
      </c>
      <c r="E522" s="119"/>
      <c r="F522" s="120">
        <v>0</v>
      </c>
      <c r="G522" s="121">
        <v>1</v>
      </c>
      <c r="H522" s="122">
        <f t="shared" si="78"/>
        <v>0</v>
      </c>
      <c r="I522" s="123">
        <v>0</v>
      </c>
      <c r="J522" s="121">
        <v>1</v>
      </c>
      <c r="K522" s="122">
        <f t="shared" si="82"/>
        <v>0</v>
      </c>
      <c r="L522" s="125">
        <f>K522-H522</f>
        <v>0</v>
      </c>
      <c r="M522" s="126" t="str">
        <f>IF(ISERROR(L522/H522), "", L522/H522)</f>
        <v/>
      </c>
    </row>
    <row r="523" spans="1:13" x14ac:dyDescent="0.25">
      <c r="A523" s="100" t="str">
        <f t="shared" si="81"/>
        <v>RESIDENTIAL SERVICE CLASSIFICATION</v>
      </c>
      <c r="C523" s="117"/>
      <c r="D523" s="143" t="s">
        <v>166</v>
      </c>
      <c r="E523" s="119"/>
      <c r="F523" s="127"/>
      <c r="G523" s="142">
        <f>IF($E502&gt;0, $E502, $E501)</f>
        <v>1000</v>
      </c>
      <c r="H523" s="122">
        <f>G523*F523</f>
        <v>0</v>
      </c>
      <c r="I523" s="128">
        <v>0</v>
      </c>
      <c r="J523" s="142">
        <f>IF($E502&gt;0, $E502, $E501)</f>
        <v>1000</v>
      </c>
      <c r="K523" s="122">
        <f t="shared" si="82"/>
        <v>0</v>
      </c>
      <c r="L523" s="125">
        <f t="shared" si="77"/>
        <v>0</v>
      </c>
      <c r="M523" s="126" t="str">
        <f>IF(ISERROR(L523/H523), "", L523/H523)</f>
        <v/>
      </c>
    </row>
    <row r="524" spans="1:13" ht="25.5" x14ac:dyDescent="0.25">
      <c r="A524" s="100" t="str">
        <f t="shared" si="81"/>
        <v>RESIDENTIAL SERVICE CLASSIFICATION</v>
      </c>
      <c r="B524" s="105" t="s">
        <v>167</v>
      </c>
      <c r="C524" s="117">
        <f>B11</f>
        <v>9</v>
      </c>
      <c r="D524" s="147" t="s">
        <v>168</v>
      </c>
      <c r="E524" s="148"/>
      <c r="F524" s="149"/>
      <c r="G524" s="150"/>
      <c r="H524" s="151">
        <f>SUM(H515:H523)</f>
        <v>33.141440000000003</v>
      </c>
      <c r="I524" s="152"/>
      <c r="J524" s="153"/>
      <c r="K524" s="151">
        <f>SUM(K515:K523)</f>
        <v>33.141440000000003</v>
      </c>
      <c r="L524" s="138">
        <f t="shared" si="77"/>
        <v>0</v>
      </c>
      <c r="M524" s="139">
        <f>IF((H524)=0,"",(L524/H524))</f>
        <v>0</v>
      </c>
    </row>
    <row r="525" spans="1:13" x14ac:dyDescent="0.25">
      <c r="A525" s="100" t="str">
        <f t="shared" si="81"/>
        <v>RESIDENTIAL SERVICE CLASSIFICATION</v>
      </c>
      <c r="C525" s="117"/>
      <c r="D525" s="154" t="s">
        <v>169</v>
      </c>
      <c r="E525" s="119"/>
      <c r="F525" s="127">
        <v>6.7999999999999996E-3</v>
      </c>
      <c r="G525" s="141">
        <f>IF($E502&gt;0, $E502, $E501*$E503)</f>
        <v>1056</v>
      </c>
      <c r="H525" s="122">
        <f>G525*F525</f>
        <v>7.1807999999999996</v>
      </c>
      <c r="I525" s="128">
        <v>6.4999999999999997E-3</v>
      </c>
      <c r="J525" s="141">
        <f>IF($E502&gt;0, $E502, $E501*$E504)</f>
        <v>1056</v>
      </c>
      <c r="K525" s="122">
        <f t="shared" ref="K525:K526" si="83">H525</f>
        <v>7.1807999999999996</v>
      </c>
      <c r="L525" s="125">
        <f t="shared" si="77"/>
        <v>0</v>
      </c>
      <c r="M525" s="126">
        <f>IF(ISERROR(L525/H525), "", L525/H525)</f>
        <v>0</v>
      </c>
    </row>
    <row r="526" spans="1:13" ht="25.5" x14ac:dyDescent="0.25">
      <c r="A526" s="100" t="str">
        <f t="shared" si="81"/>
        <v>RESIDENTIAL SERVICE CLASSIFICATION</v>
      </c>
      <c r="C526" s="117"/>
      <c r="D526" s="155" t="s">
        <v>170</v>
      </c>
      <c r="E526" s="119"/>
      <c r="F526" s="127">
        <v>5.5999999999999999E-3</v>
      </c>
      <c r="G526" s="141">
        <f>IF($E502&gt;0, $E502, $E501*$E503)</f>
        <v>1056</v>
      </c>
      <c r="H526" s="122">
        <f>G526*F526</f>
        <v>5.9135999999999997</v>
      </c>
      <c r="I526" s="128">
        <v>5.3E-3</v>
      </c>
      <c r="J526" s="141">
        <f>IF($E502&gt;0, $E502, $E501*$E504)</f>
        <v>1056</v>
      </c>
      <c r="K526" s="122">
        <f t="shared" si="83"/>
        <v>5.9135999999999997</v>
      </c>
      <c r="L526" s="125">
        <f t="shared" si="77"/>
        <v>0</v>
      </c>
      <c r="M526" s="126">
        <f>IF(ISERROR(L526/H526), "", L526/H526)</f>
        <v>0</v>
      </c>
    </row>
    <row r="527" spans="1:13" ht="25.5" x14ac:dyDescent="0.25">
      <c r="A527" s="100" t="str">
        <f t="shared" si="81"/>
        <v>RESIDENTIAL SERVICE CLASSIFICATION</v>
      </c>
      <c r="B527" s="105" t="s">
        <v>171</v>
      </c>
      <c r="C527" s="117">
        <f>B11</f>
        <v>9</v>
      </c>
      <c r="D527" s="147" t="s">
        <v>172</v>
      </c>
      <c r="E527" s="132"/>
      <c r="F527" s="149"/>
      <c r="G527" s="150"/>
      <c r="H527" s="151">
        <f>SUM(H524:H526)</f>
        <v>46.235840000000003</v>
      </c>
      <c r="I527" s="152"/>
      <c r="J527" s="137"/>
      <c r="K527" s="151">
        <f>SUM(K524:K526)</f>
        <v>46.235840000000003</v>
      </c>
      <c r="L527" s="138">
        <f t="shared" si="77"/>
        <v>0</v>
      </c>
      <c r="M527" s="139">
        <f>IF((H527)=0,"",(L527/H527))</f>
        <v>0</v>
      </c>
    </row>
    <row r="528" spans="1:13" ht="25.5" x14ac:dyDescent="0.25">
      <c r="A528" s="100" t="str">
        <f t="shared" si="81"/>
        <v>RESIDENTIAL SERVICE CLASSIFICATION</v>
      </c>
      <c r="C528" s="117"/>
      <c r="D528" s="156" t="s">
        <v>173</v>
      </c>
      <c r="E528" s="119"/>
      <c r="F528" s="127">
        <v>3.6000000000000003E-3</v>
      </c>
      <c r="G528" s="141">
        <f>E501*E503</f>
        <v>1056</v>
      </c>
      <c r="H528" s="157">
        <f t="shared" ref="H528:H534" si="84">G528*F528</f>
        <v>3.8016000000000005</v>
      </c>
      <c r="I528" s="128">
        <v>3.6000000000000003E-3</v>
      </c>
      <c r="J528" s="141">
        <f>E501*E504</f>
        <v>1056</v>
      </c>
      <c r="K528" s="157">
        <f t="shared" ref="K528:K534" si="85">H528</f>
        <v>3.8016000000000005</v>
      </c>
      <c r="L528" s="125">
        <f t="shared" si="77"/>
        <v>0</v>
      </c>
      <c r="M528" s="126">
        <f t="shared" ref="M528:M536" si="86">IF(ISERROR(L528/H528), "", L528/H528)</f>
        <v>0</v>
      </c>
    </row>
    <row r="529" spans="1:13" ht="25.5" x14ac:dyDescent="0.25">
      <c r="A529" s="100" t="str">
        <f t="shared" si="81"/>
        <v>RESIDENTIAL SERVICE CLASSIFICATION</v>
      </c>
      <c r="C529" s="117"/>
      <c r="D529" s="156" t="s">
        <v>174</v>
      </c>
      <c r="E529" s="119"/>
      <c r="F529" s="127">
        <f>'[1]17. Regulatory Charges'!$D$16</f>
        <v>2.9999999999999997E-4</v>
      </c>
      <c r="G529" s="141">
        <f>E501*E503</f>
        <v>1056</v>
      </c>
      <c r="H529" s="157">
        <f t="shared" si="84"/>
        <v>0.31679999999999997</v>
      </c>
      <c r="I529" s="128">
        <v>2.9999999999999997E-4</v>
      </c>
      <c r="J529" s="141">
        <f>E501*E504</f>
        <v>1056</v>
      </c>
      <c r="K529" s="157">
        <f t="shared" si="85"/>
        <v>0.31679999999999997</v>
      </c>
      <c r="L529" s="125">
        <f t="shared" si="77"/>
        <v>0</v>
      </c>
      <c r="M529" s="126">
        <f t="shared" si="86"/>
        <v>0</v>
      </c>
    </row>
    <row r="530" spans="1:13" x14ac:dyDescent="0.25">
      <c r="A530" s="100" t="str">
        <f t="shared" si="81"/>
        <v>RESIDENTIAL SERVICE CLASSIFICATION</v>
      </c>
      <c r="C530" s="117"/>
      <c r="D530" s="158" t="s">
        <v>175</v>
      </c>
      <c r="E530" s="119"/>
      <c r="F530" s="145">
        <v>0.25</v>
      </c>
      <c r="G530" s="121">
        <v>1</v>
      </c>
      <c r="H530" s="157">
        <f t="shared" si="84"/>
        <v>0.25</v>
      </c>
      <c r="I530" s="146">
        <f>'[1]17. Regulatory Charges'!$D$17</f>
        <v>0.25</v>
      </c>
      <c r="J530" s="124">
        <v>1</v>
      </c>
      <c r="K530" s="157">
        <f t="shared" si="85"/>
        <v>0.25</v>
      </c>
      <c r="L530" s="125">
        <f t="shared" si="77"/>
        <v>0</v>
      </c>
      <c r="M530" s="126">
        <f t="shared" si="86"/>
        <v>0</v>
      </c>
    </row>
    <row r="531" spans="1:13" ht="25.5" x14ac:dyDescent="0.25">
      <c r="A531" s="100" t="str">
        <f t="shared" si="81"/>
        <v>RESIDENTIAL SERVICE CLASSIFICATION</v>
      </c>
      <c r="C531" s="117"/>
      <c r="D531" s="156" t="s">
        <v>176</v>
      </c>
      <c r="E531" s="119"/>
      <c r="F531" s="127"/>
      <c r="G531" s="141"/>
      <c r="H531" s="157"/>
      <c r="I531" s="128"/>
      <c r="J531" s="141"/>
      <c r="K531" s="157">
        <f t="shared" si="85"/>
        <v>0</v>
      </c>
      <c r="L531" s="125"/>
      <c r="M531" s="126"/>
    </row>
    <row r="532" spans="1:13" x14ac:dyDescent="0.25">
      <c r="A532" s="100" t="str">
        <f t="shared" si="81"/>
        <v>RESIDENTIAL SERVICE CLASSIFICATION</v>
      </c>
      <c r="B532" s="105" t="s">
        <v>117</v>
      </c>
      <c r="C532" s="117"/>
      <c r="D532" s="159" t="s">
        <v>177</v>
      </c>
      <c r="E532" s="119"/>
      <c r="F532" s="160">
        <f>OffPeak</f>
        <v>6.5000000000000002E-2</v>
      </c>
      <c r="G532" s="161">
        <f>IF(AND(E501*12&gt;=150000),0.65*E501*E503,0.65*E501)</f>
        <v>650</v>
      </c>
      <c r="H532" s="157">
        <f t="shared" si="84"/>
        <v>42.25</v>
      </c>
      <c r="I532" s="162">
        <f>OffPeak</f>
        <v>6.5000000000000002E-2</v>
      </c>
      <c r="J532" s="161">
        <f>IF(AND(E501*12&gt;=150000),0.65*E501*E504,0.65*E501)</f>
        <v>650</v>
      </c>
      <c r="K532" s="157">
        <f t="shared" si="85"/>
        <v>42.25</v>
      </c>
      <c r="L532" s="125">
        <f>K532-H532</f>
        <v>0</v>
      </c>
      <c r="M532" s="126">
        <f t="shared" si="86"/>
        <v>0</v>
      </c>
    </row>
    <row r="533" spans="1:13" x14ac:dyDescent="0.25">
      <c r="A533" s="100" t="str">
        <f t="shared" si="81"/>
        <v>RESIDENTIAL SERVICE CLASSIFICATION</v>
      </c>
      <c r="B533" s="105" t="s">
        <v>117</v>
      </c>
      <c r="C533" s="117"/>
      <c r="D533" s="159" t="s">
        <v>178</v>
      </c>
      <c r="E533" s="119"/>
      <c r="F533" s="160">
        <f>MidPeak</f>
        <v>9.4E-2</v>
      </c>
      <c r="G533" s="161">
        <f>IF(AND(E501*12&gt;=150000),0.17*E501*E503,0.17*E501)</f>
        <v>170</v>
      </c>
      <c r="H533" s="157">
        <f t="shared" si="84"/>
        <v>15.98</v>
      </c>
      <c r="I533" s="162">
        <f>MidPeak</f>
        <v>9.4E-2</v>
      </c>
      <c r="J533" s="161">
        <f>IF(AND(E501*12&gt;=150000),0.17*E501*E504,0.17*E501)</f>
        <v>170</v>
      </c>
      <c r="K533" s="157">
        <f t="shared" si="85"/>
        <v>15.98</v>
      </c>
      <c r="L533" s="125">
        <f>K533-H533</f>
        <v>0</v>
      </c>
      <c r="M533" s="126">
        <f t="shared" si="86"/>
        <v>0</v>
      </c>
    </row>
    <row r="534" spans="1:13" ht="15.75" thickBot="1" x14ac:dyDescent="0.3">
      <c r="A534" s="100" t="str">
        <f t="shared" si="81"/>
        <v>RESIDENTIAL SERVICE CLASSIFICATION</v>
      </c>
      <c r="B534" s="105" t="s">
        <v>117</v>
      </c>
      <c r="C534" s="117"/>
      <c r="D534" s="105" t="s">
        <v>179</v>
      </c>
      <c r="E534" s="119"/>
      <c r="F534" s="160">
        <f>OnPeak</f>
        <v>0.13200000000000001</v>
      </c>
      <c r="G534" s="161">
        <f>IF(AND(E501*12&gt;=150000),0.18*E501*E503,0.18*E501)</f>
        <v>180</v>
      </c>
      <c r="H534" s="157">
        <f t="shared" si="84"/>
        <v>23.76</v>
      </c>
      <c r="I534" s="162">
        <f>OnPeak</f>
        <v>0.13200000000000001</v>
      </c>
      <c r="J534" s="161">
        <f>IF(AND(E501*12&gt;=150000),0.18*E501*E504,0.18*E501)</f>
        <v>180</v>
      </c>
      <c r="K534" s="157">
        <f t="shared" si="85"/>
        <v>23.76</v>
      </c>
      <c r="L534" s="125">
        <f>K534-H534</f>
        <v>0</v>
      </c>
      <c r="M534" s="126">
        <f t="shared" si="86"/>
        <v>0</v>
      </c>
    </row>
    <row r="535" spans="1:13" ht="15.75" hidden="1" thickBot="1" x14ac:dyDescent="0.3">
      <c r="A535" s="100" t="str">
        <f t="shared" si="81"/>
        <v>RESIDENTIAL SERVICE CLASSIFICATION</v>
      </c>
      <c r="B535" s="100" t="s">
        <v>180</v>
      </c>
      <c r="C535" s="117"/>
      <c r="D535" s="159" t="s">
        <v>181</v>
      </c>
      <c r="E535" s="119"/>
      <c r="F535" s="163">
        <v>0.1101</v>
      </c>
      <c r="G535" s="161">
        <f>IF(AND(E501*12&gt;=150000),E501*E503,E501)</f>
        <v>1000</v>
      </c>
      <c r="H535" s="157">
        <f>G535*F535</f>
        <v>110.10000000000001</v>
      </c>
      <c r="I535" s="164">
        <f>F535</f>
        <v>0.1101</v>
      </c>
      <c r="J535" s="161">
        <f>IF(AND(E501*12&gt;=150000),E501*E504,E501)</f>
        <v>1000</v>
      </c>
      <c r="K535" s="157">
        <f>J535*I535</f>
        <v>110.10000000000001</v>
      </c>
      <c r="L535" s="125">
        <f>K535-H535</f>
        <v>0</v>
      </c>
      <c r="M535" s="126">
        <f t="shared" si="86"/>
        <v>0</v>
      </c>
    </row>
    <row r="536" spans="1:13" ht="15.75" hidden="1" thickBot="1" x14ac:dyDescent="0.3">
      <c r="A536" s="100" t="str">
        <f t="shared" si="81"/>
        <v>RESIDENTIAL SERVICE CLASSIFICATION</v>
      </c>
      <c r="B536" s="100" t="s">
        <v>121</v>
      </c>
      <c r="C536" s="117"/>
      <c r="D536" s="159" t="s">
        <v>182</v>
      </c>
      <c r="E536" s="119"/>
      <c r="F536" s="163">
        <v>0.1101</v>
      </c>
      <c r="G536" s="161">
        <f>IF(AND(E501*12&gt;=150000),E501*E503,E501)</f>
        <v>1000</v>
      </c>
      <c r="H536" s="157">
        <f>G536*F536</f>
        <v>110.10000000000001</v>
      </c>
      <c r="I536" s="164">
        <f>F536</f>
        <v>0.1101</v>
      </c>
      <c r="J536" s="161">
        <f>IF(AND(E501*12&gt;=150000),E501*E504,E501)</f>
        <v>1000</v>
      </c>
      <c r="K536" s="157">
        <f>J536*I536</f>
        <v>110.10000000000001</v>
      </c>
      <c r="L536" s="125">
        <f>K536-H536</f>
        <v>0</v>
      </c>
      <c r="M536" s="126">
        <f t="shared" si="86"/>
        <v>0</v>
      </c>
    </row>
    <row r="537" spans="1:13" ht="15.75" thickBot="1" x14ac:dyDescent="0.3">
      <c r="A537" s="100" t="str">
        <f t="shared" si="81"/>
        <v>RESIDENTIAL SERVICE CLASSIFICATION</v>
      </c>
      <c r="B537" s="105"/>
      <c r="C537" s="117"/>
      <c r="D537" s="165"/>
      <c r="E537" s="166"/>
      <c r="F537" s="167"/>
      <c r="G537" s="168"/>
      <c r="H537" s="169"/>
      <c r="I537" s="167"/>
      <c r="J537" s="170"/>
      <c r="K537" s="169"/>
      <c r="L537" s="171"/>
      <c r="M537" s="172"/>
    </row>
    <row r="538" spans="1:13" x14ac:dyDescent="0.25">
      <c r="A538" s="100" t="str">
        <f t="shared" si="81"/>
        <v>RESIDENTIAL SERVICE CLASSIFICATION</v>
      </c>
      <c r="B538" s="105" t="s">
        <v>117</v>
      </c>
      <c r="C538" s="117"/>
      <c r="D538" s="173" t="s">
        <v>183</v>
      </c>
      <c r="E538" s="158"/>
      <c r="F538" s="174"/>
      <c r="G538" s="175"/>
      <c r="H538" s="176">
        <f>SUM(H528:H534,H527)</f>
        <v>132.59424000000001</v>
      </c>
      <c r="I538" s="177"/>
      <c r="J538" s="177"/>
      <c r="K538" s="176">
        <f>SUM(K528:K534,K527)</f>
        <v>132.59424000000001</v>
      </c>
      <c r="L538" s="178">
        <f>K538-H538</f>
        <v>0</v>
      </c>
      <c r="M538" s="179">
        <f>IF((H538)=0,"",(L538/H538))</f>
        <v>0</v>
      </c>
    </row>
    <row r="539" spans="1:13" x14ac:dyDescent="0.25">
      <c r="A539" s="100" t="str">
        <f t="shared" si="81"/>
        <v>RESIDENTIAL SERVICE CLASSIFICATION</v>
      </c>
      <c r="B539" s="105" t="s">
        <v>117</v>
      </c>
      <c r="C539" s="117"/>
      <c r="D539" s="180" t="s">
        <v>184</v>
      </c>
      <c r="E539" s="158"/>
      <c r="F539" s="174">
        <v>0.13</v>
      </c>
      <c r="G539" s="181"/>
      <c r="H539" s="182">
        <f>H538*F539</f>
        <v>17.237251200000003</v>
      </c>
      <c r="I539" s="183">
        <v>0.13</v>
      </c>
      <c r="J539" s="121"/>
      <c r="K539" s="182">
        <f>K538*I539</f>
        <v>17.237251200000003</v>
      </c>
      <c r="L539" s="184">
        <f>K539-H539</f>
        <v>0</v>
      </c>
      <c r="M539" s="185">
        <f>IF((H539)=0,"",(L539/H539))</f>
        <v>0</v>
      </c>
    </row>
    <row r="540" spans="1:13" x14ac:dyDescent="0.25">
      <c r="A540" s="100" t="str">
        <f t="shared" si="81"/>
        <v>RESIDENTIAL SERVICE CLASSIFICATION</v>
      </c>
      <c r="B540" s="105" t="s">
        <v>117</v>
      </c>
      <c r="C540" s="117"/>
      <c r="D540" s="180" t="s">
        <v>185</v>
      </c>
      <c r="E540" s="158"/>
      <c r="F540" s="174">
        <v>0.08</v>
      </c>
      <c r="G540" s="181"/>
      <c r="H540" s="182">
        <f>H538*-F540</f>
        <v>-10.607539200000002</v>
      </c>
      <c r="I540" s="174">
        <v>0.08</v>
      </c>
      <c r="J540" s="121"/>
      <c r="K540" s="182">
        <f>K538*-I540</f>
        <v>-10.607539200000002</v>
      </c>
      <c r="L540" s="184">
        <f>K540-H540</f>
        <v>0</v>
      </c>
      <c r="M540" s="185"/>
    </row>
    <row r="541" spans="1:13" ht="15.75" thickBot="1" x14ac:dyDescent="0.3">
      <c r="A541" s="100" t="str">
        <f t="shared" si="81"/>
        <v>RESIDENTIAL SERVICE CLASSIFICATION</v>
      </c>
      <c r="B541" s="105" t="s">
        <v>186</v>
      </c>
      <c r="C541" s="117">
        <f>B11</f>
        <v>9</v>
      </c>
      <c r="D541" s="301" t="s">
        <v>187</v>
      </c>
      <c r="E541" s="301"/>
      <c r="F541" s="186"/>
      <c r="G541" s="187"/>
      <c r="H541" s="188">
        <f>H538+H539+H540</f>
        <v>139.22395200000003</v>
      </c>
      <c r="I541" s="189"/>
      <c r="J541" s="189"/>
      <c r="K541" s="190">
        <f>K538+K539+K540</f>
        <v>139.22395200000003</v>
      </c>
      <c r="L541" s="191">
        <f>K541-H541</f>
        <v>0</v>
      </c>
      <c r="M541" s="192">
        <f>IF((H541)=0,"",(L541/H541))</f>
        <v>0</v>
      </c>
    </row>
    <row r="542" spans="1:13" ht="15.75" thickBot="1" x14ac:dyDescent="0.3">
      <c r="A542" s="100" t="str">
        <f t="shared" si="81"/>
        <v>RESIDENTIAL SERVICE CLASSIFICATION</v>
      </c>
      <c r="B542" s="100" t="s">
        <v>117</v>
      </c>
      <c r="C542" s="117"/>
      <c r="D542" s="165"/>
      <c r="E542" s="166"/>
      <c r="F542" s="167"/>
      <c r="G542" s="168"/>
      <c r="H542" s="169"/>
      <c r="I542" s="167"/>
      <c r="J542" s="170"/>
      <c r="K542" s="169"/>
      <c r="L542" s="171"/>
      <c r="M542" s="172"/>
    </row>
    <row r="543" spans="1:13" hidden="1" x14ac:dyDescent="0.25">
      <c r="A543" s="100" t="str">
        <f t="shared" si="81"/>
        <v>RESIDENTIAL SERVICE CLASSIFICATION</v>
      </c>
      <c r="B543" s="100" t="s">
        <v>180</v>
      </c>
      <c r="C543" s="117"/>
      <c r="D543" s="173" t="s">
        <v>188</v>
      </c>
      <c r="E543" s="158"/>
      <c r="F543" s="174"/>
      <c r="G543" s="175"/>
      <c r="H543" s="176">
        <f>SUM(H535,H528:H531,H527)</f>
        <v>160.70424</v>
      </c>
      <c r="I543" s="177"/>
      <c r="J543" s="177"/>
      <c r="K543" s="176">
        <f>SUM(K535,K528:K531,K527)</f>
        <v>160.70424</v>
      </c>
      <c r="L543" s="178">
        <f>K543-H543</f>
        <v>0</v>
      </c>
      <c r="M543" s="179">
        <f>IF((H543)=0,"",(L543/H543))</f>
        <v>0</v>
      </c>
    </row>
    <row r="544" spans="1:13" hidden="1" x14ac:dyDescent="0.25">
      <c r="A544" s="100" t="str">
        <f t="shared" si="81"/>
        <v>RESIDENTIAL SERVICE CLASSIFICATION</v>
      </c>
      <c r="B544" s="100" t="s">
        <v>180</v>
      </c>
      <c r="C544" s="117"/>
      <c r="D544" s="180" t="s">
        <v>184</v>
      </c>
      <c r="E544" s="158"/>
      <c r="F544" s="174">
        <v>0.13</v>
      </c>
      <c r="G544" s="175"/>
      <c r="H544" s="182">
        <f>H543*F544</f>
        <v>20.891551200000002</v>
      </c>
      <c r="I544" s="174">
        <v>0.13</v>
      </c>
      <c r="J544" s="183"/>
      <c r="K544" s="182">
        <f>K543*I544</f>
        <v>20.891551200000002</v>
      </c>
      <c r="L544" s="184">
        <f>K544-H544</f>
        <v>0</v>
      </c>
      <c r="M544" s="185">
        <f>IF((H544)=0,"",(L544/H544))</f>
        <v>0</v>
      </c>
    </row>
    <row r="545" spans="1:13" hidden="1" x14ac:dyDescent="0.25">
      <c r="A545" s="100" t="str">
        <f t="shared" si="81"/>
        <v>RESIDENTIAL SERVICE CLASSIFICATION</v>
      </c>
      <c r="B545" s="100" t="s">
        <v>180</v>
      </c>
      <c r="C545" s="117"/>
      <c r="D545" s="180" t="s">
        <v>185</v>
      </c>
      <c r="E545" s="158"/>
      <c r="F545" s="174">
        <v>0.08</v>
      </c>
      <c r="G545" s="175"/>
      <c r="H545" s="182"/>
      <c r="I545" s="174">
        <v>0.08</v>
      </c>
      <c r="J545" s="183"/>
      <c r="K545" s="182"/>
      <c r="L545" s="184"/>
      <c r="M545" s="185"/>
    </row>
    <row r="546" spans="1:13" hidden="1" x14ac:dyDescent="0.25">
      <c r="A546" s="100" t="str">
        <f t="shared" si="81"/>
        <v>RESIDENTIAL SERVICE CLASSIFICATION</v>
      </c>
      <c r="B546" s="100" t="s">
        <v>189</v>
      </c>
      <c r="C546" s="117"/>
      <c r="D546" s="301" t="s">
        <v>188</v>
      </c>
      <c r="E546" s="301"/>
      <c r="F546" s="193"/>
      <c r="G546" s="194"/>
      <c r="H546" s="188">
        <f>SUM(H543,H544)</f>
        <v>181.59579120000001</v>
      </c>
      <c r="I546" s="195"/>
      <c r="J546" s="195"/>
      <c r="K546" s="188">
        <f>SUM(K543,K544)</f>
        <v>181.59579120000001</v>
      </c>
      <c r="L546" s="196">
        <f>K546-H546</f>
        <v>0</v>
      </c>
      <c r="M546" s="197">
        <f>IF((H546)=0,"",(L546/H546))</f>
        <v>0</v>
      </c>
    </row>
    <row r="547" spans="1:13" ht="15.75" hidden="1" thickBot="1" x14ac:dyDescent="0.3">
      <c r="A547" s="100" t="str">
        <f t="shared" si="81"/>
        <v>RESIDENTIAL SERVICE CLASSIFICATION</v>
      </c>
      <c r="B547" s="100" t="s">
        <v>180</v>
      </c>
      <c r="C547" s="117"/>
      <c r="D547" s="165"/>
      <c r="E547" s="166"/>
      <c r="F547" s="198"/>
      <c r="G547" s="199"/>
      <c r="H547" s="200"/>
      <c r="I547" s="198"/>
      <c r="J547" s="168"/>
      <c r="K547" s="200"/>
      <c r="L547" s="201"/>
      <c r="M547" s="172"/>
    </row>
    <row r="548" spans="1:13" hidden="1" x14ac:dyDescent="0.25">
      <c r="A548" s="100" t="str">
        <f t="shared" si="81"/>
        <v>RESIDENTIAL SERVICE CLASSIFICATION</v>
      </c>
      <c r="B548" s="100" t="s">
        <v>121</v>
      </c>
      <c r="C548" s="117"/>
      <c r="D548" s="173" t="s">
        <v>190</v>
      </c>
      <c r="E548" s="158"/>
      <c r="F548" s="174"/>
      <c r="G548" s="175"/>
      <c r="H548" s="176">
        <f>SUM(H536,H528:H531,H527)</f>
        <v>160.70424</v>
      </c>
      <c r="I548" s="177"/>
      <c r="J548" s="177"/>
      <c r="K548" s="176">
        <f>SUM(K536,K528:K531,K527)</f>
        <v>160.70424</v>
      </c>
      <c r="L548" s="178">
        <f>K548-H548</f>
        <v>0</v>
      </c>
      <c r="M548" s="179">
        <f>IF((H548)=0,"",(L548/H548))</f>
        <v>0</v>
      </c>
    </row>
    <row r="549" spans="1:13" hidden="1" x14ac:dyDescent="0.25">
      <c r="A549" s="100" t="str">
        <f t="shared" si="81"/>
        <v>RESIDENTIAL SERVICE CLASSIFICATION</v>
      </c>
      <c r="B549" s="100" t="s">
        <v>121</v>
      </c>
      <c r="C549" s="117"/>
      <c r="D549" s="180" t="s">
        <v>184</v>
      </c>
      <c r="E549" s="158"/>
      <c r="F549" s="174">
        <v>0.13</v>
      </c>
      <c r="G549" s="175"/>
      <c r="H549" s="182">
        <f>H548*F549</f>
        <v>20.891551200000002</v>
      </c>
      <c r="I549" s="174">
        <v>0.13</v>
      </c>
      <c r="J549" s="183"/>
      <c r="K549" s="182">
        <f>K548*I549</f>
        <v>20.891551200000002</v>
      </c>
      <c r="L549" s="184">
        <f>K549-H549</f>
        <v>0</v>
      </c>
      <c r="M549" s="185">
        <f>IF((H549)=0,"",(L549/H549))</f>
        <v>0</v>
      </c>
    </row>
    <row r="550" spans="1:13" hidden="1" x14ac:dyDescent="0.25">
      <c r="A550" s="100" t="str">
        <f t="shared" si="81"/>
        <v>RESIDENTIAL SERVICE CLASSIFICATION</v>
      </c>
      <c r="B550" s="100" t="s">
        <v>121</v>
      </c>
      <c r="C550" s="117"/>
      <c r="D550" s="180" t="s">
        <v>185</v>
      </c>
      <c r="E550" s="158"/>
      <c r="F550" s="174">
        <v>0.08</v>
      </c>
      <c r="G550" s="175"/>
      <c r="H550" s="182"/>
      <c r="I550" s="174">
        <v>0.08</v>
      </c>
      <c r="J550" s="183"/>
      <c r="K550" s="182"/>
      <c r="L550" s="184"/>
      <c r="M550" s="185"/>
    </row>
    <row r="551" spans="1:13" hidden="1" x14ac:dyDescent="0.25">
      <c r="A551" s="100" t="str">
        <f t="shared" si="81"/>
        <v>RESIDENTIAL SERVICE CLASSIFICATION</v>
      </c>
      <c r="B551" s="100" t="s">
        <v>191</v>
      </c>
      <c r="C551" s="117"/>
      <c r="D551" s="301" t="s">
        <v>190</v>
      </c>
      <c r="E551" s="301"/>
      <c r="F551" s="193"/>
      <c r="G551" s="194"/>
      <c r="H551" s="188">
        <f>SUM(H548,H549)</f>
        <v>181.59579120000001</v>
      </c>
      <c r="I551" s="195"/>
      <c r="J551" s="195"/>
      <c r="K551" s="188">
        <f>SUM(K548,K549)</f>
        <v>181.59579120000001</v>
      </c>
      <c r="L551" s="196">
        <f>K551-H551</f>
        <v>0</v>
      </c>
      <c r="M551" s="197">
        <f>IF((H551)=0,"",(L551/H551))</f>
        <v>0</v>
      </c>
    </row>
    <row r="552" spans="1:13" ht="15.75" hidden="1" thickBot="1" x14ac:dyDescent="0.3">
      <c r="A552" s="100" t="str">
        <f t="shared" si="81"/>
        <v>RESIDENTIAL SERVICE CLASSIFICATION</v>
      </c>
      <c r="B552" s="100" t="s">
        <v>121</v>
      </c>
      <c r="C552" s="117"/>
      <c r="D552" s="165"/>
      <c r="E552" s="166"/>
      <c r="F552" s="202"/>
      <c r="G552" s="203"/>
      <c r="H552" s="204"/>
      <c r="I552" s="202"/>
      <c r="J552" s="205"/>
      <c r="K552" s="204"/>
      <c r="L552" s="206"/>
      <c r="M552" s="207"/>
    </row>
    <row r="555" spans="1:13" x14ac:dyDescent="0.25">
      <c r="C555" s="100"/>
      <c r="D555" s="101" t="s">
        <v>134</v>
      </c>
      <c r="E555" s="302" t="str">
        <f>D12</f>
        <v>RESIDENTIAL SERVICE CLASSIFICATION</v>
      </c>
      <c r="F555" s="302"/>
      <c r="G555" s="302"/>
      <c r="H555" s="302"/>
      <c r="I555" s="302"/>
      <c r="J555" s="302"/>
      <c r="K555" s="100" t="str">
        <f>IF(N12="DEMAND - INTERVAL","RTSR - INTERVAL METERED","")</f>
        <v/>
      </c>
    </row>
    <row r="556" spans="1:13" x14ac:dyDescent="0.25">
      <c r="C556" s="100"/>
      <c r="D556" s="101" t="s">
        <v>135</v>
      </c>
      <c r="E556" s="303" t="str">
        <f>H12</f>
        <v>RPP</v>
      </c>
      <c r="F556" s="303"/>
      <c r="G556" s="303"/>
      <c r="H556" s="102"/>
      <c r="I556" s="102"/>
    </row>
    <row r="557" spans="1:13" ht="15.75" x14ac:dyDescent="0.25">
      <c r="C557" s="100"/>
      <c r="D557" s="101" t="s">
        <v>136</v>
      </c>
      <c r="E557" s="103">
        <f>K12</f>
        <v>2500</v>
      </c>
      <c r="F557" s="104" t="s">
        <v>137</v>
      </c>
      <c r="G557" s="105"/>
      <c r="J557" s="106"/>
      <c r="K557" s="106"/>
      <c r="L557" s="106"/>
      <c r="M557" s="106"/>
    </row>
    <row r="558" spans="1:13" ht="15.75" x14ac:dyDescent="0.25">
      <c r="C558" s="100"/>
      <c r="D558" s="101" t="s">
        <v>138</v>
      </c>
      <c r="E558" s="103">
        <f>L12</f>
        <v>0</v>
      </c>
      <c r="F558" s="107" t="s">
        <v>139</v>
      </c>
      <c r="G558" s="108"/>
      <c r="H558" s="109"/>
      <c r="I558" s="109"/>
      <c r="J558" s="109"/>
    </row>
    <row r="559" spans="1:13" x14ac:dyDescent="0.25">
      <c r="C559" s="100"/>
      <c r="D559" s="101" t="s">
        <v>140</v>
      </c>
      <c r="E559" s="110">
        <f>I12</f>
        <v>1.056</v>
      </c>
    </row>
    <row r="560" spans="1:13" x14ac:dyDescent="0.25">
      <c r="C560" s="100"/>
      <c r="D560" s="101" t="s">
        <v>141</v>
      </c>
      <c r="E560" s="110">
        <f>J12</f>
        <v>1.056</v>
      </c>
    </row>
    <row r="561" spans="1:13" x14ac:dyDescent="0.25">
      <c r="C561" s="100"/>
      <c r="D561" s="105"/>
    </row>
    <row r="562" spans="1:13" x14ac:dyDescent="0.25">
      <c r="C562" s="100"/>
      <c r="D562" s="105"/>
      <c r="E562" s="111"/>
      <c r="F562" s="304" t="s">
        <v>142</v>
      </c>
      <c r="G562" s="305"/>
      <c r="H562" s="306"/>
      <c r="I562" s="304" t="s">
        <v>143</v>
      </c>
      <c r="J562" s="305"/>
      <c r="K562" s="306"/>
      <c r="L562" s="304" t="s">
        <v>144</v>
      </c>
      <c r="M562" s="306"/>
    </row>
    <row r="563" spans="1:13" x14ac:dyDescent="0.25">
      <c r="C563" s="100"/>
      <c r="D563" s="105"/>
      <c r="E563" s="295"/>
      <c r="F563" s="112" t="s">
        <v>145</v>
      </c>
      <c r="G563" s="112" t="s">
        <v>146</v>
      </c>
      <c r="H563" s="113" t="s">
        <v>147</v>
      </c>
      <c r="I563" s="112" t="s">
        <v>145</v>
      </c>
      <c r="J563" s="114" t="s">
        <v>146</v>
      </c>
      <c r="K563" s="113" t="s">
        <v>147</v>
      </c>
      <c r="L563" s="297" t="s">
        <v>148</v>
      </c>
      <c r="M563" s="299" t="s">
        <v>149</v>
      </c>
    </row>
    <row r="564" spans="1:13" x14ac:dyDescent="0.25">
      <c r="C564" s="100"/>
      <c r="D564" s="105"/>
      <c r="E564" s="296"/>
      <c r="F564" s="115" t="s">
        <v>150</v>
      </c>
      <c r="G564" s="115"/>
      <c r="H564" s="116" t="s">
        <v>150</v>
      </c>
      <c r="I564" s="115" t="s">
        <v>150</v>
      </c>
      <c r="J564" s="116"/>
      <c r="K564" s="116" t="s">
        <v>150</v>
      </c>
      <c r="L564" s="298"/>
      <c r="M564" s="300"/>
    </row>
    <row r="565" spans="1:13" x14ac:dyDescent="0.25">
      <c r="A565" s="100" t="str">
        <f>$E555</f>
        <v>RESIDENTIAL SERVICE CLASSIFICATION</v>
      </c>
      <c r="C565" s="117"/>
      <c r="D565" s="118" t="s">
        <v>151</v>
      </c>
      <c r="E565" s="119"/>
      <c r="F565" s="120">
        <v>23.48</v>
      </c>
      <c r="G565" s="121">
        <v>1</v>
      </c>
      <c r="H565" s="122">
        <f>G565*F565</f>
        <v>23.48</v>
      </c>
      <c r="I565" s="123">
        <v>26.72</v>
      </c>
      <c r="J565" s="124">
        <f>G565</f>
        <v>1</v>
      </c>
      <c r="K565" s="122">
        <f t="shared" ref="K565:K570" si="87">H565</f>
        <v>23.48</v>
      </c>
      <c r="L565" s="125">
        <f t="shared" ref="L565:L586" si="88">K565-H565</f>
        <v>0</v>
      </c>
      <c r="M565" s="126">
        <f>IF(ISERROR(L565/H565), "", L565/H565)</f>
        <v>0</v>
      </c>
    </row>
    <row r="566" spans="1:13" x14ac:dyDescent="0.25">
      <c r="A566" s="100" t="str">
        <f>A565</f>
        <v>RESIDENTIAL SERVICE CLASSIFICATION</v>
      </c>
      <c r="C566" s="117"/>
      <c r="D566" s="118" t="s">
        <v>152</v>
      </c>
      <c r="E566" s="119"/>
      <c r="F566" s="127">
        <v>3.3999999999999998E-3</v>
      </c>
      <c r="G566" s="121">
        <f>IF($E558&gt;0, $E558, $E557)</f>
        <v>2500</v>
      </c>
      <c r="H566" s="122">
        <f t="shared" ref="H566:H578" si="89">G566*F566</f>
        <v>8.5</v>
      </c>
      <c r="I566" s="128">
        <v>0</v>
      </c>
      <c r="J566" s="124">
        <f>IF($E558&gt;0, $E558, $E557)</f>
        <v>2500</v>
      </c>
      <c r="K566" s="122">
        <f t="shared" si="87"/>
        <v>8.5</v>
      </c>
      <c r="L566" s="125">
        <f t="shared" si="88"/>
        <v>0</v>
      </c>
      <c r="M566" s="126">
        <f t="shared" ref="M566:M576" si="90">IF(ISERROR(L566/H566), "", L566/H566)</f>
        <v>0</v>
      </c>
    </row>
    <row r="567" spans="1:13" x14ac:dyDescent="0.25">
      <c r="A567" s="100" t="str">
        <f t="shared" ref="A567:A608" si="91">A566</f>
        <v>RESIDENTIAL SERVICE CLASSIFICATION</v>
      </c>
      <c r="C567" s="117"/>
      <c r="D567" s="118" t="s">
        <v>153</v>
      </c>
      <c r="E567" s="119"/>
      <c r="F567" s="127"/>
      <c r="G567" s="121">
        <f>IF($E558&gt;0, $E558, $E557)</f>
        <v>2500</v>
      </c>
      <c r="H567" s="122">
        <v>0</v>
      </c>
      <c r="I567" s="128"/>
      <c r="J567" s="124">
        <f>IF($E558&gt;0, $E558, $E557)</f>
        <v>2500</v>
      </c>
      <c r="K567" s="122">
        <f t="shared" si="87"/>
        <v>0</v>
      </c>
      <c r="L567" s="125"/>
      <c r="M567" s="126"/>
    </row>
    <row r="568" spans="1:13" x14ac:dyDescent="0.25">
      <c r="A568" s="100" t="str">
        <f t="shared" si="91"/>
        <v>RESIDENTIAL SERVICE CLASSIFICATION</v>
      </c>
      <c r="C568" s="117"/>
      <c r="D568" s="118" t="s">
        <v>154</v>
      </c>
      <c r="E568" s="119"/>
      <c r="F568" s="127"/>
      <c r="G568" s="121">
        <f>IF($E558&gt;0, $E558, $E557)</f>
        <v>2500</v>
      </c>
      <c r="H568" s="122">
        <v>0</v>
      </c>
      <c r="I568" s="128"/>
      <c r="J568" s="121">
        <f>IF($E558&gt;0, $E558, $E557)</f>
        <v>2500</v>
      </c>
      <c r="K568" s="122">
        <f t="shared" si="87"/>
        <v>0</v>
      </c>
      <c r="L568" s="125">
        <f>K568-H568</f>
        <v>0</v>
      </c>
      <c r="M568" s="126" t="str">
        <f>IF(ISERROR(L568/H568), "", L568/H568)</f>
        <v/>
      </c>
    </row>
    <row r="569" spans="1:13" x14ac:dyDescent="0.25">
      <c r="A569" s="100" t="str">
        <f t="shared" si="91"/>
        <v>RESIDENTIAL SERVICE CLASSIFICATION</v>
      </c>
      <c r="C569" s="117"/>
      <c r="D569" s="129" t="s">
        <v>155</v>
      </c>
      <c r="E569" s="119"/>
      <c r="F569" s="120">
        <v>0</v>
      </c>
      <c r="G569" s="121">
        <v>1</v>
      </c>
      <c r="H569" s="122">
        <f t="shared" si="89"/>
        <v>0</v>
      </c>
      <c r="I569" s="123">
        <v>0</v>
      </c>
      <c r="J569" s="124">
        <f>G569</f>
        <v>1</v>
      </c>
      <c r="K569" s="122">
        <f t="shared" si="87"/>
        <v>0</v>
      </c>
      <c r="L569" s="125">
        <f t="shared" si="88"/>
        <v>0</v>
      </c>
      <c r="M569" s="126" t="str">
        <f t="shared" si="90"/>
        <v/>
      </c>
    </row>
    <row r="570" spans="1:13" x14ac:dyDescent="0.25">
      <c r="A570" s="100" t="str">
        <f t="shared" si="91"/>
        <v>RESIDENTIAL SERVICE CLASSIFICATION</v>
      </c>
      <c r="C570" s="117"/>
      <c r="D570" s="118" t="s">
        <v>156</v>
      </c>
      <c r="E570" s="119"/>
      <c r="F570" s="127">
        <v>0</v>
      </c>
      <c r="G570" s="121">
        <f>IF($E558&gt;0, $E558, $E557)</f>
        <v>2500</v>
      </c>
      <c r="H570" s="122">
        <f t="shared" si="89"/>
        <v>0</v>
      </c>
      <c r="I570" s="128">
        <v>0</v>
      </c>
      <c r="J570" s="124">
        <f>IF($E558&gt;0, $E558, $E557)</f>
        <v>2500</v>
      </c>
      <c r="K570" s="122">
        <f t="shared" si="87"/>
        <v>0</v>
      </c>
      <c r="L570" s="125">
        <f t="shared" si="88"/>
        <v>0</v>
      </c>
      <c r="M570" s="126" t="str">
        <f t="shared" si="90"/>
        <v/>
      </c>
    </row>
    <row r="571" spans="1:13" x14ac:dyDescent="0.25">
      <c r="A571" s="100" t="str">
        <f t="shared" si="91"/>
        <v>RESIDENTIAL SERVICE CLASSIFICATION</v>
      </c>
      <c r="B571" s="130" t="s">
        <v>157</v>
      </c>
      <c r="C571" s="117">
        <f>B12</f>
        <v>10</v>
      </c>
      <c r="D571" s="131" t="s">
        <v>158</v>
      </c>
      <c r="E571" s="132"/>
      <c r="F571" s="133"/>
      <c r="G571" s="134"/>
      <c r="H571" s="135">
        <f>SUM(H565:H570)</f>
        <v>31.98</v>
      </c>
      <c r="I571" s="136"/>
      <c r="J571" s="137"/>
      <c r="K571" s="135">
        <f>SUM(K565:K570)</f>
        <v>31.98</v>
      </c>
      <c r="L571" s="138">
        <f t="shared" si="88"/>
        <v>0</v>
      </c>
      <c r="M571" s="139">
        <f>IF((H571)=0,"",(L571/H571))</f>
        <v>0</v>
      </c>
    </row>
    <row r="572" spans="1:13" x14ac:dyDescent="0.25">
      <c r="A572" s="100" t="str">
        <f t="shared" si="91"/>
        <v>RESIDENTIAL SERVICE CLASSIFICATION</v>
      </c>
      <c r="C572" s="117"/>
      <c r="D572" s="140" t="s">
        <v>159</v>
      </c>
      <c r="E572" s="119"/>
      <c r="F572" s="127">
        <f>IF((E557*12&gt;=150000), 0, IF(E556="RPP",(F588*0.65+F589*0.17+F590*0.18),IF(E556="Non-RPP (Retailer)",F591,F592)))</f>
        <v>8.1990000000000007E-2</v>
      </c>
      <c r="G572" s="141">
        <f>IF(F572=0, 0, $E557*E559-E557)</f>
        <v>140</v>
      </c>
      <c r="H572" s="122">
        <f>G572*F572</f>
        <v>11.4786</v>
      </c>
      <c r="I572" s="128">
        <f>IF((E557*12&gt;=150000), 0, IF(E556="RPP",(I588*0.65+I589*0.17+I590*0.18),IF(E556="Non-RPP (Retailer)",I591,I592)))</f>
        <v>8.1990000000000007E-2</v>
      </c>
      <c r="J572" s="141">
        <f>IF(I572=0, 0, E557*E560-E557)</f>
        <v>140</v>
      </c>
      <c r="K572" s="122">
        <f t="shared" ref="K572:K579" si="92">H572</f>
        <v>11.4786</v>
      </c>
      <c r="L572" s="125">
        <f>K572-H572</f>
        <v>0</v>
      </c>
      <c r="M572" s="126">
        <f>IF(ISERROR(L572/H572), "", L572/H572)</f>
        <v>0</v>
      </c>
    </row>
    <row r="573" spans="1:13" ht="25.5" x14ac:dyDescent="0.25">
      <c r="A573" s="100" t="str">
        <f t="shared" si="91"/>
        <v>RESIDENTIAL SERVICE CLASSIFICATION</v>
      </c>
      <c r="C573" s="117"/>
      <c r="D573" s="140" t="s">
        <v>160</v>
      </c>
      <c r="E573" s="119"/>
      <c r="F573" s="127">
        <v>-1.4E-3</v>
      </c>
      <c r="G573" s="142">
        <f>IF($E558&gt;0, $E558, $E557)</f>
        <v>2500</v>
      </c>
      <c r="H573" s="122">
        <f t="shared" si="89"/>
        <v>-3.5</v>
      </c>
      <c r="I573" s="128">
        <v>-5.3E-3</v>
      </c>
      <c r="J573" s="142">
        <f>IF($E558&gt;0, $E558, $E557)</f>
        <v>2500</v>
      </c>
      <c r="K573" s="122">
        <f t="shared" si="92"/>
        <v>-3.5</v>
      </c>
      <c r="L573" s="125">
        <f t="shared" si="88"/>
        <v>0</v>
      </c>
      <c r="M573" s="126">
        <f t="shared" si="90"/>
        <v>0</v>
      </c>
    </row>
    <row r="574" spans="1:13" x14ac:dyDescent="0.25">
      <c r="A574" s="100" t="str">
        <f t="shared" si="91"/>
        <v>RESIDENTIAL SERVICE CLASSIFICATION</v>
      </c>
      <c r="C574" s="117"/>
      <c r="D574" s="140" t="s">
        <v>161</v>
      </c>
      <c r="E574" s="119"/>
      <c r="F574" s="127">
        <v>-1E-4</v>
      </c>
      <c r="G574" s="142">
        <f>IF($E558&gt;0, $E558, $E557)</f>
        <v>2500</v>
      </c>
      <c r="H574" s="122">
        <f>G574*F574</f>
        <v>-0.25</v>
      </c>
      <c r="I574" s="128">
        <v>0</v>
      </c>
      <c r="J574" s="142">
        <f>IF($E558&gt;0, $E558, $E557)</f>
        <v>2500</v>
      </c>
      <c r="K574" s="122">
        <f t="shared" si="92"/>
        <v>-0.25</v>
      </c>
      <c r="L574" s="125">
        <f t="shared" si="88"/>
        <v>0</v>
      </c>
      <c r="M574" s="126">
        <f t="shared" si="90"/>
        <v>0</v>
      </c>
    </row>
    <row r="575" spans="1:13" x14ac:dyDescent="0.25">
      <c r="A575" s="100" t="str">
        <f t="shared" si="91"/>
        <v>RESIDENTIAL SERVICE CLASSIFICATION</v>
      </c>
      <c r="C575" s="117"/>
      <c r="D575" s="140" t="s">
        <v>162</v>
      </c>
      <c r="E575" s="119"/>
      <c r="F575" s="127">
        <v>0</v>
      </c>
      <c r="G575" s="142">
        <f>E557</f>
        <v>2500</v>
      </c>
      <c r="H575" s="122">
        <f>G575*F575</f>
        <v>0</v>
      </c>
      <c r="I575" s="128">
        <v>0</v>
      </c>
      <c r="J575" s="142">
        <f>E557</f>
        <v>2500</v>
      </c>
      <c r="K575" s="122">
        <f t="shared" si="92"/>
        <v>0</v>
      </c>
      <c r="L575" s="125">
        <f t="shared" si="88"/>
        <v>0</v>
      </c>
      <c r="M575" s="126" t="str">
        <f t="shared" si="90"/>
        <v/>
      </c>
    </row>
    <row r="576" spans="1:13" x14ac:dyDescent="0.25">
      <c r="A576" s="100" t="str">
        <f t="shared" si="91"/>
        <v>RESIDENTIAL SERVICE CLASSIFICATION</v>
      </c>
      <c r="C576" s="117"/>
      <c r="D576" s="143" t="s">
        <v>163</v>
      </c>
      <c r="E576" s="119"/>
      <c r="F576" s="127">
        <v>2.5999999999999999E-3</v>
      </c>
      <c r="G576" s="142">
        <f>IF($E558&gt;0, $E558, $E557)</f>
        <v>2500</v>
      </c>
      <c r="H576" s="122">
        <f t="shared" si="89"/>
        <v>6.5</v>
      </c>
      <c r="I576" s="128">
        <v>2.5999999999999999E-3</v>
      </c>
      <c r="J576" s="142">
        <f>IF($E558&gt;0, $E558, $E557)</f>
        <v>2500</v>
      </c>
      <c r="K576" s="122">
        <f t="shared" si="92"/>
        <v>6.5</v>
      </c>
      <c r="L576" s="125">
        <f t="shared" si="88"/>
        <v>0</v>
      </c>
      <c r="M576" s="126">
        <f t="shared" si="90"/>
        <v>0</v>
      </c>
    </row>
    <row r="577" spans="1:13" ht="25.5" x14ac:dyDescent="0.25">
      <c r="A577" s="100" t="str">
        <f t="shared" si="91"/>
        <v>RESIDENTIAL SERVICE CLASSIFICATION</v>
      </c>
      <c r="C577" s="117"/>
      <c r="D577" s="144" t="s">
        <v>164</v>
      </c>
      <c r="E577" s="119"/>
      <c r="F577" s="145">
        <f>IF(OR(ISNUMBER(SEARCH("RESIDENTIAL", E555))=TRUE, ISNUMBER(SEARCH("GENERAL SERVICE LESS THAN 50", E555))=TRUE), SME, 0)</f>
        <v>0.56999999999999995</v>
      </c>
      <c r="G577" s="121">
        <v>1</v>
      </c>
      <c r="H577" s="122">
        <f>G577*F577</f>
        <v>0.56999999999999995</v>
      </c>
      <c r="I577" s="146">
        <f>IF(OR(ISNUMBER(SEARCH("RESIDENTIAL", E555))=TRUE, ISNUMBER(SEARCH("GENERAL SERVICE LESS THAN 50", E555))=TRUE), SME, 0)</f>
        <v>0.56999999999999995</v>
      </c>
      <c r="J577" s="121">
        <v>1</v>
      </c>
      <c r="K577" s="122">
        <f t="shared" si="92"/>
        <v>0.56999999999999995</v>
      </c>
      <c r="L577" s="125">
        <f t="shared" si="88"/>
        <v>0</v>
      </c>
      <c r="M577" s="126">
        <f>IF(ISERROR(L577/H577), "", L577/H577)</f>
        <v>0</v>
      </c>
    </row>
    <row r="578" spans="1:13" x14ac:dyDescent="0.25">
      <c r="A578" s="100" t="str">
        <f t="shared" si="91"/>
        <v>RESIDENTIAL SERVICE CLASSIFICATION</v>
      </c>
      <c r="C578" s="117"/>
      <c r="D578" s="143" t="s">
        <v>165</v>
      </c>
      <c r="E578" s="119"/>
      <c r="F578" s="120">
        <v>0</v>
      </c>
      <c r="G578" s="121">
        <v>1</v>
      </c>
      <c r="H578" s="122">
        <f t="shared" si="89"/>
        <v>0</v>
      </c>
      <c r="I578" s="123">
        <v>0</v>
      </c>
      <c r="J578" s="121">
        <v>1</v>
      </c>
      <c r="K578" s="122">
        <f t="shared" si="92"/>
        <v>0</v>
      </c>
      <c r="L578" s="125">
        <f>K578-H578</f>
        <v>0</v>
      </c>
      <c r="M578" s="126" t="str">
        <f>IF(ISERROR(L578/H578), "", L578/H578)</f>
        <v/>
      </c>
    </row>
    <row r="579" spans="1:13" x14ac:dyDescent="0.25">
      <c r="A579" s="100" t="str">
        <f t="shared" si="91"/>
        <v>RESIDENTIAL SERVICE CLASSIFICATION</v>
      </c>
      <c r="C579" s="117"/>
      <c r="D579" s="143" t="s">
        <v>166</v>
      </c>
      <c r="E579" s="119"/>
      <c r="F579" s="127"/>
      <c r="G579" s="142">
        <f>IF($E558&gt;0, $E558, $E557)</f>
        <v>2500</v>
      </c>
      <c r="H579" s="122">
        <f>G579*F579</f>
        <v>0</v>
      </c>
      <c r="I579" s="128">
        <v>0</v>
      </c>
      <c r="J579" s="142">
        <f>IF($E558&gt;0, $E558, $E557)</f>
        <v>2500</v>
      </c>
      <c r="K579" s="122">
        <f t="shared" si="92"/>
        <v>0</v>
      </c>
      <c r="L579" s="125">
        <f t="shared" si="88"/>
        <v>0</v>
      </c>
      <c r="M579" s="126" t="str">
        <f>IF(ISERROR(L579/H579), "", L579/H579)</f>
        <v/>
      </c>
    </row>
    <row r="580" spans="1:13" ht="25.5" x14ac:dyDescent="0.25">
      <c r="A580" s="100" t="str">
        <f t="shared" si="91"/>
        <v>RESIDENTIAL SERVICE CLASSIFICATION</v>
      </c>
      <c r="B580" s="105" t="s">
        <v>167</v>
      </c>
      <c r="C580" s="117">
        <f>B12</f>
        <v>10</v>
      </c>
      <c r="D580" s="147" t="s">
        <v>168</v>
      </c>
      <c r="E580" s="148"/>
      <c r="F580" s="149"/>
      <c r="G580" s="150"/>
      <c r="H580" s="151">
        <f>SUM(H571:H579)</f>
        <v>46.778600000000004</v>
      </c>
      <c r="I580" s="152"/>
      <c r="J580" s="153"/>
      <c r="K580" s="151">
        <f>SUM(K571:K579)</f>
        <v>46.778600000000004</v>
      </c>
      <c r="L580" s="138">
        <f t="shared" si="88"/>
        <v>0</v>
      </c>
      <c r="M580" s="139">
        <f>IF((H580)=0,"",(L580/H580))</f>
        <v>0</v>
      </c>
    </row>
    <row r="581" spans="1:13" x14ac:dyDescent="0.25">
      <c r="A581" s="100" t="str">
        <f t="shared" si="91"/>
        <v>RESIDENTIAL SERVICE CLASSIFICATION</v>
      </c>
      <c r="C581" s="117"/>
      <c r="D581" s="154" t="s">
        <v>169</v>
      </c>
      <c r="E581" s="119"/>
      <c r="F581" s="127">
        <v>6.7999999999999996E-3</v>
      </c>
      <c r="G581" s="141">
        <f>IF($E558&gt;0, $E558, $E557*$E559)</f>
        <v>2640</v>
      </c>
      <c r="H581" s="122">
        <f>G581*F581</f>
        <v>17.951999999999998</v>
      </c>
      <c r="I581" s="128">
        <v>6.4999999999999997E-3</v>
      </c>
      <c r="J581" s="141">
        <f>IF($E558&gt;0, $E558, $E557*$E560)</f>
        <v>2640</v>
      </c>
      <c r="K581" s="122">
        <f t="shared" ref="K581:K582" si="93">H581</f>
        <v>17.951999999999998</v>
      </c>
      <c r="L581" s="125">
        <f t="shared" si="88"/>
        <v>0</v>
      </c>
      <c r="M581" s="126">
        <f>IF(ISERROR(L581/H581), "", L581/H581)</f>
        <v>0</v>
      </c>
    </row>
    <row r="582" spans="1:13" ht="25.5" x14ac:dyDescent="0.25">
      <c r="A582" s="100" t="str">
        <f t="shared" si="91"/>
        <v>RESIDENTIAL SERVICE CLASSIFICATION</v>
      </c>
      <c r="C582" s="117"/>
      <c r="D582" s="155" t="s">
        <v>170</v>
      </c>
      <c r="E582" s="119"/>
      <c r="F582" s="127">
        <v>5.5999999999999999E-3</v>
      </c>
      <c r="G582" s="141">
        <f>IF($E558&gt;0, $E558, $E557*$E559)</f>
        <v>2640</v>
      </c>
      <c r="H582" s="122">
        <f>G582*F582</f>
        <v>14.784000000000001</v>
      </c>
      <c r="I582" s="128">
        <v>5.3E-3</v>
      </c>
      <c r="J582" s="141">
        <f>IF($E558&gt;0, $E558, $E557*$E560)</f>
        <v>2640</v>
      </c>
      <c r="K582" s="122">
        <f t="shared" si="93"/>
        <v>14.784000000000001</v>
      </c>
      <c r="L582" s="125">
        <f t="shared" si="88"/>
        <v>0</v>
      </c>
      <c r="M582" s="126">
        <f>IF(ISERROR(L582/H582), "", L582/H582)</f>
        <v>0</v>
      </c>
    </row>
    <row r="583" spans="1:13" ht="25.5" x14ac:dyDescent="0.25">
      <c r="A583" s="100" t="str">
        <f t="shared" si="91"/>
        <v>RESIDENTIAL SERVICE CLASSIFICATION</v>
      </c>
      <c r="B583" s="105" t="s">
        <v>171</v>
      </c>
      <c r="C583" s="117">
        <f>B12</f>
        <v>10</v>
      </c>
      <c r="D583" s="147" t="s">
        <v>172</v>
      </c>
      <c r="E583" s="132"/>
      <c r="F583" s="149"/>
      <c r="G583" s="150"/>
      <c r="H583" s="151">
        <f>SUM(H580:H582)</f>
        <v>79.514600000000016</v>
      </c>
      <c r="I583" s="152"/>
      <c r="J583" s="137"/>
      <c r="K583" s="151">
        <f>SUM(K580:K582)</f>
        <v>79.514600000000016</v>
      </c>
      <c r="L583" s="138">
        <f t="shared" si="88"/>
        <v>0</v>
      </c>
      <c r="M583" s="139">
        <f>IF((H583)=0,"",(L583/H583))</f>
        <v>0</v>
      </c>
    </row>
    <row r="584" spans="1:13" ht="25.5" x14ac:dyDescent="0.25">
      <c r="A584" s="100" t="str">
        <f t="shared" si="91"/>
        <v>RESIDENTIAL SERVICE CLASSIFICATION</v>
      </c>
      <c r="C584" s="117"/>
      <c r="D584" s="156" t="s">
        <v>173</v>
      </c>
      <c r="E584" s="119"/>
      <c r="F584" s="127">
        <v>3.6000000000000003E-3</v>
      </c>
      <c r="G584" s="141">
        <f>E557*E559</f>
        <v>2640</v>
      </c>
      <c r="H584" s="157">
        <f t="shared" ref="H584:H590" si="94">G584*F584</f>
        <v>9.5040000000000013</v>
      </c>
      <c r="I584" s="128">
        <v>3.6000000000000003E-3</v>
      </c>
      <c r="J584" s="141">
        <f>E557*E560</f>
        <v>2640</v>
      </c>
      <c r="K584" s="157">
        <f t="shared" ref="K584:K590" si="95">H584</f>
        <v>9.5040000000000013</v>
      </c>
      <c r="L584" s="125">
        <f t="shared" si="88"/>
        <v>0</v>
      </c>
      <c r="M584" s="126">
        <f t="shared" ref="M584:M592" si="96">IF(ISERROR(L584/H584), "", L584/H584)</f>
        <v>0</v>
      </c>
    </row>
    <row r="585" spans="1:13" ht="25.5" x14ac:dyDescent="0.25">
      <c r="A585" s="100" t="str">
        <f t="shared" si="91"/>
        <v>RESIDENTIAL SERVICE CLASSIFICATION</v>
      </c>
      <c r="C585" s="117"/>
      <c r="D585" s="156" t="s">
        <v>174</v>
      </c>
      <c r="E585" s="119"/>
      <c r="F585" s="127">
        <f>'[1]17. Regulatory Charges'!$D$16</f>
        <v>2.9999999999999997E-4</v>
      </c>
      <c r="G585" s="141">
        <f>E557*E559</f>
        <v>2640</v>
      </c>
      <c r="H585" s="157">
        <f t="shared" si="94"/>
        <v>0.79199999999999993</v>
      </c>
      <c r="I585" s="128">
        <v>2.9999999999999997E-4</v>
      </c>
      <c r="J585" s="141">
        <f>E557*E560</f>
        <v>2640</v>
      </c>
      <c r="K585" s="157">
        <f t="shared" si="95"/>
        <v>0.79199999999999993</v>
      </c>
      <c r="L585" s="125">
        <f t="shared" si="88"/>
        <v>0</v>
      </c>
      <c r="M585" s="126">
        <f t="shared" si="96"/>
        <v>0</v>
      </c>
    </row>
    <row r="586" spans="1:13" x14ac:dyDescent="0.25">
      <c r="A586" s="100" t="str">
        <f t="shared" si="91"/>
        <v>RESIDENTIAL SERVICE CLASSIFICATION</v>
      </c>
      <c r="C586" s="117"/>
      <c r="D586" s="158" t="s">
        <v>175</v>
      </c>
      <c r="E586" s="119"/>
      <c r="F586" s="145">
        <v>0.25</v>
      </c>
      <c r="G586" s="121">
        <v>1</v>
      </c>
      <c r="H586" s="157">
        <f t="shared" si="94"/>
        <v>0.25</v>
      </c>
      <c r="I586" s="146">
        <f>'[1]17. Regulatory Charges'!$D$17</f>
        <v>0.25</v>
      </c>
      <c r="J586" s="124">
        <v>1</v>
      </c>
      <c r="K586" s="157">
        <f t="shared" si="95"/>
        <v>0.25</v>
      </c>
      <c r="L586" s="125">
        <f t="shared" si="88"/>
        <v>0</v>
      </c>
      <c r="M586" s="126">
        <f t="shared" si="96"/>
        <v>0</v>
      </c>
    </row>
    <row r="587" spans="1:13" ht="25.5" x14ac:dyDescent="0.25">
      <c r="A587" s="100" t="str">
        <f t="shared" si="91"/>
        <v>RESIDENTIAL SERVICE CLASSIFICATION</v>
      </c>
      <c r="C587" s="117"/>
      <c r="D587" s="156" t="s">
        <v>176</v>
      </c>
      <c r="E587" s="119"/>
      <c r="F587" s="127"/>
      <c r="G587" s="141"/>
      <c r="H587" s="157"/>
      <c r="I587" s="128"/>
      <c r="J587" s="141"/>
      <c r="K587" s="157">
        <f t="shared" si="95"/>
        <v>0</v>
      </c>
      <c r="L587" s="125"/>
      <c r="M587" s="126"/>
    </row>
    <row r="588" spans="1:13" x14ac:dyDescent="0.25">
      <c r="A588" s="100" t="str">
        <f t="shared" si="91"/>
        <v>RESIDENTIAL SERVICE CLASSIFICATION</v>
      </c>
      <c r="B588" s="105" t="s">
        <v>117</v>
      </c>
      <c r="C588" s="117"/>
      <c r="D588" s="159" t="s">
        <v>177</v>
      </c>
      <c r="E588" s="119"/>
      <c r="F588" s="160">
        <f>OffPeak</f>
        <v>6.5000000000000002E-2</v>
      </c>
      <c r="G588" s="161">
        <f>IF(AND(E557*12&gt;=150000),0.65*E557*E559,0.65*E557)</f>
        <v>1625</v>
      </c>
      <c r="H588" s="157">
        <f t="shared" si="94"/>
        <v>105.625</v>
      </c>
      <c r="I588" s="162">
        <f>OffPeak</f>
        <v>6.5000000000000002E-2</v>
      </c>
      <c r="J588" s="161">
        <f>IF(AND(E557*12&gt;=150000),0.65*E557*E560,0.65*E557)</f>
        <v>1625</v>
      </c>
      <c r="K588" s="157">
        <f t="shared" si="95"/>
        <v>105.625</v>
      </c>
      <c r="L588" s="125">
        <f>K588-H588</f>
        <v>0</v>
      </c>
      <c r="M588" s="126">
        <f t="shared" si="96"/>
        <v>0</v>
      </c>
    </row>
    <row r="589" spans="1:13" x14ac:dyDescent="0.25">
      <c r="A589" s="100" t="str">
        <f t="shared" si="91"/>
        <v>RESIDENTIAL SERVICE CLASSIFICATION</v>
      </c>
      <c r="B589" s="105" t="s">
        <v>117</v>
      </c>
      <c r="C589" s="117"/>
      <c r="D589" s="159" t="s">
        <v>178</v>
      </c>
      <c r="E589" s="119"/>
      <c r="F589" s="160">
        <f>MidPeak</f>
        <v>9.4E-2</v>
      </c>
      <c r="G589" s="161">
        <f>IF(AND(E557*12&gt;=150000),0.17*E557*E559,0.17*E557)</f>
        <v>425.00000000000006</v>
      </c>
      <c r="H589" s="157">
        <f t="shared" si="94"/>
        <v>39.950000000000003</v>
      </c>
      <c r="I589" s="162">
        <f>MidPeak</f>
        <v>9.4E-2</v>
      </c>
      <c r="J589" s="161">
        <f>IF(AND(E557*12&gt;=150000),0.17*E557*E560,0.17*E557)</f>
        <v>425.00000000000006</v>
      </c>
      <c r="K589" s="157">
        <f t="shared" si="95"/>
        <v>39.950000000000003</v>
      </c>
      <c r="L589" s="125">
        <f>K589-H589</f>
        <v>0</v>
      </c>
      <c r="M589" s="126">
        <f t="shared" si="96"/>
        <v>0</v>
      </c>
    </row>
    <row r="590" spans="1:13" ht="15.75" thickBot="1" x14ac:dyDescent="0.3">
      <c r="A590" s="100" t="str">
        <f t="shared" si="91"/>
        <v>RESIDENTIAL SERVICE CLASSIFICATION</v>
      </c>
      <c r="B590" s="105" t="s">
        <v>117</v>
      </c>
      <c r="C590" s="117"/>
      <c r="D590" s="105" t="s">
        <v>179</v>
      </c>
      <c r="E590" s="119"/>
      <c r="F590" s="160">
        <f>OnPeak</f>
        <v>0.13200000000000001</v>
      </c>
      <c r="G590" s="161">
        <f>IF(AND(E557*12&gt;=150000),0.18*E557*E559,0.18*E557)</f>
        <v>450</v>
      </c>
      <c r="H590" s="157">
        <f t="shared" si="94"/>
        <v>59.400000000000006</v>
      </c>
      <c r="I590" s="162">
        <f>OnPeak</f>
        <v>0.13200000000000001</v>
      </c>
      <c r="J590" s="161">
        <f>IF(AND(E557*12&gt;=150000),0.18*E557*E560,0.18*E557)</f>
        <v>450</v>
      </c>
      <c r="K590" s="157">
        <f t="shared" si="95"/>
        <v>59.400000000000006</v>
      </c>
      <c r="L590" s="125">
        <f>K590-H590</f>
        <v>0</v>
      </c>
      <c r="M590" s="126">
        <f t="shared" si="96"/>
        <v>0</v>
      </c>
    </row>
    <row r="591" spans="1:13" ht="15.75" hidden="1" thickBot="1" x14ac:dyDescent="0.3">
      <c r="A591" s="100" t="str">
        <f t="shared" si="91"/>
        <v>RESIDENTIAL SERVICE CLASSIFICATION</v>
      </c>
      <c r="B591" s="100" t="s">
        <v>180</v>
      </c>
      <c r="C591" s="117"/>
      <c r="D591" s="159" t="s">
        <v>181</v>
      </c>
      <c r="E591" s="119"/>
      <c r="F591" s="163">
        <v>0.1101</v>
      </c>
      <c r="G591" s="161">
        <f>IF(AND(E557*12&gt;=150000),E557*E559,E557)</f>
        <v>2500</v>
      </c>
      <c r="H591" s="157">
        <f>G591*F591</f>
        <v>275.25</v>
      </c>
      <c r="I591" s="164">
        <f>F591</f>
        <v>0.1101</v>
      </c>
      <c r="J591" s="161">
        <f>IF(AND(E557*12&gt;=150000),E557*E560,E557)</f>
        <v>2500</v>
      </c>
      <c r="K591" s="157">
        <f>J591*I591</f>
        <v>275.25</v>
      </c>
      <c r="L591" s="125">
        <f>K591-H591</f>
        <v>0</v>
      </c>
      <c r="M591" s="126">
        <f t="shared" si="96"/>
        <v>0</v>
      </c>
    </row>
    <row r="592" spans="1:13" ht="15.75" hidden="1" thickBot="1" x14ac:dyDescent="0.3">
      <c r="A592" s="100" t="str">
        <f t="shared" si="91"/>
        <v>RESIDENTIAL SERVICE CLASSIFICATION</v>
      </c>
      <c r="B592" s="100" t="s">
        <v>121</v>
      </c>
      <c r="C592" s="117"/>
      <c r="D592" s="159" t="s">
        <v>182</v>
      </c>
      <c r="E592" s="119"/>
      <c r="F592" s="163">
        <v>0.1101</v>
      </c>
      <c r="G592" s="161">
        <f>IF(AND(E557*12&gt;=150000),E557*E559,E557)</f>
        <v>2500</v>
      </c>
      <c r="H592" s="157">
        <f>G592*F592</f>
        <v>275.25</v>
      </c>
      <c r="I592" s="164">
        <f>F592</f>
        <v>0.1101</v>
      </c>
      <c r="J592" s="161">
        <f>IF(AND(E557*12&gt;=150000),E557*E560,E557)</f>
        <v>2500</v>
      </c>
      <c r="K592" s="157">
        <f>J592*I592</f>
        <v>275.25</v>
      </c>
      <c r="L592" s="125">
        <f>K592-H592</f>
        <v>0</v>
      </c>
      <c r="M592" s="126">
        <f t="shared" si="96"/>
        <v>0</v>
      </c>
    </row>
    <row r="593" spans="1:13" ht="15.75" thickBot="1" x14ac:dyDescent="0.3">
      <c r="A593" s="100" t="str">
        <f t="shared" si="91"/>
        <v>RESIDENTIAL SERVICE CLASSIFICATION</v>
      </c>
      <c r="B593" s="105"/>
      <c r="C593" s="117"/>
      <c r="D593" s="165"/>
      <c r="E593" s="166"/>
      <c r="F593" s="167"/>
      <c r="G593" s="168"/>
      <c r="H593" s="169"/>
      <c r="I593" s="167"/>
      <c r="J593" s="170"/>
      <c r="K593" s="169"/>
      <c r="L593" s="171"/>
      <c r="M593" s="172"/>
    </row>
    <row r="594" spans="1:13" x14ac:dyDescent="0.25">
      <c r="A594" s="100" t="str">
        <f t="shared" si="91"/>
        <v>RESIDENTIAL SERVICE CLASSIFICATION</v>
      </c>
      <c r="B594" s="105" t="s">
        <v>117</v>
      </c>
      <c r="C594" s="117"/>
      <c r="D594" s="173" t="s">
        <v>183</v>
      </c>
      <c r="E594" s="158"/>
      <c r="F594" s="174"/>
      <c r="G594" s="175"/>
      <c r="H594" s="176">
        <f>SUM(H584:H590,H583)</f>
        <v>295.03560000000004</v>
      </c>
      <c r="I594" s="177"/>
      <c r="J594" s="177"/>
      <c r="K594" s="176">
        <f>SUM(K584:K590,K583)</f>
        <v>295.03560000000004</v>
      </c>
      <c r="L594" s="178">
        <f>K594-H594</f>
        <v>0</v>
      </c>
      <c r="M594" s="179">
        <f>IF((H594)=0,"",(L594/H594))</f>
        <v>0</v>
      </c>
    </row>
    <row r="595" spans="1:13" x14ac:dyDescent="0.25">
      <c r="A595" s="100" t="str">
        <f t="shared" si="91"/>
        <v>RESIDENTIAL SERVICE CLASSIFICATION</v>
      </c>
      <c r="B595" s="105" t="s">
        <v>117</v>
      </c>
      <c r="C595" s="117"/>
      <c r="D595" s="180" t="s">
        <v>184</v>
      </c>
      <c r="E595" s="158"/>
      <c r="F595" s="174">
        <v>0.13</v>
      </c>
      <c r="G595" s="181"/>
      <c r="H595" s="182">
        <f>H594*F595</f>
        <v>38.354628000000005</v>
      </c>
      <c r="I595" s="183">
        <v>0.13</v>
      </c>
      <c r="J595" s="121"/>
      <c r="K595" s="182">
        <f>K594*I595</f>
        <v>38.354628000000005</v>
      </c>
      <c r="L595" s="184">
        <f>K595-H595</f>
        <v>0</v>
      </c>
      <c r="M595" s="185">
        <f>IF((H595)=0,"",(L595/H595))</f>
        <v>0</v>
      </c>
    </row>
    <row r="596" spans="1:13" x14ac:dyDescent="0.25">
      <c r="A596" s="100" t="str">
        <f t="shared" si="91"/>
        <v>RESIDENTIAL SERVICE CLASSIFICATION</v>
      </c>
      <c r="B596" s="105" t="s">
        <v>117</v>
      </c>
      <c r="C596" s="117"/>
      <c r="D596" s="180" t="s">
        <v>185</v>
      </c>
      <c r="E596" s="158"/>
      <c r="F596" s="174">
        <v>0.08</v>
      </c>
      <c r="G596" s="181"/>
      <c r="H596" s="182">
        <f>H594*-F596</f>
        <v>-23.602848000000005</v>
      </c>
      <c r="I596" s="174">
        <v>0.08</v>
      </c>
      <c r="J596" s="121"/>
      <c r="K596" s="182">
        <f>K594*-I596</f>
        <v>-23.602848000000005</v>
      </c>
      <c r="L596" s="184">
        <f>K596-H596</f>
        <v>0</v>
      </c>
      <c r="M596" s="185"/>
    </row>
    <row r="597" spans="1:13" ht="15.75" thickBot="1" x14ac:dyDescent="0.3">
      <c r="A597" s="100" t="str">
        <f t="shared" si="91"/>
        <v>RESIDENTIAL SERVICE CLASSIFICATION</v>
      </c>
      <c r="B597" s="105" t="s">
        <v>186</v>
      </c>
      <c r="C597" s="117">
        <f>B12</f>
        <v>10</v>
      </c>
      <c r="D597" s="301" t="s">
        <v>187</v>
      </c>
      <c r="E597" s="301"/>
      <c r="F597" s="186"/>
      <c r="G597" s="187"/>
      <c r="H597" s="188">
        <f>H594+H595+H596</f>
        <v>309.78738000000004</v>
      </c>
      <c r="I597" s="189"/>
      <c r="J597" s="189"/>
      <c r="K597" s="190">
        <f>K594+K595+K596</f>
        <v>309.78738000000004</v>
      </c>
      <c r="L597" s="191">
        <f>K597-H597</f>
        <v>0</v>
      </c>
      <c r="M597" s="192">
        <f>IF((H597)=0,"",(L597/H597))</f>
        <v>0</v>
      </c>
    </row>
    <row r="598" spans="1:13" ht="15.75" hidden="1" thickBot="1" x14ac:dyDescent="0.3">
      <c r="A598" s="100" t="str">
        <f t="shared" si="91"/>
        <v>RESIDENTIAL SERVICE CLASSIFICATION</v>
      </c>
      <c r="B598" s="100" t="s">
        <v>117</v>
      </c>
      <c r="C598" s="117"/>
      <c r="D598" s="165"/>
      <c r="E598" s="166"/>
      <c r="F598" s="167"/>
      <c r="G598" s="168"/>
      <c r="H598" s="169"/>
      <c r="I598" s="167"/>
      <c r="J598" s="170"/>
      <c r="K598" s="169"/>
      <c r="L598" s="171"/>
      <c r="M598" s="172"/>
    </row>
    <row r="599" spans="1:13" ht="15.75" hidden="1" thickBot="1" x14ac:dyDescent="0.3">
      <c r="A599" s="100" t="str">
        <f t="shared" si="91"/>
        <v>RESIDENTIAL SERVICE CLASSIFICATION</v>
      </c>
      <c r="B599" s="100" t="s">
        <v>180</v>
      </c>
      <c r="C599" s="117"/>
      <c r="D599" s="173" t="s">
        <v>188</v>
      </c>
      <c r="E599" s="158"/>
      <c r="F599" s="174"/>
      <c r="G599" s="175"/>
      <c r="H599" s="176">
        <f>SUM(H591,H584:H587,H583)</f>
        <v>365.31060000000002</v>
      </c>
      <c r="I599" s="177"/>
      <c r="J599" s="177"/>
      <c r="K599" s="176">
        <f>SUM(K591,K584:K587,K583)</f>
        <v>365.31060000000002</v>
      </c>
      <c r="L599" s="178">
        <f>K599-H599</f>
        <v>0</v>
      </c>
      <c r="M599" s="179">
        <f>IF((H599)=0,"",(L599/H599))</f>
        <v>0</v>
      </c>
    </row>
    <row r="600" spans="1:13" ht="15.75" hidden="1" thickBot="1" x14ac:dyDescent="0.3">
      <c r="A600" s="100" t="str">
        <f t="shared" si="91"/>
        <v>RESIDENTIAL SERVICE CLASSIFICATION</v>
      </c>
      <c r="B600" s="100" t="s">
        <v>180</v>
      </c>
      <c r="C600" s="117"/>
      <c r="D600" s="180" t="s">
        <v>184</v>
      </c>
      <c r="E600" s="158"/>
      <c r="F600" s="174">
        <v>0.13</v>
      </c>
      <c r="G600" s="175"/>
      <c r="H600" s="182">
        <f>H599*F600</f>
        <v>47.490378000000007</v>
      </c>
      <c r="I600" s="174">
        <v>0.13</v>
      </c>
      <c r="J600" s="183"/>
      <c r="K600" s="182">
        <f>K599*I600</f>
        <v>47.490378000000007</v>
      </c>
      <c r="L600" s="184">
        <f>K600-H600</f>
        <v>0</v>
      </c>
      <c r="M600" s="185">
        <f>IF((H600)=0,"",(L600/H600))</f>
        <v>0</v>
      </c>
    </row>
    <row r="601" spans="1:13" ht="15.75" hidden="1" thickBot="1" x14ac:dyDescent="0.3">
      <c r="A601" s="100" t="str">
        <f t="shared" si="91"/>
        <v>RESIDENTIAL SERVICE CLASSIFICATION</v>
      </c>
      <c r="B601" s="100" t="s">
        <v>180</v>
      </c>
      <c r="C601" s="117"/>
      <c r="D601" s="180" t="s">
        <v>185</v>
      </c>
      <c r="E601" s="158"/>
      <c r="F601" s="174">
        <v>0.08</v>
      </c>
      <c r="G601" s="175"/>
      <c r="H601" s="182"/>
      <c r="I601" s="174">
        <v>0.08</v>
      </c>
      <c r="J601" s="183"/>
      <c r="K601" s="182"/>
      <c r="L601" s="184"/>
      <c r="M601" s="185"/>
    </row>
    <row r="602" spans="1:13" ht="15.75" hidden="1" thickBot="1" x14ac:dyDescent="0.3">
      <c r="A602" s="100" t="str">
        <f t="shared" si="91"/>
        <v>RESIDENTIAL SERVICE CLASSIFICATION</v>
      </c>
      <c r="B602" s="100" t="s">
        <v>189</v>
      </c>
      <c r="C602" s="117"/>
      <c r="D602" s="301" t="s">
        <v>188</v>
      </c>
      <c r="E602" s="301"/>
      <c r="F602" s="193"/>
      <c r="G602" s="194"/>
      <c r="H602" s="188">
        <f>SUM(H599,H600)</f>
        <v>412.80097800000004</v>
      </c>
      <c r="I602" s="195"/>
      <c r="J602" s="195"/>
      <c r="K602" s="188">
        <f>SUM(K599,K600)</f>
        <v>412.80097800000004</v>
      </c>
      <c r="L602" s="196">
        <f>K602-H602</f>
        <v>0</v>
      </c>
      <c r="M602" s="197">
        <f>IF((H602)=0,"",(L602/H602))</f>
        <v>0</v>
      </c>
    </row>
    <row r="603" spans="1:13" ht="15.75" hidden="1" thickBot="1" x14ac:dyDescent="0.3">
      <c r="A603" s="100" t="str">
        <f t="shared" si="91"/>
        <v>RESIDENTIAL SERVICE CLASSIFICATION</v>
      </c>
      <c r="B603" s="100" t="s">
        <v>180</v>
      </c>
      <c r="C603" s="117"/>
      <c r="D603" s="165"/>
      <c r="E603" s="166"/>
      <c r="F603" s="198"/>
      <c r="G603" s="199"/>
      <c r="H603" s="200"/>
      <c r="I603" s="198"/>
      <c r="J603" s="168"/>
      <c r="K603" s="200"/>
      <c r="L603" s="201"/>
      <c r="M603" s="172"/>
    </row>
    <row r="604" spans="1:13" ht="15.75" hidden="1" thickBot="1" x14ac:dyDescent="0.3">
      <c r="A604" s="100" t="str">
        <f t="shared" si="91"/>
        <v>RESIDENTIAL SERVICE CLASSIFICATION</v>
      </c>
      <c r="B604" s="100" t="s">
        <v>121</v>
      </c>
      <c r="C604" s="117"/>
      <c r="D604" s="173" t="s">
        <v>190</v>
      </c>
      <c r="E604" s="158"/>
      <c r="F604" s="174"/>
      <c r="G604" s="175"/>
      <c r="H604" s="176">
        <f>SUM(H592,H584:H587,H583)</f>
        <v>365.31060000000002</v>
      </c>
      <c r="I604" s="177"/>
      <c r="J604" s="177"/>
      <c r="K604" s="176">
        <f>SUM(K592,K584:K587,K583)</f>
        <v>365.31060000000002</v>
      </c>
      <c r="L604" s="178">
        <f>K604-H604</f>
        <v>0</v>
      </c>
      <c r="M604" s="179">
        <f>IF((H604)=0,"",(L604/H604))</f>
        <v>0</v>
      </c>
    </row>
    <row r="605" spans="1:13" ht="15.75" hidden="1" thickBot="1" x14ac:dyDescent="0.3">
      <c r="A605" s="100" t="str">
        <f t="shared" si="91"/>
        <v>RESIDENTIAL SERVICE CLASSIFICATION</v>
      </c>
      <c r="B605" s="100" t="s">
        <v>121</v>
      </c>
      <c r="C605" s="117"/>
      <c r="D605" s="180" t="s">
        <v>184</v>
      </c>
      <c r="E605" s="158"/>
      <c r="F605" s="174">
        <v>0.13</v>
      </c>
      <c r="G605" s="175"/>
      <c r="H605" s="182">
        <f>H604*F605</f>
        <v>47.490378000000007</v>
      </c>
      <c r="I605" s="174">
        <v>0.13</v>
      </c>
      <c r="J605" s="183"/>
      <c r="K605" s="182">
        <f>K604*I605</f>
        <v>47.490378000000007</v>
      </c>
      <c r="L605" s="184">
        <f>K605-H605</f>
        <v>0</v>
      </c>
      <c r="M605" s="185">
        <f>IF((H605)=0,"",(L605/H605))</f>
        <v>0</v>
      </c>
    </row>
    <row r="606" spans="1:13" ht="15.75" hidden="1" thickBot="1" x14ac:dyDescent="0.3">
      <c r="A606" s="100" t="str">
        <f t="shared" si="91"/>
        <v>RESIDENTIAL SERVICE CLASSIFICATION</v>
      </c>
      <c r="B606" s="100" t="s">
        <v>121</v>
      </c>
      <c r="C606" s="117"/>
      <c r="D606" s="180" t="s">
        <v>185</v>
      </c>
      <c r="E606" s="158"/>
      <c r="F606" s="174">
        <v>0.08</v>
      </c>
      <c r="G606" s="175"/>
      <c r="H606" s="182"/>
      <c r="I606" s="174">
        <v>0.08</v>
      </c>
      <c r="J606" s="183"/>
      <c r="K606" s="182"/>
      <c r="L606" s="184"/>
      <c r="M606" s="185"/>
    </row>
    <row r="607" spans="1:13" ht="15.75" hidden="1" thickBot="1" x14ac:dyDescent="0.3">
      <c r="A607" s="100" t="str">
        <f t="shared" si="91"/>
        <v>RESIDENTIAL SERVICE CLASSIFICATION</v>
      </c>
      <c r="B607" s="100" t="s">
        <v>191</v>
      </c>
      <c r="C607" s="117"/>
      <c r="D607" s="301" t="s">
        <v>190</v>
      </c>
      <c r="E607" s="301"/>
      <c r="F607" s="193"/>
      <c r="G607" s="194"/>
      <c r="H607" s="188">
        <f>SUM(H604,H605)</f>
        <v>412.80097800000004</v>
      </c>
      <c r="I607" s="195"/>
      <c r="J607" s="195"/>
      <c r="K607" s="188">
        <f>SUM(K604,K605)</f>
        <v>412.80097800000004</v>
      </c>
      <c r="L607" s="196">
        <f>K607-H607</f>
        <v>0</v>
      </c>
      <c r="M607" s="197">
        <f>IF((H607)=0,"",(L607/H607))</f>
        <v>0</v>
      </c>
    </row>
    <row r="608" spans="1:13" ht="15.75" thickBot="1" x14ac:dyDescent="0.3">
      <c r="A608" s="100" t="str">
        <f t="shared" si="91"/>
        <v>RESIDENTIAL SERVICE CLASSIFICATION</v>
      </c>
      <c r="B608" s="100" t="s">
        <v>121</v>
      </c>
      <c r="C608" s="117"/>
      <c r="D608" s="165"/>
      <c r="E608" s="166"/>
      <c r="F608" s="202"/>
      <c r="G608" s="203"/>
      <c r="H608" s="204"/>
      <c r="I608" s="202"/>
      <c r="J608" s="205"/>
      <c r="K608" s="204"/>
      <c r="L608" s="206"/>
      <c r="M608" s="207"/>
    </row>
    <row r="611" spans="1:13" x14ac:dyDescent="0.25">
      <c r="C611" s="100"/>
      <c r="D611" s="101" t="s">
        <v>134</v>
      </c>
      <c r="E611" s="302" t="str">
        <f>D13</f>
        <v>GENERAL SERVICE LESS THAN 50 KW SERVICE CLASSIFICATION</v>
      </c>
      <c r="F611" s="302"/>
      <c r="G611" s="302"/>
      <c r="H611" s="302"/>
      <c r="I611" s="302"/>
      <c r="J611" s="302"/>
      <c r="K611" s="100" t="str">
        <f>IF(N13="DEMAND - INTERVAL","RTSR - INTERVAL METERED","")</f>
        <v/>
      </c>
    </row>
    <row r="612" spans="1:13" x14ac:dyDescent="0.25">
      <c r="C612" s="100"/>
      <c r="D612" s="101" t="s">
        <v>135</v>
      </c>
      <c r="E612" s="303" t="str">
        <f>H13</f>
        <v>RPP</v>
      </c>
      <c r="F612" s="303"/>
      <c r="G612" s="303"/>
      <c r="H612" s="102"/>
      <c r="I612" s="102"/>
    </row>
    <row r="613" spans="1:13" ht="15.75" x14ac:dyDescent="0.25">
      <c r="C613" s="100"/>
      <c r="D613" s="101" t="s">
        <v>136</v>
      </c>
      <c r="E613" s="103">
        <f>K13</f>
        <v>500</v>
      </c>
      <c r="F613" s="104" t="s">
        <v>137</v>
      </c>
      <c r="G613" s="105"/>
      <c r="J613" s="106"/>
      <c r="K613" s="106"/>
      <c r="L613" s="106"/>
      <c r="M613" s="106"/>
    </row>
    <row r="614" spans="1:13" ht="15.75" x14ac:dyDescent="0.25">
      <c r="C614" s="100"/>
      <c r="D614" s="101" t="s">
        <v>138</v>
      </c>
      <c r="E614" s="103">
        <f>L13</f>
        <v>0</v>
      </c>
      <c r="F614" s="107" t="s">
        <v>139</v>
      </c>
      <c r="G614" s="108"/>
      <c r="H614" s="109"/>
      <c r="I614" s="109"/>
      <c r="J614" s="109"/>
    </row>
    <row r="615" spans="1:13" x14ac:dyDescent="0.25">
      <c r="C615" s="100"/>
      <c r="D615" s="101" t="s">
        <v>140</v>
      </c>
      <c r="E615" s="110">
        <f>I13</f>
        <v>1.056</v>
      </c>
    </row>
    <row r="616" spans="1:13" x14ac:dyDescent="0.25">
      <c r="C616" s="100"/>
      <c r="D616" s="101" t="s">
        <v>141</v>
      </c>
      <c r="E616" s="110">
        <f>J13</f>
        <v>1.056</v>
      </c>
    </row>
    <row r="617" spans="1:13" x14ac:dyDescent="0.25">
      <c r="C617" s="100"/>
      <c r="D617" s="105"/>
    </row>
    <row r="618" spans="1:13" x14ac:dyDescent="0.25">
      <c r="C618" s="100"/>
      <c r="D618" s="105"/>
      <c r="E618" s="111"/>
      <c r="F618" s="304" t="s">
        <v>142</v>
      </c>
      <c r="G618" s="305"/>
      <c r="H618" s="306"/>
      <c r="I618" s="304" t="s">
        <v>143</v>
      </c>
      <c r="J618" s="305"/>
      <c r="K618" s="306"/>
      <c r="L618" s="304" t="s">
        <v>144</v>
      </c>
      <c r="M618" s="306"/>
    </row>
    <row r="619" spans="1:13" x14ac:dyDescent="0.25">
      <c r="C619" s="100"/>
      <c r="D619" s="105"/>
      <c r="E619" s="295"/>
      <c r="F619" s="112" t="s">
        <v>145</v>
      </c>
      <c r="G619" s="112" t="s">
        <v>146</v>
      </c>
      <c r="H619" s="113" t="s">
        <v>147</v>
      </c>
      <c r="I619" s="112" t="s">
        <v>145</v>
      </c>
      <c r="J619" s="114" t="s">
        <v>146</v>
      </c>
      <c r="K619" s="113" t="s">
        <v>147</v>
      </c>
      <c r="L619" s="297" t="s">
        <v>148</v>
      </c>
      <c r="M619" s="299" t="s">
        <v>149</v>
      </c>
    </row>
    <row r="620" spans="1:13" x14ac:dyDescent="0.25">
      <c r="C620" s="100"/>
      <c r="D620" s="105"/>
      <c r="E620" s="296"/>
      <c r="F620" s="115" t="s">
        <v>150</v>
      </c>
      <c r="G620" s="115"/>
      <c r="H620" s="116" t="s">
        <v>150</v>
      </c>
      <c r="I620" s="115" t="s">
        <v>150</v>
      </c>
      <c r="J620" s="116"/>
      <c r="K620" s="116" t="s">
        <v>150</v>
      </c>
      <c r="L620" s="298"/>
      <c r="M620" s="300"/>
    </row>
    <row r="621" spans="1:13" x14ac:dyDescent="0.25">
      <c r="A621" s="100" t="str">
        <f>$E611</f>
        <v>GENERAL SERVICE LESS THAN 50 KW SERVICE CLASSIFICATION</v>
      </c>
      <c r="C621" s="117"/>
      <c r="D621" s="118" t="s">
        <v>151</v>
      </c>
      <c r="E621" s="119"/>
      <c r="F621" s="120">
        <v>28.37</v>
      </c>
      <c r="G621" s="121">
        <v>1</v>
      </c>
      <c r="H621" s="122">
        <f>G621*F621</f>
        <v>28.37</v>
      </c>
      <c r="I621" s="123">
        <v>28.71</v>
      </c>
      <c r="J621" s="124">
        <f>G621</f>
        <v>1</v>
      </c>
      <c r="K621" s="122">
        <f t="shared" ref="K621:K626" si="97">H621</f>
        <v>28.37</v>
      </c>
      <c r="L621" s="125">
        <f t="shared" ref="L621:L642" si="98">K621-H621</f>
        <v>0</v>
      </c>
      <c r="M621" s="126">
        <f>IF(ISERROR(L621/H621), "", L621/H621)</f>
        <v>0</v>
      </c>
    </row>
    <row r="622" spans="1:13" x14ac:dyDescent="0.25">
      <c r="A622" s="100" t="str">
        <f>A621</f>
        <v>GENERAL SERVICE LESS THAN 50 KW SERVICE CLASSIFICATION</v>
      </c>
      <c r="C622" s="117"/>
      <c r="D622" s="118" t="s">
        <v>152</v>
      </c>
      <c r="E622" s="119"/>
      <c r="F622" s="127">
        <v>1.0200000000000001E-2</v>
      </c>
      <c r="G622" s="121">
        <f>IF($E614&gt;0, $E614, $E613)</f>
        <v>500</v>
      </c>
      <c r="H622" s="122">
        <f t="shared" ref="H622:H634" si="99">G622*F622</f>
        <v>5.1000000000000005</v>
      </c>
      <c r="I622" s="128">
        <v>1.03E-2</v>
      </c>
      <c r="J622" s="124">
        <f>IF($E614&gt;0, $E614, $E613)</f>
        <v>500</v>
      </c>
      <c r="K622" s="122">
        <f t="shared" si="97"/>
        <v>5.1000000000000005</v>
      </c>
      <c r="L622" s="125">
        <f t="shared" si="98"/>
        <v>0</v>
      </c>
      <c r="M622" s="126">
        <f t="shared" ref="M622:M632" si="100">IF(ISERROR(L622/H622), "", L622/H622)</f>
        <v>0</v>
      </c>
    </row>
    <row r="623" spans="1:13" x14ac:dyDescent="0.25">
      <c r="A623" s="100" t="str">
        <f t="shared" ref="A623:A664" si="101">A622</f>
        <v>GENERAL SERVICE LESS THAN 50 KW SERVICE CLASSIFICATION</v>
      </c>
      <c r="C623" s="117"/>
      <c r="D623" s="118" t="s">
        <v>153</v>
      </c>
      <c r="E623" s="119"/>
      <c r="F623" s="127"/>
      <c r="G623" s="121">
        <f>IF($E614&gt;0, $E614, $E613)</f>
        <v>500</v>
      </c>
      <c r="H623" s="122">
        <v>0</v>
      </c>
      <c r="I623" s="128"/>
      <c r="J623" s="124">
        <f>IF($E614&gt;0, $E614, $E613)</f>
        <v>500</v>
      </c>
      <c r="K623" s="122">
        <f t="shared" si="97"/>
        <v>0</v>
      </c>
      <c r="L623" s="125"/>
      <c r="M623" s="126"/>
    </row>
    <row r="624" spans="1:13" x14ac:dyDescent="0.25">
      <c r="A624" s="100" t="str">
        <f t="shared" si="101"/>
        <v>GENERAL SERVICE LESS THAN 50 KW SERVICE CLASSIFICATION</v>
      </c>
      <c r="C624" s="117"/>
      <c r="D624" s="118" t="s">
        <v>154</v>
      </c>
      <c r="E624" s="119"/>
      <c r="F624" s="127"/>
      <c r="G624" s="121">
        <f>IF($E614&gt;0, $E614, $E613)</f>
        <v>500</v>
      </c>
      <c r="H624" s="122">
        <v>0</v>
      </c>
      <c r="I624" s="128"/>
      <c r="J624" s="121">
        <f>IF($E614&gt;0, $E614, $E613)</f>
        <v>500</v>
      </c>
      <c r="K624" s="122">
        <f t="shared" si="97"/>
        <v>0</v>
      </c>
      <c r="L624" s="125">
        <f>K624-H624</f>
        <v>0</v>
      </c>
      <c r="M624" s="126" t="str">
        <f>IF(ISERROR(L624/H624), "", L624/H624)</f>
        <v/>
      </c>
    </row>
    <row r="625" spans="1:13" x14ac:dyDescent="0.25">
      <c r="A625" s="100" t="str">
        <f t="shared" si="101"/>
        <v>GENERAL SERVICE LESS THAN 50 KW SERVICE CLASSIFICATION</v>
      </c>
      <c r="C625" s="117"/>
      <c r="D625" s="129" t="s">
        <v>155</v>
      </c>
      <c r="E625" s="119"/>
      <c r="F625" s="120">
        <v>0</v>
      </c>
      <c r="G625" s="121">
        <v>1</v>
      </c>
      <c r="H625" s="122">
        <f t="shared" si="99"/>
        <v>0</v>
      </c>
      <c r="I625" s="123">
        <v>0</v>
      </c>
      <c r="J625" s="124">
        <f>G625</f>
        <v>1</v>
      </c>
      <c r="K625" s="122">
        <f t="shared" si="97"/>
        <v>0</v>
      </c>
      <c r="L625" s="125">
        <f t="shared" si="98"/>
        <v>0</v>
      </c>
      <c r="M625" s="126" t="str">
        <f t="shared" si="100"/>
        <v/>
      </c>
    </row>
    <row r="626" spans="1:13" x14ac:dyDescent="0.25">
      <c r="A626" s="100" t="str">
        <f t="shared" si="101"/>
        <v>GENERAL SERVICE LESS THAN 50 KW SERVICE CLASSIFICATION</v>
      </c>
      <c r="C626" s="117"/>
      <c r="D626" s="118" t="s">
        <v>156</v>
      </c>
      <c r="E626" s="119"/>
      <c r="F626" s="127">
        <v>0</v>
      </c>
      <c r="G626" s="121">
        <f>IF($E614&gt;0, $E614, $E613)</f>
        <v>500</v>
      </c>
      <c r="H626" s="122">
        <f t="shared" si="99"/>
        <v>0</v>
      </c>
      <c r="I626" s="128">
        <v>0</v>
      </c>
      <c r="J626" s="124">
        <f>IF($E614&gt;0, $E614, $E613)</f>
        <v>500</v>
      </c>
      <c r="K626" s="122">
        <f t="shared" si="97"/>
        <v>0</v>
      </c>
      <c r="L626" s="125">
        <f t="shared" si="98"/>
        <v>0</v>
      </c>
      <c r="M626" s="126" t="str">
        <f t="shared" si="100"/>
        <v/>
      </c>
    </row>
    <row r="627" spans="1:13" x14ac:dyDescent="0.25">
      <c r="A627" s="100" t="str">
        <f t="shared" si="101"/>
        <v>GENERAL SERVICE LESS THAN 50 KW SERVICE CLASSIFICATION</v>
      </c>
      <c r="B627" s="130" t="s">
        <v>157</v>
      </c>
      <c r="C627" s="117">
        <f>B13</f>
        <v>11</v>
      </c>
      <c r="D627" s="131" t="s">
        <v>158</v>
      </c>
      <c r="E627" s="132"/>
      <c r="F627" s="133"/>
      <c r="G627" s="134"/>
      <c r="H627" s="135">
        <f>SUM(H621:H626)</f>
        <v>33.47</v>
      </c>
      <c r="I627" s="136"/>
      <c r="J627" s="137"/>
      <c r="K627" s="135">
        <f>SUM(K621:K626)</f>
        <v>33.47</v>
      </c>
      <c r="L627" s="138">
        <f t="shared" si="98"/>
        <v>0</v>
      </c>
      <c r="M627" s="139">
        <f>IF((H627)=0,"",(L627/H627))</f>
        <v>0</v>
      </c>
    </row>
    <row r="628" spans="1:13" x14ac:dyDescent="0.25">
      <c r="A628" s="100" t="str">
        <f t="shared" si="101"/>
        <v>GENERAL SERVICE LESS THAN 50 KW SERVICE CLASSIFICATION</v>
      </c>
      <c r="C628" s="117"/>
      <c r="D628" s="140" t="s">
        <v>159</v>
      </c>
      <c r="E628" s="119"/>
      <c r="F628" s="127">
        <f>IF((E613*12&gt;=150000), 0, IF(E612="RPP",(F644*0.65+F645*0.17+F646*0.18),IF(E612="Non-RPP (Retailer)",F647,F648)))</f>
        <v>8.1990000000000007E-2</v>
      </c>
      <c r="G628" s="141">
        <f>IF(F628=0, 0, $E613*E615-E613)</f>
        <v>28</v>
      </c>
      <c r="H628" s="122">
        <f>G628*F628</f>
        <v>2.2957200000000002</v>
      </c>
      <c r="I628" s="128">
        <f>IF((E613*12&gt;=150000), 0, IF(E612="RPP",(I644*0.65+I645*0.17+I646*0.18),IF(E612="Non-RPP (Retailer)",I647,I648)))</f>
        <v>8.1990000000000007E-2</v>
      </c>
      <c r="J628" s="141">
        <f>IF(I628=0, 0, E613*E616-E613)</f>
        <v>28</v>
      </c>
      <c r="K628" s="122">
        <f t="shared" ref="K628:K635" si="102">H628</f>
        <v>2.2957200000000002</v>
      </c>
      <c r="L628" s="125">
        <f>K628-H628</f>
        <v>0</v>
      </c>
      <c r="M628" s="126">
        <f>IF(ISERROR(L628/H628), "", L628/H628)</f>
        <v>0</v>
      </c>
    </row>
    <row r="629" spans="1:13" ht="25.5" x14ac:dyDescent="0.25">
      <c r="A629" s="100" t="str">
        <f t="shared" si="101"/>
        <v>GENERAL SERVICE LESS THAN 50 KW SERVICE CLASSIFICATION</v>
      </c>
      <c r="C629" s="117"/>
      <c r="D629" s="140" t="s">
        <v>160</v>
      </c>
      <c r="E629" s="119"/>
      <c r="F629" s="127">
        <v>-1.4E-3</v>
      </c>
      <c r="G629" s="142">
        <f>IF($E614&gt;0, $E614, $E613)</f>
        <v>500</v>
      </c>
      <c r="H629" s="122">
        <f t="shared" si="99"/>
        <v>-0.7</v>
      </c>
      <c r="I629" s="128">
        <v>-5.3E-3</v>
      </c>
      <c r="J629" s="142">
        <f>IF($E614&gt;0, $E614, $E613)</f>
        <v>500</v>
      </c>
      <c r="K629" s="122">
        <f t="shared" si="102"/>
        <v>-0.7</v>
      </c>
      <c r="L629" s="125">
        <f t="shared" si="98"/>
        <v>0</v>
      </c>
      <c r="M629" s="126">
        <f t="shared" si="100"/>
        <v>0</v>
      </c>
    </row>
    <row r="630" spans="1:13" x14ac:dyDescent="0.25">
      <c r="A630" s="100" t="str">
        <f t="shared" si="101"/>
        <v>GENERAL SERVICE LESS THAN 50 KW SERVICE CLASSIFICATION</v>
      </c>
      <c r="C630" s="117"/>
      <c r="D630" s="140" t="s">
        <v>161</v>
      </c>
      <c r="E630" s="119"/>
      <c r="F630" s="127">
        <v>-1E-4</v>
      </c>
      <c r="G630" s="142">
        <f>IF($E614&gt;0, $E614, $E613)</f>
        <v>500</v>
      </c>
      <c r="H630" s="122">
        <f>G630*F630</f>
        <v>-0.05</v>
      </c>
      <c r="I630" s="128">
        <v>0</v>
      </c>
      <c r="J630" s="142">
        <f>IF($E614&gt;0, $E614, $E613)</f>
        <v>500</v>
      </c>
      <c r="K630" s="122">
        <f t="shared" si="102"/>
        <v>-0.05</v>
      </c>
      <c r="L630" s="125">
        <f t="shared" si="98"/>
        <v>0</v>
      </c>
      <c r="M630" s="126">
        <f t="shared" si="100"/>
        <v>0</v>
      </c>
    </row>
    <row r="631" spans="1:13" x14ac:dyDescent="0.25">
      <c r="A631" s="100" t="str">
        <f t="shared" si="101"/>
        <v>GENERAL SERVICE LESS THAN 50 KW SERVICE CLASSIFICATION</v>
      </c>
      <c r="C631" s="117"/>
      <c r="D631" s="140" t="s">
        <v>162</v>
      </c>
      <c r="E631" s="119"/>
      <c r="F631" s="127">
        <v>0</v>
      </c>
      <c r="G631" s="142">
        <f>E613</f>
        <v>500</v>
      </c>
      <c r="H631" s="122">
        <f>G631*F631</f>
        <v>0</v>
      </c>
      <c r="I631" s="128">
        <v>0</v>
      </c>
      <c r="J631" s="142">
        <f>E613</f>
        <v>500</v>
      </c>
      <c r="K631" s="122">
        <f t="shared" si="102"/>
        <v>0</v>
      </c>
      <c r="L631" s="125">
        <f t="shared" si="98"/>
        <v>0</v>
      </c>
      <c r="M631" s="126" t="str">
        <f t="shared" si="100"/>
        <v/>
      </c>
    </row>
    <row r="632" spans="1:13" x14ac:dyDescent="0.25">
      <c r="A632" s="100" t="str">
        <f t="shared" si="101"/>
        <v>GENERAL SERVICE LESS THAN 50 KW SERVICE CLASSIFICATION</v>
      </c>
      <c r="C632" s="117"/>
      <c r="D632" s="143" t="s">
        <v>163</v>
      </c>
      <c r="E632" s="119"/>
      <c r="F632" s="127">
        <v>2.3999999999999998E-3</v>
      </c>
      <c r="G632" s="142">
        <f>IF($E614&gt;0, $E614, $E613)</f>
        <v>500</v>
      </c>
      <c r="H632" s="122">
        <f t="shared" si="99"/>
        <v>1.2</v>
      </c>
      <c r="I632" s="128">
        <v>2.3999999999999998E-3</v>
      </c>
      <c r="J632" s="142">
        <f>IF($E614&gt;0, $E614, $E613)</f>
        <v>500</v>
      </c>
      <c r="K632" s="122">
        <f t="shared" si="102"/>
        <v>1.2</v>
      </c>
      <c r="L632" s="125">
        <f t="shared" si="98"/>
        <v>0</v>
      </c>
      <c r="M632" s="126">
        <f t="shared" si="100"/>
        <v>0</v>
      </c>
    </row>
    <row r="633" spans="1:13" ht="25.5" x14ac:dyDescent="0.25">
      <c r="A633" s="100" t="str">
        <f t="shared" si="101"/>
        <v>GENERAL SERVICE LESS THAN 50 KW SERVICE CLASSIFICATION</v>
      </c>
      <c r="C633" s="117"/>
      <c r="D633" s="144" t="s">
        <v>164</v>
      </c>
      <c r="E633" s="119"/>
      <c r="F633" s="145">
        <f>IF(OR(ISNUMBER(SEARCH("RESIDENTIAL", E611))=TRUE, ISNUMBER(SEARCH("GENERAL SERVICE LESS THAN 50", E611))=TRUE), SME, 0)</f>
        <v>0.56999999999999995</v>
      </c>
      <c r="G633" s="121">
        <v>1</v>
      </c>
      <c r="H633" s="122">
        <f>G633*F633</f>
        <v>0.56999999999999995</v>
      </c>
      <c r="I633" s="146">
        <f>IF(OR(ISNUMBER(SEARCH("RESIDENTIAL", E611))=TRUE, ISNUMBER(SEARCH("GENERAL SERVICE LESS THAN 50", E611))=TRUE), SME, 0)</f>
        <v>0.56999999999999995</v>
      </c>
      <c r="J633" s="121">
        <v>1</v>
      </c>
      <c r="K633" s="122">
        <f t="shared" si="102"/>
        <v>0.56999999999999995</v>
      </c>
      <c r="L633" s="125">
        <f t="shared" si="98"/>
        <v>0</v>
      </c>
      <c r="M633" s="126">
        <f>IF(ISERROR(L633/H633), "", L633/H633)</f>
        <v>0</v>
      </c>
    </row>
    <row r="634" spans="1:13" x14ac:dyDescent="0.25">
      <c r="A634" s="100" t="str">
        <f t="shared" si="101"/>
        <v>GENERAL SERVICE LESS THAN 50 KW SERVICE CLASSIFICATION</v>
      </c>
      <c r="C634" s="117"/>
      <c r="D634" s="143" t="s">
        <v>165</v>
      </c>
      <c r="E634" s="119"/>
      <c r="F634" s="120">
        <v>0</v>
      </c>
      <c r="G634" s="121">
        <v>1</v>
      </c>
      <c r="H634" s="122">
        <f t="shared" si="99"/>
        <v>0</v>
      </c>
      <c r="I634" s="123">
        <v>0</v>
      </c>
      <c r="J634" s="121">
        <v>1</v>
      </c>
      <c r="K634" s="122">
        <f t="shared" si="102"/>
        <v>0</v>
      </c>
      <c r="L634" s="125">
        <f>K634-H634</f>
        <v>0</v>
      </c>
      <c r="M634" s="126" t="str">
        <f>IF(ISERROR(L634/H634), "", L634/H634)</f>
        <v/>
      </c>
    </row>
    <row r="635" spans="1:13" x14ac:dyDescent="0.25">
      <c r="A635" s="100" t="str">
        <f t="shared" si="101"/>
        <v>GENERAL SERVICE LESS THAN 50 KW SERVICE CLASSIFICATION</v>
      </c>
      <c r="C635" s="117"/>
      <c r="D635" s="143" t="s">
        <v>166</v>
      </c>
      <c r="E635" s="119"/>
      <c r="F635" s="127"/>
      <c r="G635" s="142">
        <f>IF($E614&gt;0, $E614, $E613)</f>
        <v>500</v>
      </c>
      <c r="H635" s="122">
        <f>G635*F635</f>
        <v>0</v>
      </c>
      <c r="I635" s="128">
        <v>0</v>
      </c>
      <c r="J635" s="142">
        <f>IF($E614&gt;0, $E614, $E613)</f>
        <v>500</v>
      </c>
      <c r="K635" s="122">
        <f t="shared" si="102"/>
        <v>0</v>
      </c>
      <c r="L635" s="125">
        <f t="shared" si="98"/>
        <v>0</v>
      </c>
      <c r="M635" s="126" t="str">
        <f>IF(ISERROR(L635/H635), "", L635/H635)</f>
        <v/>
      </c>
    </row>
    <row r="636" spans="1:13" ht="25.5" x14ac:dyDescent="0.25">
      <c r="A636" s="100" t="str">
        <f t="shared" si="101"/>
        <v>GENERAL SERVICE LESS THAN 50 KW SERVICE CLASSIFICATION</v>
      </c>
      <c r="B636" s="105" t="s">
        <v>167</v>
      </c>
      <c r="C636" s="117">
        <f>B13</f>
        <v>11</v>
      </c>
      <c r="D636" s="147" t="s">
        <v>168</v>
      </c>
      <c r="E636" s="148"/>
      <c r="F636" s="149"/>
      <c r="G636" s="150"/>
      <c r="H636" s="151">
        <f>SUM(H627:H635)</f>
        <v>36.785720000000005</v>
      </c>
      <c r="I636" s="152"/>
      <c r="J636" s="153"/>
      <c r="K636" s="151">
        <f>SUM(K627:K635)</f>
        <v>36.785720000000005</v>
      </c>
      <c r="L636" s="138">
        <f t="shared" si="98"/>
        <v>0</v>
      </c>
      <c r="M636" s="139">
        <f>IF((H636)=0,"",(L636/H636))</f>
        <v>0</v>
      </c>
    </row>
    <row r="637" spans="1:13" x14ac:dyDescent="0.25">
      <c r="A637" s="100" t="str">
        <f t="shared" si="101"/>
        <v>GENERAL SERVICE LESS THAN 50 KW SERVICE CLASSIFICATION</v>
      </c>
      <c r="C637" s="117"/>
      <c r="D637" s="154" t="s">
        <v>169</v>
      </c>
      <c r="E637" s="119"/>
      <c r="F637" s="127">
        <v>6.0000000000000001E-3</v>
      </c>
      <c r="G637" s="141">
        <f>IF($E614&gt;0, $E614, $E613*$E615)</f>
        <v>528</v>
      </c>
      <c r="H637" s="122">
        <f>G637*F637</f>
        <v>3.1680000000000001</v>
      </c>
      <c r="I637" s="128">
        <v>5.7000000000000002E-3</v>
      </c>
      <c r="J637" s="141">
        <f>IF($E614&gt;0, $E614, $E613*$E616)</f>
        <v>528</v>
      </c>
      <c r="K637" s="122">
        <f t="shared" ref="K637:K638" si="103">H637</f>
        <v>3.1680000000000001</v>
      </c>
      <c r="L637" s="125">
        <f t="shared" si="98"/>
        <v>0</v>
      </c>
      <c r="M637" s="126">
        <f>IF(ISERROR(L637/H637), "", L637/H637)</f>
        <v>0</v>
      </c>
    </row>
    <row r="638" spans="1:13" ht="25.5" x14ac:dyDescent="0.25">
      <c r="A638" s="100" t="str">
        <f t="shared" si="101"/>
        <v>GENERAL SERVICE LESS THAN 50 KW SERVICE CLASSIFICATION</v>
      </c>
      <c r="C638" s="117"/>
      <c r="D638" s="155" t="s">
        <v>170</v>
      </c>
      <c r="E638" s="119"/>
      <c r="F638" s="127">
        <v>5.3E-3</v>
      </c>
      <c r="G638" s="141">
        <f>IF($E614&gt;0, $E614, $E613*$E615)</f>
        <v>528</v>
      </c>
      <c r="H638" s="122">
        <f>G638*F638</f>
        <v>2.7984</v>
      </c>
      <c r="I638" s="128">
        <v>5.0000000000000001E-3</v>
      </c>
      <c r="J638" s="141">
        <f>IF($E614&gt;0, $E614, $E613*$E616)</f>
        <v>528</v>
      </c>
      <c r="K638" s="122">
        <f t="shared" si="103"/>
        <v>2.7984</v>
      </c>
      <c r="L638" s="125">
        <f t="shared" si="98"/>
        <v>0</v>
      </c>
      <c r="M638" s="126">
        <f>IF(ISERROR(L638/H638), "", L638/H638)</f>
        <v>0</v>
      </c>
    </row>
    <row r="639" spans="1:13" ht="25.5" x14ac:dyDescent="0.25">
      <c r="A639" s="100" t="str">
        <f t="shared" si="101"/>
        <v>GENERAL SERVICE LESS THAN 50 KW SERVICE CLASSIFICATION</v>
      </c>
      <c r="B639" s="105" t="s">
        <v>171</v>
      </c>
      <c r="C639" s="117">
        <f>B13</f>
        <v>11</v>
      </c>
      <c r="D639" s="147" t="s">
        <v>172</v>
      </c>
      <c r="E639" s="132"/>
      <c r="F639" s="149"/>
      <c r="G639" s="150"/>
      <c r="H639" s="151">
        <f>SUM(H636:H638)</f>
        <v>42.752120000000005</v>
      </c>
      <c r="I639" s="152"/>
      <c r="J639" s="137"/>
      <c r="K639" s="151">
        <f>SUM(K636:K638)</f>
        <v>42.752120000000005</v>
      </c>
      <c r="L639" s="138">
        <f t="shared" si="98"/>
        <v>0</v>
      </c>
      <c r="M639" s="139">
        <f>IF((H639)=0,"",(L639/H639))</f>
        <v>0</v>
      </c>
    </row>
    <row r="640" spans="1:13" ht="25.5" x14ac:dyDescent="0.25">
      <c r="A640" s="100" t="str">
        <f t="shared" si="101"/>
        <v>GENERAL SERVICE LESS THAN 50 KW SERVICE CLASSIFICATION</v>
      </c>
      <c r="C640" s="117"/>
      <c r="D640" s="156" t="s">
        <v>173</v>
      </c>
      <c r="E640" s="119"/>
      <c r="F640" s="127">
        <v>3.6000000000000003E-3</v>
      </c>
      <c r="G640" s="141">
        <f>E613*E615</f>
        <v>528</v>
      </c>
      <c r="H640" s="157">
        <f t="shared" ref="H640:H646" si="104">G640*F640</f>
        <v>1.9008000000000003</v>
      </c>
      <c r="I640" s="128">
        <v>3.6000000000000003E-3</v>
      </c>
      <c r="J640" s="141">
        <f>E613*E616</f>
        <v>528</v>
      </c>
      <c r="K640" s="157">
        <f t="shared" ref="K640:K646" si="105">H640</f>
        <v>1.9008000000000003</v>
      </c>
      <c r="L640" s="125">
        <f t="shared" si="98"/>
        <v>0</v>
      </c>
      <c r="M640" s="126">
        <f t="shared" ref="M640:M648" si="106">IF(ISERROR(L640/H640), "", L640/H640)</f>
        <v>0</v>
      </c>
    </row>
    <row r="641" spans="1:13" ht="25.5" x14ac:dyDescent="0.25">
      <c r="A641" s="100" t="str">
        <f t="shared" si="101"/>
        <v>GENERAL SERVICE LESS THAN 50 KW SERVICE CLASSIFICATION</v>
      </c>
      <c r="C641" s="117"/>
      <c r="D641" s="156" t="s">
        <v>174</v>
      </c>
      <c r="E641" s="119"/>
      <c r="F641" s="127">
        <f>'[1]17. Regulatory Charges'!$D$16</f>
        <v>2.9999999999999997E-4</v>
      </c>
      <c r="G641" s="141">
        <f>E613*E615</f>
        <v>528</v>
      </c>
      <c r="H641" s="157">
        <f t="shared" si="104"/>
        <v>0.15839999999999999</v>
      </c>
      <c r="I641" s="128">
        <v>2.9999999999999997E-4</v>
      </c>
      <c r="J641" s="141">
        <f>E613*E616</f>
        <v>528</v>
      </c>
      <c r="K641" s="157">
        <f t="shared" si="105"/>
        <v>0.15839999999999999</v>
      </c>
      <c r="L641" s="125">
        <f t="shared" si="98"/>
        <v>0</v>
      </c>
      <c r="M641" s="126">
        <f t="shared" si="106"/>
        <v>0</v>
      </c>
    </row>
    <row r="642" spans="1:13" x14ac:dyDescent="0.25">
      <c r="A642" s="100" t="str">
        <f t="shared" si="101"/>
        <v>GENERAL SERVICE LESS THAN 50 KW SERVICE CLASSIFICATION</v>
      </c>
      <c r="C642" s="117"/>
      <c r="D642" s="158" t="s">
        <v>175</v>
      </c>
      <c r="E642" s="119"/>
      <c r="F642" s="145">
        <v>0.25</v>
      </c>
      <c r="G642" s="121">
        <v>1</v>
      </c>
      <c r="H642" s="157">
        <f t="shared" si="104"/>
        <v>0.25</v>
      </c>
      <c r="I642" s="146">
        <f>'[1]17. Regulatory Charges'!$D$17</f>
        <v>0.25</v>
      </c>
      <c r="J642" s="124">
        <v>1</v>
      </c>
      <c r="K642" s="157">
        <f t="shared" si="105"/>
        <v>0.25</v>
      </c>
      <c r="L642" s="125">
        <f t="shared" si="98"/>
        <v>0</v>
      </c>
      <c r="M642" s="126">
        <f t="shared" si="106"/>
        <v>0</v>
      </c>
    </row>
    <row r="643" spans="1:13" ht="25.5" x14ac:dyDescent="0.25">
      <c r="A643" s="100" t="str">
        <f t="shared" si="101"/>
        <v>GENERAL SERVICE LESS THAN 50 KW SERVICE CLASSIFICATION</v>
      </c>
      <c r="C643" s="117"/>
      <c r="D643" s="156" t="s">
        <v>176</v>
      </c>
      <c r="E643" s="119"/>
      <c r="F643" s="127"/>
      <c r="G643" s="141"/>
      <c r="H643" s="157"/>
      <c r="I643" s="128"/>
      <c r="J643" s="141"/>
      <c r="K643" s="157">
        <f t="shared" si="105"/>
        <v>0</v>
      </c>
      <c r="L643" s="125"/>
      <c r="M643" s="126"/>
    </row>
    <row r="644" spans="1:13" x14ac:dyDescent="0.25">
      <c r="A644" s="100" t="str">
        <f t="shared" si="101"/>
        <v>GENERAL SERVICE LESS THAN 50 KW SERVICE CLASSIFICATION</v>
      </c>
      <c r="B644" s="105" t="s">
        <v>117</v>
      </c>
      <c r="C644" s="117"/>
      <c r="D644" s="159" t="s">
        <v>177</v>
      </c>
      <c r="E644" s="119"/>
      <c r="F644" s="160">
        <f>OffPeak</f>
        <v>6.5000000000000002E-2</v>
      </c>
      <c r="G644" s="161">
        <f>IF(AND(E613*12&gt;=150000),0.65*E613*E615,0.65*E613)</f>
        <v>325</v>
      </c>
      <c r="H644" s="157">
        <f t="shared" si="104"/>
        <v>21.125</v>
      </c>
      <c r="I644" s="162">
        <f>OffPeak</f>
        <v>6.5000000000000002E-2</v>
      </c>
      <c r="J644" s="161">
        <f>IF(AND(E613*12&gt;=150000),0.65*E613*E616,0.65*E613)</f>
        <v>325</v>
      </c>
      <c r="K644" s="157">
        <f t="shared" si="105"/>
        <v>21.125</v>
      </c>
      <c r="L644" s="125">
        <f>K644-H644</f>
        <v>0</v>
      </c>
      <c r="M644" s="126">
        <f t="shared" si="106"/>
        <v>0</v>
      </c>
    </row>
    <row r="645" spans="1:13" x14ac:dyDescent="0.25">
      <c r="A645" s="100" t="str">
        <f t="shared" si="101"/>
        <v>GENERAL SERVICE LESS THAN 50 KW SERVICE CLASSIFICATION</v>
      </c>
      <c r="B645" s="105" t="s">
        <v>117</v>
      </c>
      <c r="C645" s="117"/>
      <c r="D645" s="159" t="s">
        <v>178</v>
      </c>
      <c r="E645" s="119"/>
      <c r="F645" s="160">
        <f>MidPeak</f>
        <v>9.4E-2</v>
      </c>
      <c r="G645" s="161">
        <f>IF(AND(E613*12&gt;=150000),0.17*E613*E615,0.17*E613)</f>
        <v>85</v>
      </c>
      <c r="H645" s="157">
        <f t="shared" si="104"/>
        <v>7.99</v>
      </c>
      <c r="I645" s="162">
        <f>MidPeak</f>
        <v>9.4E-2</v>
      </c>
      <c r="J645" s="161">
        <f>IF(AND(E613*12&gt;=150000),0.17*E613*E616,0.17*E613)</f>
        <v>85</v>
      </c>
      <c r="K645" s="157">
        <f t="shared" si="105"/>
        <v>7.99</v>
      </c>
      <c r="L645" s="125">
        <f>K645-H645</f>
        <v>0</v>
      </c>
      <c r="M645" s="126">
        <f t="shared" si="106"/>
        <v>0</v>
      </c>
    </row>
    <row r="646" spans="1:13" ht="15.75" thickBot="1" x14ac:dyDescent="0.3">
      <c r="A646" s="100" t="str">
        <f t="shared" si="101"/>
        <v>GENERAL SERVICE LESS THAN 50 KW SERVICE CLASSIFICATION</v>
      </c>
      <c r="B646" s="105" t="s">
        <v>117</v>
      </c>
      <c r="C646" s="117"/>
      <c r="D646" s="105" t="s">
        <v>179</v>
      </c>
      <c r="E646" s="119"/>
      <c r="F646" s="160">
        <f>OnPeak</f>
        <v>0.13200000000000001</v>
      </c>
      <c r="G646" s="161">
        <f>IF(AND(E613*12&gt;=150000),0.18*E613*E615,0.18*E613)</f>
        <v>90</v>
      </c>
      <c r="H646" s="157">
        <f t="shared" si="104"/>
        <v>11.88</v>
      </c>
      <c r="I646" s="162">
        <f>OnPeak</f>
        <v>0.13200000000000001</v>
      </c>
      <c r="J646" s="161">
        <f>IF(AND(E613*12&gt;=150000),0.18*E613*E616,0.18*E613)</f>
        <v>90</v>
      </c>
      <c r="K646" s="157">
        <f t="shared" si="105"/>
        <v>11.88</v>
      </c>
      <c r="L646" s="125">
        <f>K646-H646</f>
        <v>0</v>
      </c>
      <c r="M646" s="126">
        <f t="shared" si="106"/>
        <v>0</v>
      </c>
    </row>
    <row r="647" spans="1:13" ht="15.75" hidden="1" thickBot="1" x14ac:dyDescent="0.3">
      <c r="A647" s="100" t="str">
        <f t="shared" si="101"/>
        <v>GENERAL SERVICE LESS THAN 50 KW SERVICE CLASSIFICATION</v>
      </c>
      <c r="B647" s="100" t="s">
        <v>180</v>
      </c>
      <c r="C647" s="117"/>
      <c r="D647" s="159" t="s">
        <v>181</v>
      </c>
      <c r="E647" s="119"/>
      <c r="F647" s="163">
        <v>0.1101</v>
      </c>
      <c r="G647" s="161">
        <f>IF(AND(E613*12&gt;=150000),E613*E615,E613)</f>
        <v>500</v>
      </c>
      <c r="H647" s="157">
        <f>G647*F647</f>
        <v>55.050000000000004</v>
      </c>
      <c r="I647" s="164">
        <f>F647</f>
        <v>0.1101</v>
      </c>
      <c r="J647" s="161">
        <f>IF(AND(E613*12&gt;=150000),E613*E616,E613)</f>
        <v>500</v>
      </c>
      <c r="K647" s="157">
        <f>J647*I647</f>
        <v>55.050000000000004</v>
      </c>
      <c r="L647" s="125">
        <f>K647-H647</f>
        <v>0</v>
      </c>
      <c r="M647" s="126">
        <f t="shared" si="106"/>
        <v>0</v>
      </c>
    </row>
    <row r="648" spans="1:13" ht="15.75" hidden="1" thickBot="1" x14ac:dyDescent="0.3">
      <c r="A648" s="100" t="str">
        <f t="shared" si="101"/>
        <v>GENERAL SERVICE LESS THAN 50 KW SERVICE CLASSIFICATION</v>
      </c>
      <c r="B648" s="100" t="s">
        <v>121</v>
      </c>
      <c r="C648" s="117"/>
      <c r="D648" s="159" t="s">
        <v>182</v>
      </c>
      <c r="E648" s="119"/>
      <c r="F648" s="163">
        <v>0.1101</v>
      </c>
      <c r="G648" s="161">
        <f>IF(AND(E613*12&gt;=150000),E613*E615,E613)</f>
        <v>500</v>
      </c>
      <c r="H648" s="157">
        <f>G648*F648</f>
        <v>55.050000000000004</v>
      </c>
      <c r="I648" s="164">
        <f>F648</f>
        <v>0.1101</v>
      </c>
      <c r="J648" s="161">
        <f>IF(AND(E613*12&gt;=150000),E613*E616,E613)</f>
        <v>500</v>
      </c>
      <c r="K648" s="157">
        <f>J648*I648</f>
        <v>55.050000000000004</v>
      </c>
      <c r="L648" s="125">
        <f>K648-H648</f>
        <v>0</v>
      </c>
      <c r="M648" s="126">
        <f t="shared" si="106"/>
        <v>0</v>
      </c>
    </row>
    <row r="649" spans="1:13" ht="15.75" thickBot="1" x14ac:dyDescent="0.3">
      <c r="A649" s="100" t="str">
        <f t="shared" si="101"/>
        <v>GENERAL SERVICE LESS THAN 50 KW SERVICE CLASSIFICATION</v>
      </c>
      <c r="B649" s="105"/>
      <c r="C649" s="117"/>
      <c r="D649" s="165"/>
      <c r="E649" s="166"/>
      <c r="F649" s="167"/>
      <c r="G649" s="168"/>
      <c r="H649" s="169"/>
      <c r="I649" s="167"/>
      <c r="J649" s="170"/>
      <c r="K649" s="169"/>
      <c r="L649" s="171"/>
      <c r="M649" s="172"/>
    </row>
    <row r="650" spans="1:13" x14ac:dyDescent="0.25">
      <c r="A650" s="100" t="str">
        <f t="shared" si="101"/>
        <v>GENERAL SERVICE LESS THAN 50 KW SERVICE CLASSIFICATION</v>
      </c>
      <c r="B650" s="105" t="s">
        <v>117</v>
      </c>
      <c r="C650" s="117"/>
      <c r="D650" s="173" t="s">
        <v>183</v>
      </c>
      <c r="E650" s="158"/>
      <c r="F650" s="174"/>
      <c r="G650" s="175"/>
      <c r="H650" s="176">
        <f>SUM(H640:H646,H639)</f>
        <v>86.056319999999999</v>
      </c>
      <c r="I650" s="177"/>
      <c r="J650" s="177"/>
      <c r="K650" s="176">
        <f>SUM(K640:K646,K639)</f>
        <v>86.056319999999999</v>
      </c>
      <c r="L650" s="178">
        <f>K650-H650</f>
        <v>0</v>
      </c>
      <c r="M650" s="179">
        <f>IF((H650)=0,"",(L650/H650))</f>
        <v>0</v>
      </c>
    </row>
    <row r="651" spans="1:13" x14ac:dyDescent="0.25">
      <c r="A651" s="100" t="str">
        <f t="shared" si="101"/>
        <v>GENERAL SERVICE LESS THAN 50 KW SERVICE CLASSIFICATION</v>
      </c>
      <c r="B651" s="105" t="s">
        <v>117</v>
      </c>
      <c r="C651" s="117"/>
      <c r="D651" s="180" t="s">
        <v>184</v>
      </c>
      <c r="E651" s="158"/>
      <c r="F651" s="174">
        <v>0.13</v>
      </c>
      <c r="G651" s="181"/>
      <c r="H651" s="182">
        <f>H650*F651</f>
        <v>11.187321600000001</v>
      </c>
      <c r="I651" s="183">
        <v>0.13</v>
      </c>
      <c r="J651" s="121"/>
      <c r="K651" s="182">
        <f>K650*I651</f>
        <v>11.187321600000001</v>
      </c>
      <c r="L651" s="184">
        <f>K651-H651</f>
        <v>0</v>
      </c>
      <c r="M651" s="185">
        <f>IF((H651)=0,"",(L651/H651))</f>
        <v>0</v>
      </c>
    </row>
    <row r="652" spans="1:13" x14ac:dyDescent="0.25">
      <c r="A652" s="100" t="str">
        <f t="shared" si="101"/>
        <v>GENERAL SERVICE LESS THAN 50 KW SERVICE CLASSIFICATION</v>
      </c>
      <c r="B652" s="105" t="s">
        <v>117</v>
      </c>
      <c r="C652" s="117"/>
      <c r="D652" s="180" t="s">
        <v>185</v>
      </c>
      <c r="E652" s="158"/>
      <c r="F652" s="174">
        <v>0.08</v>
      </c>
      <c r="G652" s="181"/>
      <c r="H652" s="182">
        <f>H650*-F652</f>
        <v>-6.8845055999999998</v>
      </c>
      <c r="I652" s="174">
        <v>0.08</v>
      </c>
      <c r="J652" s="121"/>
      <c r="K652" s="182">
        <f>K650*-I652</f>
        <v>-6.8845055999999998</v>
      </c>
      <c r="L652" s="184">
        <f>K652-H652</f>
        <v>0</v>
      </c>
      <c r="M652" s="185"/>
    </row>
    <row r="653" spans="1:13" ht="15.75" thickBot="1" x14ac:dyDescent="0.3">
      <c r="A653" s="100" t="str">
        <f t="shared" si="101"/>
        <v>GENERAL SERVICE LESS THAN 50 KW SERVICE CLASSIFICATION</v>
      </c>
      <c r="B653" s="105" t="s">
        <v>186</v>
      </c>
      <c r="C653" s="117">
        <f>B13</f>
        <v>11</v>
      </c>
      <c r="D653" s="301" t="s">
        <v>187</v>
      </c>
      <c r="E653" s="301"/>
      <c r="F653" s="186"/>
      <c r="G653" s="187"/>
      <c r="H653" s="188">
        <f>H650+H651+H652</f>
        <v>90.359136000000007</v>
      </c>
      <c r="I653" s="189"/>
      <c r="J653" s="189"/>
      <c r="K653" s="190">
        <f>K650+K651+K652</f>
        <v>90.359136000000007</v>
      </c>
      <c r="L653" s="191">
        <f>K653-H653</f>
        <v>0</v>
      </c>
      <c r="M653" s="192">
        <f>IF((H653)=0,"",(L653/H653))</f>
        <v>0</v>
      </c>
    </row>
    <row r="654" spans="1:13" ht="15.75" hidden="1" thickBot="1" x14ac:dyDescent="0.3">
      <c r="A654" s="100" t="str">
        <f t="shared" si="101"/>
        <v>GENERAL SERVICE LESS THAN 50 KW SERVICE CLASSIFICATION</v>
      </c>
      <c r="B654" s="100" t="s">
        <v>117</v>
      </c>
      <c r="C654" s="117"/>
      <c r="D654" s="165"/>
      <c r="E654" s="166"/>
      <c r="F654" s="167"/>
      <c r="G654" s="168"/>
      <c r="H654" s="169"/>
      <c r="I654" s="167"/>
      <c r="J654" s="170"/>
      <c r="K654" s="169"/>
      <c r="L654" s="171"/>
      <c r="M654" s="172"/>
    </row>
    <row r="655" spans="1:13" ht="15.75" hidden="1" thickBot="1" x14ac:dyDescent="0.3">
      <c r="A655" s="100" t="str">
        <f t="shared" si="101"/>
        <v>GENERAL SERVICE LESS THAN 50 KW SERVICE CLASSIFICATION</v>
      </c>
      <c r="B655" s="100" t="s">
        <v>180</v>
      </c>
      <c r="C655" s="117"/>
      <c r="D655" s="173" t="s">
        <v>188</v>
      </c>
      <c r="E655" s="158"/>
      <c r="F655" s="174"/>
      <c r="G655" s="175"/>
      <c r="H655" s="176">
        <f>SUM(H647,H640:H643,H639)</f>
        <v>100.11132000000001</v>
      </c>
      <c r="I655" s="177"/>
      <c r="J655" s="177"/>
      <c r="K655" s="176">
        <f>SUM(K647,K640:K643,K639)</f>
        <v>100.11132000000001</v>
      </c>
      <c r="L655" s="178">
        <f>K655-H655</f>
        <v>0</v>
      </c>
      <c r="M655" s="179">
        <f>IF((H655)=0,"",(L655/H655))</f>
        <v>0</v>
      </c>
    </row>
    <row r="656" spans="1:13" ht="15.75" hidden="1" thickBot="1" x14ac:dyDescent="0.3">
      <c r="A656" s="100" t="str">
        <f t="shared" si="101"/>
        <v>GENERAL SERVICE LESS THAN 50 KW SERVICE CLASSIFICATION</v>
      </c>
      <c r="B656" s="100" t="s">
        <v>180</v>
      </c>
      <c r="C656" s="117"/>
      <c r="D656" s="180" t="s">
        <v>184</v>
      </c>
      <c r="E656" s="158"/>
      <c r="F656" s="174">
        <v>0.13</v>
      </c>
      <c r="G656" s="175"/>
      <c r="H656" s="182">
        <f>H655*F656</f>
        <v>13.014471600000002</v>
      </c>
      <c r="I656" s="174">
        <v>0.13</v>
      </c>
      <c r="J656" s="183"/>
      <c r="K656" s="182">
        <f>K655*I656</f>
        <v>13.014471600000002</v>
      </c>
      <c r="L656" s="184">
        <f>K656-H656</f>
        <v>0</v>
      </c>
      <c r="M656" s="185">
        <f>IF((H656)=0,"",(L656/H656))</f>
        <v>0</v>
      </c>
    </row>
    <row r="657" spans="1:13" ht="15.75" hidden="1" thickBot="1" x14ac:dyDescent="0.3">
      <c r="A657" s="100" t="str">
        <f t="shared" si="101"/>
        <v>GENERAL SERVICE LESS THAN 50 KW SERVICE CLASSIFICATION</v>
      </c>
      <c r="B657" s="100" t="s">
        <v>180</v>
      </c>
      <c r="C657" s="117"/>
      <c r="D657" s="180" t="s">
        <v>185</v>
      </c>
      <c r="E657" s="158"/>
      <c r="F657" s="174">
        <v>0.08</v>
      </c>
      <c r="G657" s="175"/>
      <c r="H657" s="182"/>
      <c r="I657" s="174">
        <v>0.08</v>
      </c>
      <c r="J657" s="183"/>
      <c r="K657" s="182"/>
      <c r="L657" s="184"/>
      <c r="M657" s="185"/>
    </row>
    <row r="658" spans="1:13" ht="15.75" hidden="1" thickBot="1" x14ac:dyDescent="0.3">
      <c r="A658" s="100" t="str">
        <f t="shared" si="101"/>
        <v>GENERAL SERVICE LESS THAN 50 KW SERVICE CLASSIFICATION</v>
      </c>
      <c r="B658" s="100" t="s">
        <v>189</v>
      </c>
      <c r="C658" s="117"/>
      <c r="D658" s="301" t="s">
        <v>188</v>
      </c>
      <c r="E658" s="301"/>
      <c r="F658" s="193"/>
      <c r="G658" s="194"/>
      <c r="H658" s="188">
        <f>SUM(H655,H656)</f>
        <v>113.12579160000001</v>
      </c>
      <c r="I658" s="195"/>
      <c r="J658" s="195"/>
      <c r="K658" s="188">
        <f>SUM(K655,K656)</f>
        <v>113.12579160000001</v>
      </c>
      <c r="L658" s="196">
        <f>K658-H658</f>
        <v>0</v>
      </c>
      <c r="M658" s="197">
        <f>IF((H658)=0,"",(L658/H658))</f>
        <v>0</v>
      </c>
    </row>
    <row r="659" spans="1:13" ht="15.75" hidden="1" thickBot="1" x14ac:dyDescent="0.3">
      <c r="A659" s="100" t="str">
        <f t="shared" si="101"/>
        <v>GENERAL SERVICE LESS THAN 50 KW SERVICE CLASSIFICATION</v>
      </c>
      <c r="B659" s="100" t="s">
        <v>180</v>
      </c>
      <c r="C659" s="117"/>
      <c r="D659" s="165"/>
      <c r="E659" s="166"/>
      <c r="F659" s="198"/>
      <c r="G659" s="199"/>
      <c r="H659" s="200"/>
      <c r="I659" s="198"/>
      <c r="J659" s="168"/>
      <c r="K659" s="200"/>
      <c r="L659" s="201"/>
      <c r="M659" s="172"/>
    </row>
    <row r="660" spans="1:13" ht="15.75" hidden="1" thickBot="1" x14ac:dyDescent="0.3">
      <c r="A660" s="100" t="str">
        <f t="shared" si="101"/>
        <v>GENERAL SERVICE LESS THAN 50 KW SERVICE CLASSIFICATION</v>
      </c>
      <c r="B660" s="100" t="s">
        <v>121</v>
      </c>
      <c r="C660" s="117"/>
      <c r="D660" s="173" t="s">
        <v>190</v>
      </c>
      <c r="E660" s="158"/>
      <c r="F660" s="174"/>
      <c r="G660" s="175"/>
      <c r="H660" s="176">
        <f>SUM(H648,H640:H643,H639)</f>
        <v>100.11132000000001</v>
      </c>
      <c r="I660" s="177"/>
      <c r="J660" s="177"/>
      <c r="K660" s="176">
        <f>SUM(K648,K640:K643,K639)</f>
        <v>100.11132000000001</v>
      </c>
      <c r="L660" s="178">
        <f>K660-H660</f>
        <v>0</v>
      </c>
      <c r="M660" s="179">
        <f>IF((H660)=0,"",(L660/H660))</f>
        <v>0</v>
      </c>
    </row>
    <row r="661" spans="1:13" ht="15.75" hidden="1" thickBot="1" x14ac:dyDescent="0.3">
      <c r="A661" s="100" t="str">
        <f t="shared" si="101"/>
        <v>GENERAL SERVICE LESS THAN 50 KW SERVICE CLASSIFICATION</v>
      </c>
      <c r="B661" s="100" t="s">
        <v>121</v>
      </c>
      <c r="C661" s="117"/>
      <c r="D661" s="180" t="s">
        <v>184</v>
      </c>
      <c r="E661" s="158"/>
      <c r="F661" s="174">
        <v>0.13</v>
      </c>
      <c r="G661" s="175"/>
      <c r="H661" s="182">
        <f>H660*F661</f>
        <v>13.014471600000002</v>
      </c>
      <c r="I661" s="174">
        <v>0.13</v>
      </c>
      <c r="J661" s="183"/>
      <c r="K661" s="182">
        <f>K660*I661</f>
        <v>13.014471600000002</v>
      </c>
      <c r="L661" s="184">
        <f>K661-H661</f>
        <v>0</v>
      </c>
      <c r="M661" s="185">
        <f>IF((H661)=0,"",(L661/H661))</f>
        <v>0</v>
      </c>
    </row>
    <row r="662" spans="1:13" ht="15.75" hidden="1" thickBot="1" x14ac:dyDescent="0.3">
      <c r="A662" s="100" t="str">
        <f t="shared" si="101"/>
        <v>GENERAL SERVICE LESS THAN 50 KW SERVICE CLASSIFICATION</v>
      </c>
      <c r="B662" s="100" t="s">
        <v>121</v>
      </c>
      <c r="C662" s="117"/>
      <c r="D662" s="180" t="s">
        <v>185</v>
      </c>
      <c r="E662" s="158"/>
      <c r="F662" s="174">
        <v>0.08</v>
      </c>
      <c r="G662" s="175"/>
      <c r="H662" s="182"/>
      <c r="I662" s="174">
        <v>0.08</v>
      </c>
      <c r="J662" s="183"/>
      <c r="K662" s="182"/>
      <c r="L662" s="184"/>
      <c r="M662" s="185"/>
    </row>
    <row r="663" spans="1:13" ht="15.75" hidden="1" thickBot="1" x14ac:dyDescent="0.3">
      <c r="A663" s="100" t="str">
        <f t="shared" si="101"/>
        <v>GENERAL SERVICE LESS THAN 50 KW SERVICE CLASSIFICATION</v>
      </c>
      <c r="B663" s="100" t="s">
        <v>191</v>
      </c>
      <c r="C663" s="117"/>
      <c r="D663" s="301" t="s">
        <v>190</v>
      </c>
      <c r="E663" s="301"/>
      <c r="F663" s="193"/>
      <c r="G663" s="194"/>
      <c r="H663" s="188">
        <f>SUM(H660,H661)</f>
        <v>113.12579160000001</v>
      </c>
      <c r="I663" s="195"/>
      <c r="J663" s="195"/>
      <c r="K663" s="188">
        <f>SUM(K660,K661)</f>
        <v>113.12579160000001</v>
      </c>
      <c r="L663" s="196">
        <f>K663-H663</f>
        <v>0</v>
      </c>
      <c r="M663" s="197">
        <f>IF((H663)=0,"",(L663/H663))</f>
        <v>0</v>
      </c>
    </row>
    <row r="664" spans="1:13" ht="15.75" thickBot="1" x14ac:dyDescent="0.3">
      <c r="A664" s="100" t="str">
        <f t="shared" si="101"/>
        <v>GENERAL SERVICE LESS THAN 50 KW SERVICE CLASSIFICATION</v>
      </c>
      <c r="B664" s="100" t="s">
        <v>121</v>
      </c>
      <c r="C664" s="117"/>
      <c r="D664" s="165"/>
      <c r="E664" s="166"/>
      <c r="F664" s="202"/>
      <c r="G664" s="203"/>
      <c r="H664" s="204"/>
      <c r="I664" s="202"/>
      <c r="J664" s="205"/>
      <c r="K664" s="204"/>
      <c r="L664" s="206"/>
      <c r="M664" s="207"/>
    </row>
    <row r="667" spans="1:13" x14ac:dyDescent="0.25">
      <c r="C667" s="100"/>
      <c r="D667" s="101" t="s">
        <v>134</v>
      </c>
      <c r="E667" s="302" t="str">
        <f>D14</f>
        <v>GENERAL SERVICE LESS THAN 50 KW SERVICE CLASSIFICATION</v>
      </c>
      <c r="F667" s="302"/>
      <c r="G667" s="302"/>
      <c r="H667" s="302"/>
      <c r="I667" s="302"/>
      <c r="J667" s="302"/>
      <c r="K667" s="100" t="str">
        <f>IF(N14="DEMAND - INTERVAL","RTSR - INTERVAL METERED","")</f>
        <v/>
      </c>
    </row>
    <row r="668" spans="1:13" x14ac:dyDescent="0.25">
      <c r="C668" s="100"/>
      <c r="D668" s="101" t="s">
        <v>135</v>
      </c>
      <c r="E668" s="303" t="str">
        <f>H14</f>
        <v>RPP</v>
      </c>
      <c r="F668" s="303"/>
      <c r="G668" s="303"/>
      <c r="H668" s="102"/>
      <c r="I668" s="102"/>
    </row>
    <row r="669" spans="1:13" ht="15.75" x14ac:dyDescent="0.25">
      <c r="C669" s="100"/>
      <c r="D669" s="101" t="s">
        <v>136</v>
      </c>
      <c r="E669" s="103">
        <f>K14</f>
        <v>5000</v>
      </c>
      <c r="F669" s="104" t="s">
        <v>137</v>
      </c>
      <c r="G669" s="105"/>
      <c r="J669" s="106"/>
      <c r="K669" s="106"/>
      <c r="L669" s="106"/>
      <c r="M669" s="106"/>
    </row>
    <row r="670" spans="1:13" ht="15.75" x14ac:dyDescent="0.25">
      <c r="C670" s="100"/>
      <c r="D670" s="101" t="s">
        <v>138</v>
      </c>
      <c r="E670" s="103">
        <f>L14</f>
        <v>0</v>
      </c>
      <c r="F670" s="107" t="s">
        <v>139</v>
      </c>
      <c r="G670" s="108"/>
      <c r="H670" s="109"/>
      <c r="I670" s="109"/>
      <c r="J670" s="109"/>
    </row>
    <row r="671" spans="1:13" x14ac:dyDescent="0.25">
      <c r="C671" s="100"/>
      <c r="D671" s="101" t="s">
        <v>140</v>
      </c>
      <c r="E671" s="110">
        <f>I14</f>
        <v>1.056</v>
      </c>
    </row>
    <row r="672" spans="1:13" x14ac:dyDescent="0.25">
      <c r="C672" s="100"/>
      <c r="D672" s="101" t="s">
        <v>141</v>
      </c>
      <c r="E672" s="110">
        <f>J14</f>
        <v>1.056</v>
      </c>
    </row>
    <row r="673" spans="1:13" x14ac:dyDescent="0.25">
      <c r="C673" s="100"/>
      <c r="D673" s="105"/>
    </row>
    <row r="674" spans="1:13" x14ac:dyDescent="0.25">
      <c r="C674" s="100"/>
      <c r="D674" s="105"/>
      <c r="E674" s="111"/>
      <c r="F674" s="304" t="s">
        <v>142</v>
      </c>
      <c r="G674" s="305"/>
      <c r="H674" s="306"/>
      <c r="I674" s="304" t="s">
        <v>143</v>
      </c>
      <c r="J674" s="305"/>
      <c r="K674" s="306"/>
      <c r="L674" s="304" t="s">
        <v>144</v>
      </c>
      <c r="M674" s="306"/>
    </row>
    <row r="675" spans="1:13" x14ac:dyDescent="0.25">
      <c r="C675" s="100"/>
      <c r="D675" s="105"/>
      <c r="E675" s="295"/>
      <c r="F675" s="112" t="s">
        <v>145</v>
      </c>
      <c r="G675" s="112" t="s">
        <v>146</v>
      </c>
      <c r="H675" s="113" t="s">
        <v>147</v>
      </c>
      <c r="I675" s="112" t="s">
        <v>145</v>
      </c>
      <c r="J675" s="114" t="s">
        <v>146</v>
      </c>
      <c r="K675" s="113" t="s">
        <v>147</v>
      </c>
      <c r="L675" s="297" t="s">
        <v>148</v>
      </c>
      <c r="M675" s="299" t="s">
        <v>149</v>
      </c>
    </row>
    <row r="676" spans="1:13" x14ac:dyDescent="0.25">
      <c r="C676" s="100"/>
      <c r="D676" s="105"/>
      <c r="E676" s="296"/>
      <c r="F676" s="115" t="s">
        <v>150</v>
      </c>
      <c r="G676" s="115"/>
      <c r="H676" s="116" t="s">
        <v>150</v>
      </c>
      <c r="I676" s="115" t="s">
        <v>150</v>
      </c>
      <c r="J676" s="116"/>
      <c r="K676" s="116" t="s">
        <v>150</v>
      </c>
      <c r="L676" s="298"/>
      <c r="M676" s="300"/>
    </row>
    <row r="677" spans="1:13" x14ac:dyDescent="0.25">
      <c r="A677" s="100" t="str">
        <f>$E667</f>
        <v>GENERAL SERVICE LESS THAN 50 KW SERVICE CLASSIFICATION</v>
      </c>
      <c r="C677" s="117"/>
      <c r="D677" s="118" t="s">
        <v>151</v>
      </c>
      <c r="E677" s="119"/>
      <c r="F677" s="120">
        <v>28.37</v>
      </c>
      <c r="G677" s="121">
        <v>1</v>
      </c>
      <c r="H677" s="122">
        <f>G677*F677</f>
        <v>28.37</v>
      </c>
      <c r="I677" s="123">
        <v>28.71</v>
      </c>
      <c r="J677" s="124">
        <f>G677</f>
        <v>1</v>
      </c>
      <c r="K677" s="122">
        <f t="shared" ref="K677:K682" si="107">H677</f>
        <v>28.37</v>
      </c>
      <c r="L677" s="125">
        <f t="shared" ref="L677:L698" si="108">K677-H677</f>
        <v>0</v>
      </c>
      <c r="M677" s="126">
        <f>IF(ISERROR(L677/H677), "", L677/H677)</f>
        <v>0</v>
      </c>
    </row>
    <row r="678" spans="1:13" x14ac:dyDescent="0.25">
      <c r="A678" s="100" t="str">
        <f>A677</f>
        <v>GENERAL SERVICE LESS THAN 50 KW SERVICE CLASSIFICATION</v>
      </c>
      <c r="C678" s="117"/>
      <c r="D678" s="118" t="s">
        <v>152</v>
      </c>
      <c r="E678" s="119"/>
      <c r="F678" s="127">
        <v>1.0200000000000001E-2</v>
      </c>
      <c r="G678" s="121">
        <f>IF($E670&gt;0, $E670, $E669)</f>
        <v>5000</v>
      </c>
      <c r="H678" s="122">
        <f t="shared" ref="H678:H690" si="109">G678*F678</f>
        <v>51.000000000000007</v>
      </c>
      <c r="I678" s="128">
        <v>1.03E-2</v>
      </c>
      <c r="J678" s="124">
        <f>IF($E670&gt;0, $E670, $E669)</f>
        <v>5000</v>
      </c>
      <c r="K678" s="122">
        <f t="shared" si="107"/>
        <v>51.000000000000007</v>
      </c>
      <c r="L678" s="125">
        <f t="shared" si="108"/>
        <v>0</v>
      </c>
      <c r="M678" s="126">
        <f t="shared" ref="M678:M688" si="110">IF(ISERROR(L678/H678), "", L678/H678)</f>
        <v>0</v>
      </c>
    </row>
    <row r="679" spans="1:13" x14ac:dyDescent="0.25">
      <c r="A679" s="100" t="str">
        <f t="shared" ref="A679:A720" si="111">A678</f>
        <v>GENERAL SERVICE LESS THAN 50 KW SERVICE CLASSIFICATION</v>
      </c>
      <c r="C679" s="117"/>
      <c r="D679" s="118" t="s">
        <v>153</v>
      </c>
      <c r="E679" s="119"/>
      <c r="F679" s="127"/>
      <c r="G679" s="121">
        <f>IF($E670&gt;0, $E670, $E669)</f>
        <v>5000</v>
      </c>
      <c r="H679" s="122">
        <v>0</v>
      </c>
      <c r="I679" s="128"/>
      <c r="J679" s="124">
        <f>IF($E670&gt;0, $E670, $E669)</f>
        <v>5000</v>
      </c>
      <c r="K679" s="122">
        <f t="shared" si="107"/>
        <v>0</v>
      </c>
      <c r="L679" s="125"/>
      <c r="M679" s="126"/>
    </row>
    <row r="680" spans="1:13" x14ac:dyDescent="0.25">
      <c r="A680" s="100" t="str">
        <f t="shared" si="111"/>
        <v>GENERAL SERVICE LESS THAN 50 KW SERVICE CLASSIFICATION</v>
      </c>
      <c r="C680" s="117"/>
      <c r="D680" s="118" t="s">
        <v>154</v>
      </c>
      <c r="E680" s="119"/>
      <c r="F680" s="127"/>
      <c r="G680" s="121">
        <f>IF($E670&gt;0, $E670, $E669)</f>
        <v>5000</v>
      </c>
      <c r="H680" s="122">
        <v>0</v>
      </c>
      <c r="I680" s="128"/>
      <c r="J680" s="121">
        <f>IF($E670&gt;0, $E670, $E669)</f>
        <v>5000</v>
      </c>
      <c r="K680" s="122">
        <f t="shared" si="107"/>
        <v>0</v>
      </c>
      <c r="L680" s="125">
        <f>K680-H680</f>
        <v>0</v>
      </c>
      <c r="M680" s="126" t="str">
        <f>IF(ISERROR(L680/H680), "", L680/H680)</f>
        <v/>
      </c>
    </row>
    <row r="681" spans="1:13" x14ac:dyDescent="0.25">
      <c r="A681" s="100" t="str">
        <f t="shared" si="111"/>
        <v>GENERAL SERVICE LESS THAN 50 KW SERVICE CLASSIFICATION</v>
      </c>
      <c r="C681" s="117"/>
      <c r="D681" s="129" t="s">
        <v>155</v>
      </c>
      <c r="E681" s="119"/>
      <c r="F681" s="120">
        <v>0</v>
      </c>
      <c r="G681" s="121">
        <v>1</v>
      </c>
      <c r="H681" s="122">
        <f t="shared" si="109"/>
        <v>0</v>
      </c>
      <c r="I681" s="123">
        <v>0</v>
      </c>
      <c r="J681" s="124">
        <f>G681</f>
        <v>1</v>
      </c>
      <c r="K681" s="122">
        <f t="shared" si="107"/>
        <v>0</v>
      </c>
      <c r="L681" s="125">
        <f t="shared" si="108"/>
        <v>0</v>
      </c>
      <c r="M681" s="126" t="str">
        <f t="shared" si="110"/>
        <v/>
      </c>
    </row>
    <row r="682" spans="1:13" x14ac:dyDescent="0.25">
      <c r="A682" s="100" t="str">
        <f t="shared" si="111"/>
        <v>GENERAL SERVICE LESS THAN 50 KW SERVICE CLASSIFICATION</v>
      </c>
      <c r="C682" s="117"/>
      <c r="D682" s="118" t="s">
        <v>156</v>
      </c>
      <c r="E682" s="119"/>
      <c r="F682" s="127">
        <v>0</v>
      </c>
      <c r="G682" s="121">
        <f>IF($E670&gt;0, $E670, $E669)</f>
        <v>5000</v>
      </c>
      <c r="H682" s="122">
        <f t="shared" si="109"/>
        <v>0</v>
      </c>
      <c r="I682" s="128">
        <v>0</v>
      </c>
      <c r="J682" s="124">
        <f>IF($E670&gt;0, $E670, $E669)</f>
        <v>5000</v>
      </c>
      <c r="K682" s="122">
        <f t="shared" si="107"/>
        <v>0</v>
      </c>
      <c r="L682" s="125">
        <f t="shared" si="108"/>
        <v>0</v>
      </c>
      <c r="M682" s="126" t="str">
        <f t="shared" si="110"/>
        <v/>
      </c>
    </row>
    <row r="683" spans="1:13" x14ac:dyDescent="0.25">
      <c r="A683" s="100" t="str">
        <f t="shared" si="111"/>
        <v>GENERAL SERVICE LESS THAN 50 KW SERVICE CLASSIFICATION</v>
      </c>
      <c r="B683" s="130" t="s">
        <v>157</v>
      </c>
      <c r="C683" s="117">
        <f>B14</f>
        <v>12</v>
      </c>
      <c r="D683" s="131" t="s">
        <v>158</v>
      </c>
      <c r="E683" s="132"/>
      <c r="F683" s="133"/>
      <c r="G683" s="134"/>
      <c r="H683" s="135">
        <f>SUM(H677:H682)</f>
        <v>79.37</v>
      </c>
      <c r="I683" s="136"/>
      <c r="J683" s="137"/>
      <c r="K683" s="135">
        <f>SUM(K677:K682)</f>
        <v>79.37</v>
      </c>
      <c r="L683" s="138">
        <f t="shared" si="108"/>
        <v>0</v>
      </c>
      <c r="M683" s="139">
        <f>IF((H683)=0,"",(L683/H683))</f>
        <v>0</v>
      </c>
    </row>
    <row r="684" spans="1:13" x14ac:dyDescent="0.25">
      <c r="A684" s="100" t="str">
        <f t="shared" si="111"/>
        <v>GENERAL SERVICE LESS THAN 50 KW SERVICE CLASSIFICATION</v>
      </c>
      <c r="C684" s="117"/>
      <c r="D684" s="140" t="s">
        <v>159</v>
      </c>
      <c r="E684" s="119"/>
      <c r="F684" s="127">
        <f>IF((E669*12&gt;=150000), 0, IF(E668="RPP",(F700*0.65+F701*0.17+F702*0.18),IF(E668="Non-RPP (Retailer)",F703,F704)))</f>
        <v>8.1990000000000007E-2</v>
      </c>
      <c r="G684" s="141">
        <f>IF(F684=0, 0, $E669*E671-E669)</f>
        <v>280</v>
      </c>
      <c r="H684" s="122">
        <f>G684*F684</f>
        <v>22.9572</v>
      </c>
      <c r="I684" s="128">
        <f>IF((E669*12&gt;=150000), 0, IF(E668="RPP",(I700*0.65+I701*0.17+I702*0.18),IF(E668="Non-RPP (Retailer)",I703,I704)))</f>
        <v>8.1990000000000007E-2</v>
      </c>
      <c r="J684" s="141">
        <f>IF(I684=0, 0, E669*E672-E669)</f>
        <v>280</v>
      </c>
      <c r="K684" s="122">
        <f t="shared" ref="K684:K691" si="112">H684</f>
        <v>22.9572</v>
      </c>
      <c r="L684" s="125">
        <f>K684-H684</f>
        <v>0</v>
      </c>
      <c r="M684" s="126">
        <f>IF(ISERROR(L684/H684), "", L684/H684)</f>
        <v>0</v>
      </c>
    </row>
    <row r="685" spans="1:13" ht="25.5" x14ac:dyDescent="0.25">
      <c r="A685" s="100" t="str">
        <f t="shared" si="111"/>
        <v>GENERAL SERVICE LESS THAN 50 KW SERVICE CLASSIFICATION</v>
      </c>
      <c r="C685" s="117"/>
      <c r="D685" s="140" t="s">
        <v>160</v>
      </c>
      <c r="E685" s="119"/>
      <c r="F685" s="127">
        <v>-1.4E-3</v>
      </c>
      <c r="G685" s="142">
        <f>IF($E670&gt;0, $E670, $E669)</f>
        <v>5000</v>
      </c>
      <c r="H685" s="122">
        <f t="shared" si="109"/>
        <v>-7</v>
      </c>
      <c r="I685" s="128">
        <v>-5.3E-3</v>
      </c>
      <c r="J685" s="142">
        <f>IF($E670&gt;0, $E670, $E669)</f>
        <v>5000</v>
      </c>
      <c r="K685" s="122">
        <f t="shared" si="112"/>
        <v>-7</v>
      </c>
      <c r="L685" s="125">
        <f t="shared" si="108"/>
        <v>0</v>
      </c>
      <c r="M685" s="126">
        <f t="shared" si="110"/>
        <v>0</v>
      </c>
    </row>
    <row r="686" spans="1:13" x14ac:dyDescent="0.25">
      <c r="A686" s="100" t="str">
        <f t="shared" si="111"/>
        <v>GENERAL SERVICE LESS THAN 50 KW SERVICE CLASSIFICATION</v>
      </c>
      <c r="C686" s="117"/>
      <c r="D686" s="140" t="s">
        <v>161</v>
      </c>
      <c r="E686" s="119"/>
      <c r="F686" s="127">
        <v>-1E-4</v>
      </c>
      <c r="G686" s="142">
        <f>IF($E670&gt;0, $E670, $E669)</f>
        <v>5000</v>
      </c>
      <c r="H686" s="122">
        <f>G686*F686</f>
        <v>-0.5</v>
      </c>
      <c r="I686" s="128">
        <v>0</v>
      </c>
      <c r="J686" s="142">
        <f>IF($E670&gt;0, $E670, $E669)</f>
        <v>5000</v>
      </c>
      <c r="K686" s="122">
        <f t="shared" si="112"/>
        <v>-0.5</v>
      </c>
      <c r="L686" s="125">
        <f t="shared" si="108"/>
        <v>0</v>
      </c>
      <c r="M686" s="126">
        <f t="shared" si="110"/>
        <v>0</v>
      </c>
    </row>
    <row r="687" spans="1:13" x14ac:dyDescent="0.25">
      <c r="A687" s="100" t="str">
        <f t="shared" si="111"/>
        <v>GENERAL SERVICE LESS THAN 50 KW SERVICE CLASSIFICATION</v>
      </c>
      <c r="C687" s="117"/>
      <c r="D687" s="140" t="s">
        <v>162</v>
      </c>
      <c r="E687" s="119"/>
      <c r="F687" s="127">
        <v>0</v>
      </c>
      <c r="G687" s="142">
        <f>E669</f>
        <v>5000</v>
      </c>
      <c r="H687" s="122">
        <f>G687*F687</f>
        <v>0</v>
      </c>
      <c r="I687" s="128">
        <v>0</v>
      </c>
      <c r="J687" s="142">
        <f>E669</f>
        <v>5000</v>
      </c>
      <c r="K687" s="122">
        <f t="shared" si="112"/>
        <v>0</v>
      </c>
      <c r="L687" s="125">
        <f t="shared" si="108"/>
        <v>0</v>
      </c>
      <c r="M687" s="126" t="str">
        <f t="shared" si="110"/>
        <v/>
      </c>
    </row>
    <row r="688" spans="1:13" x14ac:dyDescent="0.25">
      <c r="A688" s="100" t="str">
        <f t="shared" si="111"/>
        <v>GENERAL SERVICE LESS THAN 50 KW SERVICE CLASSIFICATION</v>
      </c>
      <c r="C688" s="117"/>
      <c r="D688" s="143" t="s">
        <v>163</v>
      </c>
      <c r="E688" s="119"/>
      <c r="F688" s="127">
        <v>2.3999999999999998E-3</v>
      </c>
      <c r="G688" s="142">
        <f>IF($E670&gt;0, $E670, $E669)</f>
        <v>5000</v>
      </c>
      <c r="H688" s="122">
        <f t="shared" si="109"/>
        <v>11.999999999999998</v>
      </c>
      <c r="I688" s="128">
        <v>2.3999999999999998E-3</v>
      </c>
      <c r="J688" s="142">
        <f>IF($E670&gt;0, $E670, $E669)</f>
        <v>5000</v>
      </c>
      <c r="K688" s="122">
        <f t="shared" si="112"/>
        <v>11.999999999999998</v>
      </c>
      <c r="L688" s="125">
        <f t="shared" si="108"/>
        <v>0</v>
      </c>
      <c r="M688" s="126">
        <f t="shared" si="110"/>
        <v>0</v>
      </c>
    </row>
    <row r="689" spans="1:13" ht="25.5" x14ac:dyDescent="0.25">
      <c r="A689" s="100" t="str">
        <f t="shared" si="111"/>
        <v>GENERAL SERVICE LESS THAN 50 KW SERVICE CLASSIFICATION</v>
      </c>
      <c r="C689" s="117"/>
      <c r="D689" s="144" t="s">
        <v>164</v>
      </c>
      <c r="E689" s="119"/>
      <c r="F689" s="145">
        <f>IF(OR(ISNUMBER(SEARCH("RESIDENTIAL", E667))=TRUE, ISNUMBER(SEARCH("GENERAL SERVICE LESS THAN 50", E667))=TRUE), SME, 0)</f>
        <v>0.56999999999999995</v>
      </c>
      <c r="G689" s="121">
        <v>1</v>
      </c>
      <c r="H689" s="122">
        <f>G689*F689</f>
        <v>0.56999999999999995</v>
      </c>
      <c r="I689" s="146">
        <f>IF(OR(ISNUMBER(SEARCH("RESIDENTIAL", E667))=TRUE, ISNUMBER(SEARCH("GENERAL SERVICE LESS THAN 50", E667))=TRUE), SME, 0)</f>
        <v>0.56999999999999995</v>
      </c>
      <c r="J689" s="121">
        <v>1</v>
      </c>
      <c r="K689" s="122">
        <f t="shared" si="112"/>
        <v>0.56999999999999995</v>
      </c>
      <c r="L689" s="125">
        <f t="shared" si="108"/>
        <v>0</v>
      </c>
      <c r="M689" s="126">
        <f>IF(ISERROR(L689/H689), "", L689/H689)</f>
        <v>0</v>
      </c>
    </row>
    <row r="690" spans="1:13" x14ac:dyDescent="0.25">
      <c r="A690" s="100" t="str">
        <f t="shared" si="111"/>
        <v>GENERAL SERVICE LESS THAN 50 KW SERVICE CLASSIFICATION</v>
      </c>
      <c r="C690" s="117"/>
      <c r="D690" s="143" t="s">
        <v>165</v>
      </c>
      <c r="E690" s="119"/>
      <c r="F690" s="120">
        <v>0</v>
      </c>
      <c r="G690" s="121">
        <v>1</v>
      </c>
      <c r="H690" s="122">
        <f t="shared" si="109"/>
        <v>0</v>
      </c>
      <c r="I690" s="123">
        <v>0</v>
      </c>
      <c r="J690" s="121">
        <v>1</v>
      </c>
      <c r="K690" s="122">
        <f t="shared" si="112"/>
        <v>0</v>
      </c>
      <c r="L690" s="125">
        <f>K690-H690</f>
        <v>0</v>
      </c>
      <c r="M690" s="126" t="str">
        <f>IF(ISERROR(L690/H690), "", L690/H690)</f>
        <v/>
      </c>
    </row>
    <row r="691" spans="1:13" x14ac:dyDescent="0.25">
      <c r="A691" s="100" t="str">
        <f t="shared" si="111"/>
        <v>GENERAL SERVICE LESS THAN 50 KW SERVICE CLASSIFICATION</v>
      </c>
      <c r="C691" s="117"/>
      <c r="D691" s="143" t="s">
        <v>166</v>
      </c>
      <c r="E691" s="119"/>
      <c r="F691" s="127"/>
      <c r="G691" s="142">
        <f>IF($E670&gt;0, $E670, $E669)</f>
        <v>5000</v>
      </c>
      <c r="H691" s="122">
        <f>G691*F691</f>
        <v>0</v>
      </c>
      <c r="I691" s="128">
        <v>0</v>
      </c>
      <c r="J691" s="142">
        <f>IF($E670&gt;0, $E670, $E669)</f>
        <v>5000</v>
      </c>
      <c r="K691" s="122">
        <f t="shared" si="112"/>
        <v>0</v>
      </c>
      <c r="L691" s="125">
        <f t="shared" si="108"/>
        <v>0</v>
      </c>
      <c r="M691" s="126" t="str">
        <f>IF(ISERROR(L691/H691), "", L691/H691)</f>
        <v/>
      </c>
    </row>
    <row r="692" spans="1:13" ht="25.5" x14ac:dyDescent="0.25">
      <c r="A692" s="100" t="str">
        <f t="shared" si="111"/>
        <v>GENERAL SERVICE LESS THAN 50 KW SERVICE CLASSIFICATION</v>
      </c>
      <c r="B692" s="105" t="s">
        <v>167</v>
      </c>
      <c r="C692" s="117">
        <f>B14</f>
        <v>12</v>
      </c>
      <c r="D692" s="147" t="s">
        <v>168</v>
      </c>
      <c r="E692" s="148"/>
      <c r="F692" s="149"/>
      <c r="G692" s="150"/>
      <c r="H692" s="151">
        <f>SUM(H683:H691)</f>
        <v>107.3972</v>
      </c>
      <c r="I692" s="152"/>
      <c r="J692" s="153"/>
      <c r="K692" s="151">
        <f>SUM(K683:K691)</f>
        <v>107.3972</v>
      </c>
      <c r="L692" s="138">
        <f t="shared" si="108"/>
        <v>0</v>
      </c>
      <c r="M692" s="139">
        <f>IF((H692)=0,"",(L692/H692))</f>
        <v>0</v>
      </c>
    </row>
    <row r="693" spans="1:13" x14ac:dyDescent="0.25">
      <c r="A693" s="100" t="str">
        <f t="shared" si="111"/>
        <v>GENERAL SERVICE LESS THAN 50 KW SERVICE CLASSIFICATION</v>
      </c>
      <c r="C693" s="117"/>
      <c r="D693" s="154" t="s">
        <v>169</v>
      </c>
      <c r="E693" s="119"/>
      <c r="F693" s="127">
        <v>6.0000000000000001E-3</v>
      </c>
      <c r="G693" s="141">
        <f>IF($E670&gt;0, $E670, $E669*$E671)</f>
        <v>5280</v>
      </c>
      <c r="H693" s="122">
        <f>G693*F693</f>
        <v>31.68</v>
      </c>
      <c r="I693" s="128">
        <v>5.7000000000000002E-3</v>
      </c>
      <c r="J693" s="141">
        <f>IF($E670&gt;0, $E670, $E669*$E672)</f>
        <v>5280</v>
      </c>
      <c r="K693" s="122">
        <f t="shared" ref="K693:K694" si="113">H693</f>
        <v>31.68</v>
      </c>
      <c r="L693" s="125">
        <f t="shared" si="108"/>
        <v>0</v>
      </c>
      <c r="M693" s="126">
        <f>IF(ISERROR(L693/H693), "", L693/H693)</f>
        <v>0</v>
      </c>
    </row>
    <row r="694" spans="1:13" ht="25.5" x14ac:dyDescent="0.25">
      <c r="A694" s="100" t="str">
        <f t="shared" si="111"/>
        <v>GENERAL SERVICE LESS THAN 50 KW SERVICE CLASSIFICATION</v>
      </c>
      <c r="C694" s="117"/>
      <c r="D694" s="155" t="s">
        <v>170</v>
      </c>
      <c r="E694" s="119"/>
      <c r="F694" s="127">
        <v>5.3E-3</v>
      </c>
      <c r="G694" s="141">
        <f>IF($E670&gt;0, $E670, $E669*$E671)</f>
        <v>5280</v>
      </c>
      <c r="H694" s="122">
        <f>G694*F694</f>
        <v>27.984000000000002</v>
      </c>
      <c r="I694" s="128">
        <v>5.0000000000000001E-3</v>
      </c>
      <c r="J694" s="141">
        <f>IF($E670&gt;0, $E670, $E669*$E672)</f>
        <v>5280</v>
      </c>
      <c r="K694" s="122">
        <f t="shared" si="113"/>
        <v>27.984000000000002</v>
      </c>
      <c r="L694" s="125">
        <f t="shared" si="108"/>
        <v>0</v>
      </c>
      <c r="M694" s="126">
        <f>IF(ISERROR(L694/H694), "", L694/H694)</f>
        <v>0</v>
      </c>
    </row>
    <row r="695" spans="1:13" ht="25.5" x14ac:dyDescent="0.25">
      <c r="A695" s="100" t="str">
        <f t="shared" si="111"/>
        <v>GENERAL SERVICE LESS THAN 50 KW SERVICE CLASSIFICATION</v>
      </c>
      <c r="B695" s="105" t="s">
        <v>171</v>
      </c>
      <c r="C695" s="117">
        <f>B14</f>
        <v>12</v>
      </c>
      <c r="D695" s="147" t="s">
        <v>172</v>
      </c>
      <c r="E695" s="132"/>
      <c r="F695" s="149"/>
      <c r="G695" s="150"/>
      <c r="H695" s="151">
        <f>SUM(H692:H694)</f>
        <v>167.06120000000001</v>
      </c>
      <c r="I695" s="152"/>
      <c r="J695" s="137"/>
      <c r="K695" s="151">
        <f>SUM(K692:K694)</f>
        <v>167.06120000000001</v>
      </c>
      <c r="L695" s="138">
        <f t="shared" si="108"/>
        <v>0</v>
      </c>
      <c r="M695" s="139">
        <f>IF((H695)=0,"",(L695/H695))</f>
        <v>0</v>
      </c>
    </row>
    <row r="696" spans="1:13" ht="25.5" x14ac:dyDescent="0.25">
      <c r="A696" s="100" t="str">
        <f t="shared" si="111"/>
        <v>GENERAL SERVICE LESS THAN 50 KW SERVICE CLASSIFICATION</v>
      </c>
      <c r="C696" s="117"/>
      <c r="D696" s="156" t="s">
        <v>173</v>
      </c>
      <c r="E696" s="119"/>
      <c r="F696" s="127">
        <v>3.6000000000000003E-3</v>
      </c>
      <c r="G696" s="141">
        <f>E669*E671</f>
        <v>5280</v>
      </c>
      <c r="H696" s="157">
        <f t="shared" ref="H696:H702" si="114">G696*F696</f>
        <v>19.008000000000003</v>
      </c>
      <c r="I696" s="128">
        <v>3.6000000000000003E-3</v>
      </c>
      <c r="J696" s="141">
        <f>E669*E672</f>
        <v>5280</v>
      </c>
      <c r="K696" s="157">
        <f t="shared" ref="K696:K702" si="115">H696</f>
        <v>19.008000000000003</v>
      </c>
      <c r="L696" s="125">
        <f t="shared" si="108"/>
        <v>0</v>
      </c>
      <c r="M696" s="126">
        <f t="shared" ref="M696:M704" si="116">IF(ISERROR(L696/H696), "", L696/H696)</f>
        <v>0</v>
      </c>
    </row>
    <row r="697" spans="1:13" ht="25.5" x14ac:dyDescent="0.25">
      <c r="A697" s="100" t="str">
        <f t="shared" si="111"/>
        <v>GENERAL SERVICE LESS THAN 50 KW SERVICE CLASSIFICATION</v>
      </c>
      <c r="C697" s="117"/>
      <c r="D697" s="156" t="s">
        <v>174</v>
      </c>
      <c r="E697" s="119"/>
      <c r="F697" s="127">
        <f>'[1]17. Regulatory Charges'!$D$16</f>
        <v>2.9999999999999997E-4</v>
      </c>
      <c r="G697" s="141">
        <f>E669*E671</f>
        <v>5280</v>
      </c>
      <c r="H697" s="157">
        <f t="shared" si="114"/>
        <v>1.5839999999999999</v>
      </c>
      <c r="I697" s="128">
        <v>2.9999999999999997E-4</v>
      </c>
      <c r="J697" s="141">
        <f>E669*E672</f>
        <v>5280</v>
      </c>
      <c r="K697" s="157">
        <f t="shared" si="115"/>
        <v>1.5839999999999999</v>
      </c>
      <c r="L697" s="125">
        <f t="shared" si="108"/>
        <v>0</v>
      </c>
      <c r="M697" s="126">
        <f t="shared" si="116"/>
        <v>0</v>
      </c>
    </row>
    <row r="698" spans="1:13" x14ac:dyDescent="0.25">
      <c r="A698" s="100" t="str">
        <f t="shared" si="111"/>
        <v>GENERAL SERVICE LESS THAN 50 KW SERVICE CLASSIFICATION</v>
      </c>
      <c r="C698" s="117"/>
      <c r="D698" s="158" t="s">
        <v>175</v>
      </c>
      <c r="E698" s="119"/>
      <c r="F698" s="145">
        <v>0.25</v>
      </c>
      <c r="G698" s="121">
        <v>1</v>
      </c>
      <c r="H698" s="157">
        <f t="shared" si="114"/>
        <v>0.25</v>
      </c>
      <c r="I698" s="146">
        <f>'[1]17. Regulatory Charges'!$D$17</f>
        <v>0.25</v>
      </c>
      <c r="J698" s="124">
        <v>1</v>
      </c>
      <c r="K698" s="157">
        <f t="shared" si="115"/>
        <v>0.25</v>
      </c>
      <c r="L698" s="125">
        <f t="shared" si="108"/>
        <v>0</v>
      </c>
      <c r="M698" s="126">
        <f t="shared" si="116"/>
        <v>0</v>
      </c>
    </row>
    <row r="699" spans="1:13" ht="25.5" x14ac:dyDescent="0.25">
      <c r="A699" s="100" t="str">
        <f t="shared" si="111"/>
        <v>GENERAL SERVICE LESS THAN 50 KW SERVICE CLASSIFICATION</v>
      </c>
      <c r="C699" s="117"/>
      <c r="D699" s="156" t="s">
        <v>176</v>
      </c>
      <c r="E699" s="119"/>
      <c r="F699" s="127"/>
      <c r="G699" s="141"/>
      <c r="H699" s="157"/>
      <c r="I699" s="128"/>
      <c r="J699" s="141"/>
      <c r="K699" s="157">
        <f t="shared" si="115"/>
        <v>0</v>
      </c>
      <c r="L699" s="125"/>
      <c r="M699" s="126"/>
    </row>
    <row r="700" spans="1:13" x14ac:dyDescent="0.25">
      <c r="A700" s="100" t="str">
        <f t="shared" si="111"/>
        <v>GENERAL SERVICE LESS THAN 50 KW SERVICE CLASSIFICATION</v>
      </c>
      <c r="B700" s="105" t="s">
        <v>117</v>
      </c>
      <c r="C700" s="117"/>
      <c r="D700" s="159" t="s">
        <v>177</v>
      </c>
      <c r="E700" s="119"/>
      <c r="F700" s="160">
        <f>OffPeak</f>
        <v>6.5000000000000002E-2</v>
      </c>
      <c r="G700" s="161">
        <f>IF(AND(E669*12&gt;=150000),0.65*E669*E671,0.65*E669)</f>
        <v>3250</v>
      </c>
      <c r="H700" s="157">
        <f t="shared" si="114"/>
        <v>211.25</v>
      </c>
      <c r="I700" s="162">
        <f>OffPeak</f>
        <v>6.5000000000000002E-2</v>
      </c>
      <c r="J700" s="161">
        <f>IF(AND(E669*12&gt;=150000),0.65*E669*E672,0.65*E669)</f>
        <v>3250</v>
      </c>
      <c r="K700" s="157">
        <f t="shared" si="115"/>
        <v>211.25</v>
      </c>
      <c r="L700" s="125">
        <f>K700-H700</f>
        <v>0</v>
      </c>
      <c r="M700" s="126">
        <f t="shared" si="116"/>
        <v>0</v>
      </c>
    </row>
    <row r="701" spans="1:13" x14ac:dyDescent="0.25">
      <c r="A701" s="100" t="str">
        <f t="shared" si="111"/>
        <v>GENERAL SERVICE LESS THAN 50 KW SERVICE CLASSIFICATION</v>
      </c>
      <c r="B701" s="105" t="s">
        <v>117</v>
      </c>
      <c r="C701" s="117"/>
      <c r="D701" s="159" t="s">
        <v>178</v>
      </c>
      <c r="E701" s="119"/>
      <c r="F701" s="160">
        <f>MidPeak</f>
        <v>9.4E-2</v>
      </c>
      <c r="G701" s="161">
        <f>IF(AND(E669*12&gt;=150000),0.17*E669*E671,0.17*E669)</f>
        <v>850.00000000000011</v>
      </c>
      <c r="H701" s="157">
        <f t="shared" si="114"/>
        <v>79.900000000000006</v>
      </c>
      <c r="I701" s="162">
        <f>MidPeak</f>
        <v>9.4E-2</v>
      </c>
      <c r="J701" s="161">
        <f>IF(AND(E669*12&gt;=150000),0.17*E669*E672,0.17*E669)</f>
        <v>850.00000000000011</v>
      </c>
      <c r="K701" s="157">
        <f t="shared" si="115"/>
        <v>79.900000000000006</v>
      </c>
      <c r="L701" s="125">
        <f>K701-H701</f>
        <v>0</v>
      </c>
      <c r="M701" s="126">
        <f t="shared" si="116"/>
        <v>0</v>
      </c>
    </row>
    <row r="702" spans="1:13" ht="15.75" thickBot="1" x14ac:dyDescent="0.3">
      <c r="A702" s="100" t="str">
        <f t="shared" si="111"/>
        <v>GENERAL SERVICE LESS THAN 50 KW SERVICE CLASSIFICATION</v>
      </c>
      <c r="B702" s="105" t="s">
        <v>117</v>
      </c>
      <c r="C702" s="117"/>
      <c r="D702" s="105" t="s">
        <v>179</v>
      </c>
      <c r="E702" s="119"/>
      <c r="F702" s="160">
        <f>OnPeak</f>
        <v>0.13200000000000001</v>
      </c>
      <c r="G702" s="161">
        <f>IF(AND(E669*12&gt;=150000),0.18*E669*E671,0.18*E669)</f>
        <v>900</v>
      </c>
      <c r="H702" s="157">
        <f t="shared" si="114"/>
        <v>118.80000000000001</v>
      </c>
      <c r="I702" s="162">
        <f>OnPeak</f>
        <v>0.13200000000000001</v>
      </c>
      <c r="J702" s="161">
        <f>IF(AND(E669*12&gt;=150000),0.18*E669*E672,0.18*E669)</f>
        <v>900</v>
      </c>
      <c r="K702" s="157">
        <f t="shared" si="115"/>
        <v>118.80000000000001</v>
      </c>
      <c r="L702" s="125">
        <f>K702-H702</f>
        <v>0</v>
      </c>
      <c r="M702" s="126">
        <f t="shared" si="116"/>
        <v>0</v>
      </c>
    </row>
    <row r="703" spans="1:13" ht="15.75" hidden="1" thickBot="1" x14ac:dyDescent="0.3">
      <c r="A703" s="100" t="str">
        <f t="shared" si="111"/>
        <v>GENERAL SERVICE LESS THAN 50 KW SERVICE CLASSIFICATION</v>
      </c>
      <c r="B703" s="100" t="s">
        <v>180</v>
      </c>
      <c r="C703" s="117"/>
      <c r="D703" s="159" t="s">
        <v>181</v>
      </c>
      <c r="E703" s="119"/>
      <c r="F703" s="163">
        <v>0.1101</v>
      </c>
      <c r="G703" s="161">
        <f>IF(AND(E669*12&gt;=150000),E669*E671,E669)</f>
        <v>5000</v>
      </c>
      <c r="H703" s="157">
        <f>G703*F703</f>
        <v>550.5</v>
      </c>
      <c r="I703" s="164">
        <f>F703</f>
        <v>0.1101</v>
      </c>
      <c r="J703" s="161">
        <f>IF(AND(E669*12&gt;=150000),E669*E672,E669)</f>
        <v>5000</v>
      </c>
      <c r="K703" s="157">
        <f>J703*I703</f>
        <v>550.5</v>
      </c>
      <c r="L703" s="125">
        <f>K703-H703</f>
        <v>0</v>
      </c>
      <c r="M703" s="126">
        <f t="shared" si="116"/>
        <v>0</v>
      </c>
    </row>
    <row r="704" spans="1:13" ht="15.75" hidden="1" thickBot="1" x14ac:dyDescent="0.3">
      <c r="A704" s="100" t="str">
        <f t="shared" si="111"/>
        <v>GENERAL SERVICE LESS THAN 50 KW SERVICE CLASSIFICATION</v>
      </c>
      <c r="B704" s="100" t="s">
        <v>121</v>
      </c>
      <c r="C704" s="117"/>
      <c r="D704" s="159" t="s">
        <v>182</v>
      </c>
      <c r="E704" s="119"/>
      <c r="F704" s="163">
        <v>0.1101</v>
      </c>
      <c r="G704" s="161">
        <f>IF(AND(E669*12&gt;=150000),E669*E671,E669)</f>
        <v>5000</v>
      </c>
      <c r="H704" s="157">
        <f>G704*F704</f>
        <v>550.5</v>
      </c>
      <c r="I704" s="164">
        <f>F704</f>
        <v>0.1101</v>
      </c>
      <c r="J704" s="161">
        <f>IF(AND(E669*12&gt;=150000),E669*E672,E669)</f>
        <v>5000</v>
      </c>
      <c r="K704" s="157">
        <f>J704*I704</f>
        <v>550.5</v>
      </c>
      <c r="L704" s="125">
        <f>K704-H704</f>
        <v>0</v>
      </c>
      <c r="M704" s="126">
        <f t="shared" si="116"/>
        <v>0</v>
      </c>
    </row>
    <row r="705" spans="1:13" ht="15.75" thickBot="1" x14ac:dyDescent="0.3">
      <c r="A705" s="100" t="str">
        <f t="shared" si="111"/>
        <v>GENERAL SERVICE LESS THAN 50 KW SERVICE CLASSIFICATION</v>
      </c>
      <c r="B705" s="105"/>
      <c r="C705" s="117"/>
      <c r="D705" s="165"/>
      <c r="E705" s="166"/>
      <c r="F705" s="167"/>
      <c r="G705" s="168"/>
      <c r="H705" s="169"/>
      <c r="I705" s="167"/>
      <c r="J705" s="170"/>
      <c r="K705" s="169"/>
      <c r="L705" s="171"/>
      <c r="M705" s="172"/>
    </row>
    <row r="706" spans="1:13" x14ac:dyDescent="0.25">
      <c r="A706" s="100" t="str">
        <f t="shared" si="111"/>
        <v>GENERAL SERVICE LESS THAN 50 KW SERVICE CLASSIFICATION</v>
      </c>
      <c r="B706" s="105" t="s">
        <v>117</v>
      </c>
      <c r="C706" s="117"/>
      <c r="D706" s="173" t="s">
        <v>183</v>
      </c>
      <c r="E706" s="158"/>
      <c r="F706" s="174"/>
      <c r="G706" s="175"/>
      <c r="H706" s="176">
        <f>SUM(H696:H702,H695)</f>
        <v>597.85320000000002</v>
      </c>
      <c r="I706" s="177"/>
      <c r="J706" s="177"/>
      <c r="K706" s="176">
        <f>SUM(K696:K702,K695)</f>
        <v>597.85320000000002</v>
      </c>
      <c r="L706" s="178">
        <f>K706-H706</f>
        <v>0</v>
      </c>
      <c r="M706" s="179">
        <f>IF((H706)=0,"",(L706/H706))</f>
        <v>0</v>
      </c>
    </row>
    <row r="707" spans="1:13" x14ac:dyDescent="0.25">
      <c r="A707" s="100" t="str">
        <f t="shared" si="111"/>
        <v>GENERAL SERVICE LESS THAN 50 KW SERVICE CLASSIFICATION</v>
      </c>
      <c r="B707" s="105" t="s">
        <v>117</v>
      </c>
      <c r="C707" s="117"/>
      <c r="D707" s="180" t="s">
        <v>184</v>
      </c>
      <c r="E707" s="158"/>
      <c r="F707" s="174">
        <v>0.13</v>
      </c>
      <c r="G707" s="181"/>
      <c r="H707" s="182">
        <f>H706*F707</f>
        <v>77.720916000000003</v>
      </c>
      <c r="I707" s="183">
        <v>0.13</v>
      </c>
      <c r="J707" s="121"/>
      <c r="K707" s="182">
        <f>K706*I707</f>
        <v>77.720916000000003</v>
      </c>
      <c r="L707" s="184">
        <f>K707-H707</f>
        <v>0</v>
      </c>
      <c r="M707" s="185">
        <f>IF((H707)=0,"",(L707/H707))</f>
        <v>0</v>
      </c>
    </row>
    <row r="708" spans="1:13" x14ac:dyDescent="0.25">
      <c r="A708" s="100" t="str">
        <f t="shared" si="111"/>
        <v>GENERAL SERVICE LESS THAN 50 KW SERVICE CLASSIFICATION</v>
      </c>
      <c r="B708" s="105" t="s">
        <v>117</v>
      </c>
      <c r="C708" s="117"/>
      <c r="D708" s="180" t="s">
        <v>185</v>
      </c>
      <c r="E708" s="158"/>
      <c r="F708" s="174">
        <v>0.08</v>
      </c>
      <c r="G708" s="181"/>
      <c r="H708" s="182">
        <f>H706*-F708</f>
        <v>-47.828256000000003</v>
      </c>
      <c r="I708" s="174">
        <v>0.08</v>
      </c>
      <c r="J708" s="121"/>
      <c r="K708" s="182">
        <f>K706*-I708</f>
        <v>-47.828256000000003</v>
      </c>
      <c r="L708" s="184">
        <f>K708-H708</f>
        <v>0</v>
      </c>
      <c r="M708" s="185"/>
    </row>
    <row r="709" spans="1:13" ht="15.75" thickBot="1" x14ac:dyDescent="0.3">
      <c r="A709" s="100" t="str">
        <f t="shared" si="111"/>
        <v>GENERAL SERVICE LESS THAN 50 KW SERVICE CLASSIFICATION</v>
      </c>
      <c r="B709" s="105" t="s">
        <v>186</v>
      </c>
      <c r="C709" s="117">
        <f>B14</f>
        <v>12</v>
      </c>
      <c r="D709" s="301" t="s">
        <v>187</v>
      </c>
      <c r="E709" s="301"/>
      <c r="F709" s="186"/>
      <c r="G709" s="187"/>
      <c r="H709" s="188">
        <f>H706+H707+H708</f>
        <v>627.74585999999999</v>
      </c>
      <c r="I709" s="189"/>
      <c r="J709" s="189"/>
      <c r="K709" s="190">
        <f>K706+K707+K708</f>
        <v>627.74585999999999</v>
      </c>
      <c r="L709" s="191">
        <f>K709-H709</f>
        <v>0</v>
      </c>
      <c r="M709" s="192">
        <f>IF((H709)=0,"",(L709/H709))</f>
        <v>0</v>
      </c>
    </row>
    <row r="710" spans="1:13" ht="15.75" hidden="1" thickBot="1" x14ac:dyDescent="0.3">
      <c r="A710" s="100" t="str">
        <f t="shared" si="111"/>
        <v>GENERAL SERVICE LESS THAN 50 KW SERVICE CLASSIFICATION</v>
      </c>
      <c r="B710" s="100" t="s">
        <v>117</v>
      </c>
      <c r="C710" s="117"/>
      <c r="D710" s="165"/>
      <c r="E710" s="166"/>
      <c r="F710" s="167"/>
      <c r="G710" s="168"/>
      <c r="H710" s="169"/>
      <c r="I710" s="167"/>
      <c r="J710" s="170"/>
      <c r="K710" s="169"/>
      <c r="L710" s="171"/>
      <c r="M710" s="172"/>
    </row>
    <row r="711" spans="1:13" ht="15.75" hidden="1" thickBot="1" x14ac:dyDescent="0.3">
      <c r="A711" s="100" t="str">
        <f t="shared" si="111"/>
        <v>GENERAL SERVICE LESS THAN 50 KW SERVICE CLASSIFICATION</v>
      </c>
      <c r="B711" s="100" t="s">
        <v>180</v>
      </c>
      <c r="C711" s="117"/>
      <c r="D711" s="173" t="s">
        <v>188</v>
      </c>
      <c r="E711" s="158"/>
      <c r="F711" s="174"/>
      <c r="G711" s="175"/>
      <c r="H711" s="176">
        <f>SUM(H703,H696:H699,H695)</f>
        <v>738.40319999999997</v>
      </c>
      <c r="I711" s="177"/>
      <c r="J711" s="177"/>
      <c r="K711" s="176">
        <f>SUM(K703,K696:K699,K695)</f>
        <v>738.40319999999997</v>
      </c>
      <c r="L711" s="178">
        <f>K711-H711</f>
        <v>0</v>
      </c>
      <c r="M711" s="179">
        <f>IF((H711)=0,"",(L711/H711))</f>
        <v>0</v>
      </c>
    </row>
    <row r="712" spans="1:13" ht="15.75" hidden="1" thickBot="1" x14ac:dyDescent="0.3">
      <c r="A712" s="100" t="str">
        <f t="shared" si="111"/>
        <v>GENERAL SERVICE LESS THAN 50 KW SERVICE CLASSIFICATION</v>
      </c>
      <c r="B712" s="100" t="s">
        <v>180</v>
      </c>
      <c r="C712" s="117"/>
      <c r="D712" s="180" t="s">
        <v>184</v>
      </c>
      <c r="E712" s="158"/>
      <c r="F712" s="174">
        <v>0.13</v>
      </c>
      <c r="G712" s="175"/>
      <c r="H712" s="182">
        <f>H711*F712</f>
        <v>95.992416000000006</v>
      </c>
      <c r="I712" s="174">
        <v>0.13</v>
      </c>
      <c r="J712" s="183"/>
      <c r="K712" s="182">
        <f>K711*I712</f>
        <v>95.992416000000006</v>
      </c>
      <c r="L712" s="184">
        <f>K712-H712</f>
        <v>0</v>
      </c>
      <c r="M712" s="185">
        <f>IF((H712)=0,"",(L712/H712))</f>
        <v>0</v>
      </c>
    </row>
    <row r="713" spans="1:13" ht="15.75" hidden="1" thickBot="1" x14ac:dyDescent="0.3">
      <c r="A713" s="100" t="str">
        <f t="shared" si="111"/>
        <v>GENERAL SERVICE LESS THAN 50 KW SERVICE CLASSIFICATION</v>
      </c>
      <c r="B713" s="100" t="s">
        <v>180</v>
      </c>
      <c r="C713" s="117"/>
      <c r="D713" s="180" t="s">
        <v>185</v>
      </c>
      <c r="E713" s="158"/>
      <c r="F713" s="174">
        <v>0.08</v>
      </c>
      <c r="G713" s="175"/>
      <c r="H713" s="182"/>
      <c r="I713" s="174">
        <v>0.08</v>
      </c>
      <c r="J713" s="183"/>
      <c r="K713" s="182"/>
      <c r="L713" s="184"/>
      <c r="M713" s="185"/>
    </row>
    <row r="714" spans="1:13" ht="15.75" hidden="1" thickBot="1" x14ac:dyDescent="0.3">
      <c r="A714" s="100" t="str">
        <f t="shared" si="111"/>
        <v>GENERAL SERVICE LESS THAN 50 KW SERVICE CLASSIFICATION</v>
      </c>
      <c r="B714" s="100" t="s">
        <v>189</v>
      </c>
      <c r="C714" s="117"/>
      <c r="D714" s="301" t="s">
        <v>188</v>
      </c>
      <c r="E714" s="301"/>
      <c r="F714" s="193"/>
      <c r="G714" s="194"/>
      <c r="H714" s="188">
        <f>SUM(H711,H712)</f>
        <v>834.39561600000002</v>
      </c>
      <c r="I714" s="195"/>
      <c r="J714" s="195"/>
      <c r="K714" s="188">
        <f>SUM(K711,K712)</f>
        <v>834.39561600000002</v>
      </c>
      <c r="L714" s="196">
        <f>K714-H714</f>
        <v>0</v>
      </c>
      <c r="M714" s="197">
        <f>IF((H714)=0,"",(L714/H714))</f>
        <v>0</v>
      </c>
    </row>
    <row r="715" spans="1:13" ht="15.75" hidden="1" thickBot="1" x14ac:dyDescent="0.3">
      <c r="A715" s="100" t="str">
        <f t="shared" si="111"/>
        <v>GENERAL SERVICE LESS THAN 50 KW SERVICE CLASSIFICATION</v>
      </c>
      <c r="B715" s="100" t="s">
        <v>180</v>
      </c>
      <c r="C715" s="117"/>
      <c r="D715" s="165"/>
      <c r="E715" s="166"/>
      <c r="F715" s="198"/>
      <c r="G715" s="199"/>
      <c r="H715" s="200"/>
      <c r="I715" s="198"/>
      <c r="J715" s="168"/>
      <c r="K715" s="200"/>
      <c r="L715" s="201"/>
      <c r="M715" s="172"/>
    </row>
    <row r="716" spans="1:13" ht="15.75" hidden="1" thickBot="1" x14ac:dyDescent="0.3">
      <c r="A716" s="100" t="str">
        <f t="shared" si="111"/>
        <v>GENERAL SERVICE LESS THAN 50 KW SERVICE CLASSIFICATION</v>
      </c>
      <c r="B716" s="100" t="s">
        <v>121</v>
      </c>
      <c r="C716" s="117"/>
      <c r="D716" s="173" t="s">
        <v>190</v>
      </c>
      <c r="E716" s="158"/>
      <c r="F716" s="174"/>
      <c r="G716" s="175"/>
      <c r="H716" s="176">
        <f>SUM(H704,H696:H699,H695)</f>
        <v>738.40319999999997</v>
      </c>
      <c r="I716" s="177"/>
      <c r="J716" s="177"/>
      <c r="K716" s="176">
        <f>SUM(K704,K696:K699,K695)</f>
        <v>738.40319999999997</v>
      </c>
      <c r="L716" s="178">
        <f>K716-H716</f>
        <v>0</v>
      </c>
      <c r="M716" s="179">
        <f>IF((H716)=0,"",(L716/H716))</f>
        <v>0</v>
      </c>
    </row>
    <row r="717" spans="1:13" ht="15.75" hidden="1" thickBot="1" x14ac:dyDescent="0.3">
      <c r="A717" s="100" t="str">
        <f t="shared" si="111"/>
        <v>GENERAL SERVICE LESS THAN 50 KW SERVICE CLASSIFICATION</v>
      </c>
      <c r="B717" s="100" t="s">
        <v>121</v>
      </c>
      <c r="C717" s="117"/>
      <c r="D717" s="180" t="s">
        <v>184</v>
      </c>
      <c r="E717" s="158"/>
      <c r="F717" s="174">
        <v>0.13</v>
      </c>
      <c r="G717" s="175"/>
      <c r="H717" s="182">
        <f>H716*F717</f>
        <v>95.992416000000006</v>
      </c>
      <c r="I717" s="174">
        <v>0.13</v>
      </c>
      <c r="J717" s="183"/>
      <c r="K717" s="182">
        <f>K716*I717</f>
        <v>95.992416000000006</v>
      </c>
      <c r="L717" s="184">
        <f>K717-H717</f>
        <v>0</v>
      </c>
      <c r="M717" s="185">
        <f>IF((H717)=0,"",(L717/H717))</f>
        <v>0</v>
      </c>
    </row>
    <row r="718" spans="1:13" ht="15.75" hidden="1" thickBot="1" x14ac:dyDescent="0.3">
      <c r="A718" s="100" t="str">
        <f t="shared" si="111"/>
        <v>GENERAL SERVICE LESS THAN 50 KW SERVICE CLASSIFICATION</v>
      </c>
      <c r="B718" s="100" t="s">
        <v>121</v>
      </c>
      <c r="C718" s="117"/>
      <c r="D718" s="180" t="s">
        <v>185</v>
      </c>
      <c r="E718" s="158"/>
      <c r="F718" s="174">
        <v>0.08</v>
      </c>
      <c r="G718" s="175"/>
      <c r="H718" s="182"/>
      <c r="I718" s="174">
        <v>0.08</v>
      </c>
      <c r="J718" s="183"/>
      <c r="K718" s="182"/>
      <c r="L718" s="184"/>
      <c r="M718" s="185"/>
    </row>
    <row r="719" spans="1:13" ht="15.75" hidden="1" thickBot="1" x14ac:dyDescent="0.3">
      <c r="A719" s="100" t="str">
        <f t="shared" si="111"/>
        <v>GENERAL SERVICE LESS THAN 50 KW SERVICE CLASSIFICATION</v>
      </c>
      <c r="B719" s="100" t="s">
        <v>191</v>
      </c>
      <c r="C719" s="117"/>
      <c r="D719" s="301" t="s">
        <v>190</v>
      </c>
      <c r="E719" s="301"/>
      <c r="F719" s="193"/>
      <c r="G719" s="194"/>
      <c r="H719" s="188">
        <f>SUM(H716,H717)</f>
        <v>834.39561600000002</v>
      </c>
      <c r="I719" s="195"/>
      <c r="J719" s="195"/>
      <c r="K719" s="188">
        <f>SUM(K716,K717)</f>
        <v>834.39561600000002</v>
      </c>
      <c r="L719" s="196">
        <f>K719-H719</f>
        <v>0</v>
      </c>
      <c r="M719" s="197">
        <f>IF((H719)=0,"",(L719/H719))</f>
        <v>0</v>
      </c>
    </row>
    <row r="720" spans="1:13" ht="15.75" thickBot="1" x14ac:dyDescent="0.3">
      <c r="A720" s="100" t="str">
        <f t="shared" si="111"/>
        <v>GENERAL SERVICE LESS THAN 50 KW SERVICE CLASSIFICATION</v>
      </c>
      <c r="B720" s="100" t="s">
        <v>121</v>
      </c>
      <c r="C720" s="117"/>
      <c r="D720" s="165"/>
      <c r="E720" s="166"/>
      <c r="F720" s="202"/>
      <c r="G720" s="203"/>
      <c r="H720" s="204"/>
      <c r="I720" s="202"/>
      <c r="J720" s="205"/>
      <c r="K720" s="204"/>
      <c r="L720" s="206"/>
      <c r="M720" s="207"/>
    </row>
    <row r="723" spans="1:13" x14ac:dyDescent="0.25">
      <c r="C723" s="100"/>
      <c r="D723" s="101" t="s">
        <v>134</v>
      </c>
      <c r="E723" s="302" t="str">
        <f>D15</f>
        <v>GENERAL SERVICE LESS THAN 50 KW SERVICE CLASSIFICATION</v>
      </c>
      <c r="F723" s="302"/>
      <c r="G723" s="302"/>
      <c r="H723" s="302"/>
      <c r="I723" s="302"/>
      <c r="J723" s="302"/>
      <c r="K723" s="100" t="str">
        <f>IF(N15="DEMAND - INTERVAL","RTSR - INTERVAL METERED","")</f>
        <v/>
      </c>
    </row>
    <row r="724" spans="1:13" x14ac:dyDescent="0.25">
      <c r="C724" s="100"/>
      <c r="D724" s="101" t="s">
        <v>135</v>
      </c>
      <c r="E724" s="303" t="str">
        <f>H15</f>
        <v>RPP</v>
      </c>
      <c r="F724" s="303"/>
      <c r="G724" s="303"/>
      <c r="H724" s="102"/>
      <c r="I724" s="102"/>
    </row>
    <row r="725" spans="1:13" ht="15.75" x14ac:dyDescent="0.25">
      <c r="C725" s="100"/>
      <c r="D725" s="101" t="s">
        <v>136</v>
      </c>
      <c r="E725" s="103">
        <f>K15</f>
        <v>15000</v>
      </c>
      <c r="F725" s="104" t="s">
        <v>137</v>
      </c>
      <c r="G725" s="105"/>
      <c r="J725" s="106"/>
      <c r="K725" s="106"/>
      <c r="L725" s="106"/>
      <c r="M725" s="106"/>
    </row>
    <row r="726" spans="1:13" ht="15.75" x14ac:dyDescent="0.25">
      <c r="C726" s="100"/>
      <c r="D726" s="101" t="s">
        <v>138</v>
      </c>
      <c r="E726" s="103">
        <f>L15</f>
        <v>0</v>
      </c>
      <c r="F726" s="107" t="s">
        <v>139</v>
      </c>
      <c r="G726" s="108"/>
      <c r="H726" s="109"/>
      <c r="I726" s="109"/>
      <c r="J726" s="109"/>
    </row>
    <row r="727" spans="1:13" x14ac:dyDescent="0.25">
      <c r="C727" s="100"/>
      <c r="D727" s="101" t="s">
        <v>140</v>
      </c>
      <c r="E727" s="110">
        <f>I15</f>
        <v>1.056</v>
      </c>
    </row>
    <row r="728" spans="1:13" x14ac:dyDescent="0.25">
      <c r="C728" s="100"/>
      <c r="D728" s="101" t="s">
        <v>141</v>
      </c>
      <c r="E728" s="110">
        <f>J15</f>
        <v>1.056</v>
      </c>
    </row>
    <row r="729" spans="1:13" x14ac:dyDescent="0.25">
      <c r="C729" s="100"/>
      <c r="D729" s="105"/>
    </row>
    <row r="730" spans="1:13" x14ac:dyDescent="0.25">
      <c r="C730" s="100"/>
      <c r="D730" s="105"/>
      <c r="E730" s="111"/>
      <c r="F730" s="304" t="s">
        <v>142</v>
      </c>
      <c r="G730" s="305"/>
      <c r="H730" s="306"/>
      <c r="I730" s="304" t="s">
        <v>143</v>
      </c>
      <c r="J730" s="305"/>
      <c r="K730" s="306"/>
      <c r="L730" s="304" t="s">
        <v>144</v>
      </c>
      <c r="M730" s="306"/>
    </row>
    <row r="731" spans="1:13" x14ac:dyDescent="0.25">
      <c r="C731" s="100"/>
      <c r="D731" s="105"/>
      <c r="E731" s="295"/>
      <c r="F731" s="112" t="s">
        <v>145</v>
      </c>
      <c r="G731" s="112" t="s">
        <v>146</v>
      </c>
      <c r="H731" s="113" t="s">
        <v>147</v>
      </c>
      <c r="I731" s="112" t="s">
        <v>145</v>
      </c>
      <c r="J731" s="114" t="s">
        <v>146</v>
      </c>
      <c r="K731" s="113" t="s">
        <v>147</v>
      </c>
      <c r="L731" s="297" t="s">
        <v>148</v>
      </c>
      <c r="M731" s="299" t="s">
        <v>149</v>
      </c>
    </row>
    <row r="732" spans="1:13" x14ac:dyDescent="0.25">
      <c r="C732" s="100"/>
      <c r="D732" s="105"/>
      <c r="E732" s="296"/>
      <c r="F732" s="115" t="s">
        <v>150</v>
      </c>
      <c r="G732" s="115"/>
      <c r="H732" s="116" t="s">
        <v>150</v>
      </c>
      <c r="I732" s="115" t="s">
        <v>150</v>
      </c>
      <c r="J732" s="116"/>
      <c r="K732" s="116" t="s">
        <v>150</v>
      </c>
      <c r="L732" s="298"/>
      <c r="M732" s="300"/>
    </row>
    <row r="733" spans="1:13" x14ac:dyDescent="0.25">
      <c r="A733" s="100" t="str">
        <f>$E723</f>
        <v>GENERAL SERVICE LESS THAN 50 KW SERVICE CLASSIFICATION</v>
      </c>
      <c r="C733" s="117"/>
      <c r="D733" s="118" t="s">
        <v>151</v>
      </c>
      <c r="E733" s="119"/>
      <c r="F733" s="120">
        <v>28.37</v>
      </c>
      <c r="G733" s="121">
        <v>1</v>
      </c>
      <c r="H733" s="122">
        <f>G733*F733</f>
        <v>28.37</v>
      </c>
      <c r="I733" s="123">
        <v>28.71</v>
      </c>
      <c r="J733" s="124">
        <f>G733</f>
        <v>1</v>
      </c>
      <c r="K733" s="122">
        <f t="shared" ref="K733:K738" si="117">H733</f>
        <v>28.37</v>
      </c>
      <c r="L733" s="125">
        <f t="shared" ref="L733:L754" si="118">K733-H733</f>
        <v>0</v>
      </c>
      <c r="M733" s="126">
        <f>IF(ISERROR(L733/H733), "", L733/H733)</f>
        <v>0</v>
      </c>
    </row>
    <row r="734" spans="1:13" x14ac:dyDescent="0.25">
      <c r="A734" s="100" t="str">
        <f>A733</f>
        <v>GENERAL SERVICE LESS THAN 50 KW SERVICE CLASSIFICATION</v>
      </c>
      <c r="C734" s="117"/>
      <c r="D734" s="118" t="s">
        <v>152</v>
      </c>
      <c r="E734" s="119"/>
      <c r="F734" s="127">
        <v>1.0200000000000001E-2</v>
      </c>
      <c r="G734" s="121">
        <f>IF($E726&gt;0, $E726, $E725)</f>
        <v>15000</v>
      </c>
      <c r="H734" s="122">
        <f t="shared" ref="H734:H746" si="119">G734*F734</f>
        <v>153</v>
      </c>
      <c r="I734" s="128">
        <v>1.03E-2</v>
      </c>
      <c r="J734" s="124">
        <f>IF($E726&gt;0, $E726, $E725)</f>
        <v>15000</v>
      </c>
      <c r="K734" s="122">
        <f t="shared" si="117"/>
        <v>153</v>
      </c>
      <c r="L734" s="125">
        <f t="shared" si="118"/>
        <v>0</v>
      </c>
      <c r="M734" s="126">
        <f t="shared" ref="M734:M744" si="120">IF(ISERROR(L734/H734), "", L734/H734)</f>
        <v>0</v>
      </c>
    </row>
    <row r="735" spans="1:13" x14ac:dyDescent="0.25">
      <c r="A735" s="100" t="str">
        <f t="shared" ref="A735:A776" si="121">A734</f>
        <v>GENERAL SERVICE LESS THAN 50 KW SERVICE CLASSIFICATION</v>
      </c>
      <c r="C735" s="117"/>
      <c r="D735" s="118" t="s">
        <v>153</v>
      </c>
      <c r="E735" s="119"/>
      <c r="F735" s="127"/>
      <c r="G735" s="121">
        <f>IF($E726&gt;0, $E726, $E725)</f>
        <v>15000</v>
      </c>
      <c r="H735" s="122">
        <v>0</v>
      </c>
      <c r="I735" s="128"/>
      <c r="J735" s="124">
        <f>IF($E726&gt;0, $E726, $E725)</f>
        <v>15000</v>
      </c>
      <c r="K735" s="122">
        <f t="shared" si="117"/>
        <v>0</v>
      </c>
      <c r="L735" s="125"/>
      <c r="M735" s="126"/>
    </row>
    <row r="736" spans="1:13" x14ac:dyDescent="0.25">
      <c r="A736" s="100" t="str">
        <f t="shared" si="121"/>
        <v>GENERAL SERVICE LESS THAN 50 KW SERVICE CLASSIFICATION</v>
      </c>
      <c r="C736" s="117"/>
      <c r="D736" s="118" t="s">
        <v>154</v>
      </c>
      <c r="E736" s="119"/>
      <c r="F736" s="127"/>
      <c r="G736" s="121">
        <f>IF($E726&gt;0, $E726, $E725)</f>
        <v>15000</v>
      </c>
      <c r="H736" s="122">
        <v>0</v>
      </c>
      <c r="I736" s="128"/>
      <c r="J736" s="121">
        <f>IF($E726&gt;0, $E726, $E725)</f>
        <v>15000</v>
      </c>
      <c r="K736" s="122">
        <f t="shared" si="117"/>
        <v>0</v>
      </c>
      <c r="L736" s="125">
        <f>K736-H736</f>
        <v>0</v>
      </c>
      <c r="M736" s="126" t="str">
        <f>IF(ISERROR(L736/H736), "", L736/H736)</f>
        <v/>
      </c>
    </row>
    <row r="737" spans="1:13" x14ac:dyDescent="0.25">
      <c r="A737" s="100" t="str">
        <f t="shared" si="121"/>
        <v>GENERAL SERVICE LESS THAN 50 KW SERVICE CLASSIFICATION</v>
      </c>
      <c r="C737" s="117"/>
      <c r="D737" s="129" t="s">
        <v>155</v>
      </c>
      <c r="E737" s="119"/>
      <c r="F737" s="120">
        <v>0</v>
      </c>
      <c r="G737" s="121">
        <v>1</v>
      </c>
      <c r="H737" s="122">
        <f t="shared" si="119"/>
        <v>0</v>
      </c>
      <c r="I737" s="123">
        <v>0</v>
      </c>
      <c r="J737" s="124">
        <f>G737</f>
        <v>1</v>
      </c>
      <c r="K737" s="122">
        <f t="shared" si="117"/>
        <v>0</v>
      </c>
      <c r="L737" s="125">
        <f t="shared" si="118"/>
        <v>0</v>
      </c>
      <c r="M737" s="126" t="str">
        <f t="shared" si="120"/>
        <v/>
      </c>
    </row>
    <row r="738" spans="1:13" x14ac:dyDescent="0.25">
      <c r="A738" s="100" t="str">
        <f t="shared" si="121"/>
        <v>GENERAL SERVICE LESS THAN 50 KW SERVICE CLASSIFICATION</v>
      </c>
      <c r="C738" s="117"/>
      <c r="D738" s="118" t="s">
        <v>156</v>
      </c>
      <c r="E738" s="119"/>
      <c r="F738" s="127">
        <v>0</v>
      </c>
      <c r="G738" s="121">
        <f>IF($E726&gt;0, $E726, $E725)</f>
        <v>15000</v>
      </c>
      <c r="H738" s="122">
        <f t="shared" si="119"/>
        <v>0</v>
      </c>
      <c r="I738" s="128">
        <v>0</v>
      </c>
      <c r="J738" s="124">
        <f>IF($E726&gt;0, $E726, $E725)</f>
        <v>15000</v>
      </c>
      <c r="K738" s="122">
        <f t="shared" si="117"/>
        <v>0</v>
      </c>
      <c r="L738" s="125">
        <f t="shared" si="118"/>
        <v>0</v>
      </c>
      <c r="M738" s="126" t="str">
        <f t="shared" si="120"/>
        <v/>
      </c>
    </row>
    <row r="739" spans="1:13" x14ac:dyDescent="0.25">
      <c r="A739" s="100" t="str">
        <f t="shared" si="121"/>
        <v>GENERAL SERVICE LESS THAN 50 KW SERVICE CLASSIFICATION</v>
      </c>
      <c r="B739" s="130" t="s">
        <v>157</v>
      </c>
      <c r="C739" s="117">
        <f>B15</f>
        <v>13</v>
      </c>
      <c r="D739" s="131" t="s">
        <v>158</v>
      </c>
      <c r="E739" s="132"/>
      <c r="F739" s="133"/>
      <c r="G739" s="134"/>
      <c r="H739" s="135">
        <f>SUM(H733:H738)</f>
        <v>181.37</v>
      </c>
      <c r="I739" s="136"/>
      <c r="J739" s="137"/>
      <c r="K739" s="135">
        <f>SUM(K733:K738)</f>
        <v>181.37</v>
      </c>
      <c r="L739" s="138">
        <f t="shared" si="118"/>
        <v>0</v>
      </c>
      <c r="M739" s="139">
        <f>IF((H739)=0,"",(L739/H739))</f>
        <v>0</v>
      </c>
    </row>
    <row r="740" spans="1:13" x14ac:dyDescent="0.25">
      <c r="A740" s="100" t="str">
        <f t="shared" si="121"/>
        <v>GENERAL SERVICE LESS THAN 50 KW SERVICE CLASSIFICATION</v>
      </c>
      <c r="C740" s="117"/>
      <c r="D740" s="140" t="s">
        <v>159</v>
      </c>
      <c r="E740" s="119"/>
      <c r="F740" s="127">
        <f>IF((E725*12&gt;=150000), 0, IF(E724="RPP",(F756*0.65+F757*0.17+F758*0.18),IF(E724="Non-RPP (Retailer)",F759,F760)))</f>
        <v>0</v>
      </c>
      <c r="G740" s="141">
        <f>IF(F740=0, 0, $E725*E727-E725)</f>
        <v>0</v>
      </c>
      <c r="H740" s="122">
        <f>G740*F740</f>
        <v>0</v>
      </c>
      <c r="I740" s="128">
        <f>IF((E725*12&gt;=150000), 0, IF(E724="RPP",(I756*0.65+I757*0.17+I758*0.18),IF(E724="Non-RPP (Retailer)",I759,I760)))</f>
        <v>0</v>
      </c>
      <c r="J740" s="141">
        <f>IF(I740=0, 0, E725*E728-E725)</f>
        <v>0</v>
      </c>
      <c r="K740" s="122">
        <f t="shared" ref="K740:K747" si="122">H740</f>
        <v>0</v>
      </c>
      <c r="L740" s="125">
        <f>K740-H740</f>
        <v>0</v>
      </c>
      <c r="M740" s="126" t="str">
        <f>IF(ISERROR(L740/H740), "", L740/H740)</f>
        <v/>
      </c>
    </row>
    <row r="741" spans="1:13" ht="25.5" x14ac:dyDescent="0.25">
      <c r="A741" s="100" t="str">
        <f t="shared" si="121"/>
        <v>GENERAL SERVICE LESS THAN 50 KW SERVICE CLASSIFICATION</v>
      </c>
      <c r="C741" s="117"/>
      <c r="D741" s="140" t="s">
        <v>160</v>
      </c>
      <c r="E741" s="119"/>
      <c r="F741" s="127">
        <v>-1.4E-3</v>
      </c>
      <c r="G741" s="142">
        <f>IF($E726&gt;0, $E726, $E725)</f>
        <v>15000</v>
      </c>
      <c r="H741" s="122">
        <f t="shared" si="119"/>
        <v>-21</v>
      </c>
      <c r="I741" s="128">
        <v>-5.3E-3</v>
      </c>
      <c r="J741" s="142">
        <f>IF($E726&gt;0, $E726, $E725)</f>
        <v>15000</v>
      </c>
      <c r="K741" s="122">
        <f t="shared" si="122"/>
        <v>-21</v>
      </c>
      <c r="L741" s="125">
        <f t="shared" si="118"/>
        <v>0</v>
      </c>
      <c r="M741" s="126">
        <f t="shared" si="120"/>
        <v>0</v>
      </c>
    </row>
    <row r="742" spans="1:13" x14ac:dyDescent="0.25">
      <c r="A742" s="100" t="str">
        <f t="shared" si="121"/>
        <v>GENERAL SERVICE LESS THAN 50 KW SERVICE CLASSIFICATION</v>
      </c>
      <c r="C742" s="117"/>
      <c r="D742" s="140" t="s">
        <v>161</v>
      </c>
      <c r="E742" s="119"/>
      <c r="F742" s="127">
        <v>-1E-4</v>
      </c>
      <c r="G742" s="142">
        <f>IF($E726&gt;0, $E726, $E725)</f>
        <v>15000</v>
      </c>
      <c r="H742" s="122">
        <f>G742*F742</f>
        <v>-1.5</v>
      </c>
      <c r="I742" s="128">
        <v>0</v>
      </c>
      <c r="J742" s="142">
        <f>IF($E726&gt;0, $E726, $E725)</f>
        <v>15000</v>
      </c>
      <c r="K742" s="122">
        <f t="shared" si="122"/>
        <v>-1.5</v>
      </c>
      <c r="L742" s="125">
        <f t="shared" si="118"/>
        <v>0</v>
      </c>
      <c r="M742" s="126">
        <f t="shared" si="120"/>
        <v>0</v>
      </c>
    </row>
    <row r="743" spans="1:13" x14ac:dyDescent="0.25">
      <c r="A743" s="100" t="str">
        <f t="shared" si="121"/>
        <v>GENERAL SERVICE LESS THAN 50 KW SERVICE CLASSIFICATION</v>
      </c>
      <c r="C743" s="117"/>
      <c r="D743" s="140" t="s">
        <v>162</v>
      </c>
      <c r="E743" s="119"/>
      <c r="F743" s="127">
        <v>0</v>
      </c>
      <c r="G743" s="142">
        <f>E725</f>
        <v>15000</v>
      </c>
      <c r="H743" s="122">
        <f>G743*F743</f>
        <v>0</v>
      </c>
      <c r="I743" s="128">
        <v>0</v>
      </c>
      <c r="J743" s="142">
        <f>E725</f>
        <v>15000</v>
      </c>
      <c r="K743" s="122">
        <f t="shared" si="122"/>
        <v>0</v>
      </c>
      <c r="L743" s="125">
        <f t="shared" si="118"/>
        <v>0</v>
      </c>
      <c r="M743" s="126" t="str">
        <f t="shared" si="120"/>
        <v/>
      </c>
    </row>
    <row r="744" spans="1:13" x14ac:dyDescent="0.25">
      <c r="A744" s="100" t="str">
        <f t="shared" si="121"/>
        <v>GENERAL SERVICE LESS THAN 50 KW SERVICE CLASSIFICATION</v>
      </c>
      <c r="C744" s="117"/>
      <c r="D744" s="143" t="s">
        <v>163</v>
      </c>
      <c r="E744" s="119"/>
      <c r="F744" s="127">
        <v>2.3999999999999998E-3</v>
      </c>
      <c r="G744" s="142">
        <f>IF($E726&gt;0, $E726, $E725)</f>
        <v>15000</v>
      </c>
      <c r="H744" s="122">
        <f t="shared" si="119"/>
        <v>36</v>
      </c>
      <c r="I744" s="128">
        <v>2.3999999999999998E-3</v>
      </c>
      <c r="J744" s="142">
        <f>IF($E726&gt;0, $E726, $E725)</f>
        <v>15000</v>
      </c>
      <c r="K744" s="122">
        <f t="shared" si="122"/>
        <v>36</v>
      </c>
      <c r="L744" s="125">
        <f t="shared" si="118"/>
        <v>0</v>
      </c>
      <c r="M744" s="126">
        <f t="shared" si="120"/>
        <v>0</v>
      </c>
    </row>
    <row r="745" spans="1:13" ht="25.5" x14ac:dyDescent="0.25">
      <c r="A745" s="100" t="str">
        <f t="shared" si="121"/>
        <v>GENERAL SERVICE LESS THAN 50 KW SERVICE CLASSIFICATION</v>
      </c>
      <c r="C745" s="117"/>
      <c r="D745" s="144" t="s">
        <v>164</v>
      </c>
      <c r="E745" s="119"/>
      <c r="F745" s="145">
        <f>IF(OR(ISNUMBER(SEARCH("RESIDENTIAL", E723))=TRUE, ISNUMBER(SEARCH("GENERAL SERVICE LESS THAN 50", E723))=TRUE), SME, 0)</f>
        <v>0.56999999999999995</v>
      </c>
      <c r="G745" s="121">
        <v>1</v>
      </c>
      <c r="H745" s="122">
        <f>G745*F745</f>
        <v>0.56999999999999995</v>
      </c>
      <c r="I745" s="146">
        <f>IF(OR(ISNUMBER(SEARCH("RESIDENTIAL", E723))=TRUE, ISNUMBER(SEARCH("GENERAL SERVICE LESS THAN 50", E723))=TRUE), SME, 0)</f>
        <v>0.56999999999999995</v>
      </c>
      <c r="J745" s="121">
        <v>1</v>
      </c>
      <c r="K745" s="122">
        <f t="shared" si="122"/>
        <v>0.56999999999999995</v>
      </c>
      <c r="L745" s="125">
        <f t="shared" si="118"/>
        <v>0</v>
      </c>
      <c r="M745" s="126">
        <f>IF(ISERROR(L745/H745), "", L745/H745)</f>
        <v>0</v>
      </c>
    </row>
    <row r="746" spans="1:13" x14ac:dyDescent="0.25">
      <c r="A746" s="100" t="str">
        <f t="shared" si="121"/>
        <v>GENERAL SERVICE LESS THAN 50 KW SERVICE CLASSIFICATION</v>
      </c>
      <c r="C746" s="117"/>
      <c r="D746" s="143" t="s">
        <v>165</v>
      </c>
      <c r="E746" s="119"/>
      <c r="F746" s="120">
        <v>0</v>
      </c>
      <c r="G746" s="121">
        <v>1</v>
      </c>
      <c r="H746" s="122">
        <f t="shared" si="119"/>
        <v>0</v>
      </c>
      <c r="I746" s="123">
        <v>0</v>
      </c>
      <c r="J746" s="121">
        <v>1</v>
      </c>
      <c r="K746" s="122">
        <f t="shared" si="122"/>
        <v>0</v>
      </c>
      <c r="L746" s="125">
        <f>K746-H746</f>
        <v>0</v>
      </c>
      <c r="M746" s="126" t="str">
        <f>IF(ISERROR(L746/H746), "", L746/H746)</f>
        <v/>
      </c>
    </row>
    <row r="747" spans="1:13" x14ac:dyDescent="0.25">
      <c r="A747" s="100" t="str">
        <f t="shared" si="121"/>
        <v>GENERAL SERVICE LESS THAN 50 KW SERVICE CLASSIFICATION</v>
      </c>
      <c r="C747" s="117"/>
      <c r="D747" s="143" t="s">
        <v>166</v>
      </c>
      <c r="E747" s="119"/>
      <c r="F747" s="127"/>
      <c r="G747" s="142">
        <f>IF($E726&gt;0, $E726, $E725)</f>
        <v>15000</v>
      </c>
      <c r="H747" s="122">
        <f>G747*F747</f>
        <v>0</v>
      </c>
      <c r="I747" s="128">
        <v>0</v>
      </c>
      <c r="J747" s="142">
        <f>IF($E726&gt;0, $E726, $E725)</f>
        <v>15000</v>
      </c>
      <c r="K747" s="122">
        <f t="shared" si="122"/>
        <v>0</v>
      </c>
      <c r="L747" s="125">
        <f t="shared" si="118"/>
        <v>0</v>
      </c>
      <c r="M747" s="126" t="str">
        <f>IF(ISERROR(L747/H747), "", L747/H747)</f>
        <v/>
      </c>
    </row>
    <row r="748" spans="1:13" ht="25.5" x14ac:dyDescent="0.25">
      <c r="A748" s="100" t="str">
        <f t="shared" si="121"/>
        <v>GENERAL SERVICE LESS THAN 50 KW SERVICE CLASSIFICATION</v>
      </c>
      <c r="B748" s="105" t="s">
        <v>167</v>
      </c>
      <c r="C748" s="117">
        <f>B15</f>
        <v>13</v>
      </c>
      <c r="D748" s="147" t="s">
        <v>168</v>
      </c>
      <c r="E748" s="148"/>
      <c r="F748" s="149"/>
      <c r="G748" s="150"/>
      <c r="H748" s="151">
        <f>SUM(H739:H747)</f>
        <v>195.44</v>
      </c>
      <c r="I748" s="152"/>
      <c r="J748" s="153"/>
      <c r="K748" s="151">
        <f>SUM(K739:K747)</f>
        <v>195.44</v>
      </c>
      <c r="L748" s="138">
        <f t="shared" si="118"/>
        <v>0</v>
      </c>
      <c r="M748" s="139">
        <f>IF((H748)=0,"",(L748/H748))</f>
        <v>0</v>
      </c>
    </row>
    <row r="749" spans="1:13" x14ac:dyDescent="0.25">
      <c r="A749" s="100" t="str">
        <f t="shared" si="121"/>
        <v>GENERAL SERVICE LESS THAN 50 KW SERVICE CLASSIFICATION</v>
      </c>
      <c r="C749" s="117"/>
      <c r="D749" s="154" t="s">
        <v>169</v>
      </c>
      <c r="E749" s="119"/>
      <c r="F749" s="127">
        <v>6.0000000000000001E-3</v>
      </c>
      <c r="G749" s="141">
        <f>IF($E726&gt;0, $E726, $E725*$E727)</f>
        <v>15840</v>
      </c>
      <c r="H749" s="122">
        <f>G749*F749</f>
        <v>95.04</v>
      </c>
      <c r="I749" s="128">
        <v>5.7000000000000002E-3</v>
      </c>
      <c r="J749" s="141">
        <f>IF($E726&gt;0, $E726, $E725*$E728)</f>
        <v>15840</v>
      </c>
      <c r="K749" s="122">
        <f t="shared" ref="K749:K750" si="123">H749</f>
        <v>95.04</v>
      </c>
      <c r="L749" s="125">
        <f t="shared" si="118"/>
        <v>0</v>
      </c>
      <c r="M749" s="126">
        <f>IF(ISERROR(L749/H749), "", L749/H749)</f>
        <v>0</v>
      </c>
    </row>
    <row r="750" spans="1:13" ht="25.5" x14ac:dyDescent="0.25">
      <c r="A750" s="100" t="str">
        <f t="shared" si="121"/>
        <v>GENERAL SERVICE LESS THAN 50 KW SERVICE CLASSIFICATION</v>
      </c>
      <c r="C750" s="117"/>
      <c r="D750" s="155" t="s">
        <v>170</v>
      </c>
      <c r="E750" s="119"/>
      <c r="F750" s="127">
        <v>5.3E-3</v>
      </c>
      <c r="G750" s="141">
        <f>IF($E726&gt;0, $E726, $E725*$E727)</f>
        <v>15840</v>
      </c>
      <c r="H750" s="122">
        <f>G750*F750</f>
        <v>83.951999999999998</v>
      </c>
      <c r="I750" s="128">
        <v>5.0000000000000001E-3</v>
      </c>
      <c r="J750" s="141">
        <f>IF($E726&gt;0, $E726, $E725*$E728)</f>
        <v>15840</v>
      </c>
      <c r="K750" s="122">
        <f t="shared" si="123"/>
        <v>83.951999999999998</v>
      </c>
      <c r="L750" s="125">
        <f t="shared" si="118"/>
        <v>0</v>
      </c>
      <c r="M750" s="126">
        <f>IF(ISERROR(L750/H750), "", L750/H750)</f>
        <v>0</v>
      </c>
    </row>
    <row r="751" spans="1:13" ht="25.5" x14ac:dyDescent="0.25">
      <c r="A751" s="100" t="str">
        <f t="shared" si="121"/>
        <v>GENERAL SERVICE LESS THAN 50 KW SERVICE CLASSIFICATION</v>
      </c>
      <c r="B751" s="105" t="s">
        <v>171</v>
      </c>
      <c r="C751" s="117">
        <f>B15</f>
        <v>13</v>
      </c>
      <c r="D751" s="147" t="s">
        <v>172</v>
      </c>
      <c r="E751" s="132"/>
      <c r="F751" s="149"/>
      <c r="G751" s="150"/>
      <c r="H751" s="151">
        <f>SUM(H748:H750)</f>
        <v>374.43200000000002</v>
      </c>
      <c r="I751" s="152"/>
      <c r="J751" s="137"/>
      <c r="K751" s="151">
        <f>SUM(K748:K750)</f>
        <v>374.43200000000002</v>
      </c>
      <c r="L751" s="138">
        <f t="shared" si="118"/>
        <v>0</v>
      </c>
      <c r="M751" s="139">
        <f>IF((H751)=0,"",(L751/H751))</f>
        <v>0</v>
      </c>
    </row>
    <row r="752" spans="1:13" ht="25.5" x14ac:dyDescent="0.25">
      <c r="A752" s="100" t="str">
        <f t="shared" si="121"/>
        <v>GENERAL SERVICE LESS THAN 50 KW SERVICE CLASSIFICATION</v>
      </c>
      <c r="C752" s="117"/>
      <c r="D752" s="156" t="s">
        <v>173</v>
      </c>
      <c r="E752" s="119"/>
      <c r="F752" s="127">
        <v>3.6000000000000003E-3</v>
      </c>
      <c r="G752" s="141">
        <f>E725*E727</f>
        <v>15840</v>
      </c>
      <c r="H752" s="157">
        <f t="shared" ref="H752:H758" si="124">G752*F752</f>
        <v>57.024000000000008</v>
      </c>
      <c r="I752" s="128">
        <v>3.6000000000000003E-3</v>
      </c>
      <c r="J752" s="141">
        <f>E725*E728</f>
        <v>15840</v>
      </c>
      <c r="K752" s="157">
        <f t="shared" ref="K752:K758" si="125">H752</f>
        <v>57.024000000000008</v>
      </c>
      <c r="L752" s="125">
        <f t="shared" si="118"/>
        <v>0</v>
      </c>
      <c r="M752" s="126">
        <f t="shared" ref="M752:M760" si="126">IF(ISERROR(L752/H752), "", L752/H752)</f>
        <v>0</v>
      </c>
    </row>
    <row r="753" spans="1:13" ht="25.5" x14ac:dyDescent="0.25">
      <c r="A753" s="100" t="str">
        <f t="shared" si="121"/>
        <v>GENERAL SERVICE LESS THAN 50 KW SERVICE CLASSIFICATION</v>
      </c>
      <c r="C753" s="117"/>
      <c r="D753" s="156" t="s">
        <v>174</v>
      </c>
      <c r="E753" s="119"/>
      <c r="F753" s="127">
        <f>'[1]17. Regulatory Charges'!$D$16</f>
        <v>2.9999999999999997E-4</v>
      </c>
      <c r="G753" s="141">
        <f>E725*E727</f>
        <v>15840</v>
      </c>
      <c r="H753" s="157">
        <f t="shared" si="124"/>
        <v>4.7519999999999998</v>
      </c>
      <c r="I753" s="128">
        <v>2.9999999999999997E-4</v>
      </c>
      <c r="J753" s="141">
        <f>E725*E728</f>
        <v>15840</v>
      </c>
      <c r="K753" s="157">
        <f t="shared" si="125"/>
        <v>4.7519999999999998</v>
      </c>
      <c r="L753" s="125">
        <f t="shared" si="118"/>
        <v>0</v>
      </c>
      <c r="M753" s="126">
        <f t="shared" si="126"/>
        <v>0</v>
      </c>
    </row>
    <row r="754" spans="1:13" x14ac:dyDescent="0.25">
      <c r="A754" s="100" t="str">
        <f t="shared" si="121"/>
        <v>GENERAL SERVICE LESS THAN 50 KW SERVICE CLASSIFICATION</v>
      </c>
      <c r="C754" s="117"/>
      <c r="D754" s="158" t="s">
        <v>175</v>
      </c>
      <c r="E754" s="119"/>
      <c r="F754" s="145">
        <v>0.25</v>
      </c>
      <c r="G754" s="121">
        <v>1</v>
      </c>
      <c r="H754" s="157">
        <f t="shared" si="124"/>
        <v>0.25</v>
      </c>
      <c r="I754" s="146">
        <f>'[1]17. Regulatory Charges'!$D$17</f>
        <v>0.25</v>
      </c>
      <c r="J754" s="124">
        <v>1</v>
      </c>
      <c r="K754" s="157">
        <f t="shared" si="125"/>
        <v>0.25</v>
      </c>
      <c r="L754" s="125">
        <f t="shared" si="118"/>
        <v>0</v>
      </c>
      <c r="M754" s="126">
        <f t="shared" si="126"/>
        <v>0</v>
      </c>
    </row>
    <row r="755" spans="1:13" ht="25.5" x14ac:dyDescent="0.25">
      <c r="A755" s="100" t="str">
        <f t="shared" si="121"/>
        <v>GENERAL SERVICE LESS THAN 50 KW SERVICE CLASSIFICATION</v>
      </c>
      <c r="C755" s="117"/>
      <c r="D755" s="156" t="s">
        <v>176</v>
      </c>
      <c r="E755" s="119"/>
      <c r="F755" s="127"/>
      <c r="G755" s="141"/>
      <c r="H755" s="157"/>
      <c r="I755" s="128"/>
      <c r="J755" s="141"/>
      <c r="K755" s="157">
        <f t="shared" si="125"/>
        <v>0</v>
      </c>
      <c r="L755" s="125"/>
      <c r="M755" s="126"/>
    </row>
    <row r="756" spans="1:13" x14ac:dyDescent="0.25">
      <c r="A756" s="100" t="str">
        <f t="shared" si="121"/>
        <v>GENERAL SERVICE LESS THAN 50 KW SERVICE CLASSIFICATION</v>
      </c>
      <c r="B756" s="105" t="s">
        <v>117</v>
      </c>
      <c r="C756" s="117"/>
      <c r="D756" s="159" t="s">
        <v>177</v>
      </c>
      <c r="E756" s="119"/>
      <c r="F756" s="160">
        <f>OffPeak</f>
        <v>6.5000000000000002E-2</v>
      </c>
      <c r="G756" s="161">
        <f>IF(AND(E725*12&gt;=150000),0.65*E725*E727,0.65*E725)</f>
        <v>10296</v>
      </c>
      <c r="H756" s="157">
        <f t="shared" si="124"/>
        <v>669.24</v>
      </c>
      <c r="I756" s="162">
        <f>OffPeak</f>
        <v>6.5000000000000002E-2</v>
      </c>
      <c r="J756" s="161">
        <f>IF(AND(E725*12&gt;=150000),0.65*E725*E728,0.65*E725)</f>
        <v>10296</v>
      </c>
      <c r="K756" s="157">
        <f t="shared" si="125"/>
        <v>669.24</v>
      </c>
      <c r="L756" s="125">
        <f>K756-H756</f>
        <v>0</v>
      </c>
      <c r="M756" s="126">
        <f t="shared" si="126"/>
        <v>0</v>
      </c>
    </row>
    <row r="757" spans="1:13" x14ac:dyDescent="0.25">
      <c r="A757" s="100" t="str">
        <f t="shared" si="121"/>
        <v>GENERAL SERVICE LESS THAN 50 KW SERVICE CLASSIFICATION</v>
      </c>
      <c r="B757" s="105" t="s">
        <v>117</v>
      </c>
      <c r="C757" s="117"/>
      <c r="D757" s="159" t="s">
        <v>178</v>
      </c>
      <c r="E757" s="119"/>
      <c r="F757" s="160">
        <f>MidPeak</f>
        <v>9.4E-2</v>
      </c>
      <c r="G757" s="161">
        <f>IF(AND(E725*12&gt;=150000),0.17*E725*E727,0.17*E725)</f>
        <v>2692.8</v>
      </c>
      <c r="H757" s="157">
        <f t="shared" si="124"/>
        <v>253.12320000000003</v>
      </c>
      <c r="I757" s="162">
        <f>MidPeak</f>
        <v>9.4E-2</v>
      </c>
      <c r="J757" s="161">
        <f>IF(AND(E725*12&gt;=150000),0.17*E725*E728,0.17*E725)</f>
        <v>2692.8</v>
      </c>
      <c r="K757" s="157">
        <f t="shared" si="125"/>
        <v>253.12320000000003</v>
      </c>
      <c r="L757" s="125">
        <f>K757-H757</f>
        <v>0</v>
      </c>
      <c r="M757" s="126">
        <f t="shared" si="126"/>
        <v>0</v>
      </c>
    </row>
    <row r="758" spans="1:13" ht="15.75" thickBot="1" x14ac:dyDescent="0.3">
      <c r="A758" s="100" t="str">
        <f t="shared" si="121"/>
        <v>GENERAL SERVICE LESS THAN 50 KW SERVICE CLASSIFICATION</v>
      </c>
      <c r="B758" s="105" t="s">
        <v>117</v>
      </c>
      <c r="C758" s="117"/>
      <c r="D758" s="105" t="s">
        <v>179</v>
      </c>
      <c r="E758" s="119"/>
      <c r="F758" s="160">
        <f>OnPeak</f>
        <v>0.13200000000000001</v>
      </c>
      <c r="G758" s="161">
        <f>IF(AND(E725*12&gt;=150000),0.18*E725*E727,0.18*E725)</f>
        <v>2851.2000000000003</v>
      </c>
      <c r="H758" s="157">
        <f t="shared" si="124"/>
        <v>376.35840000000007</v>
      </c>
      <c r="I758" s="162">
        <f>OnPeak</f>
        <v>0.13200000000000001</v>
      </c>
      <c r="J758" s="161">
        <f>IF(AND(E725*12&gt;=150000),0.18*E725*E728,0.18*E725)</f>
        <v>2851.2000000000003</v>
      </c>
      <c r="K758" s="157">
        <f t="shared" si="125"/>
        <v>376.35840000000007</v>
      </c>
      <c r="L758" s="125">
        <f>K758-H758</f>
        <v>0</v>
      </c>
      <c r="M758" s="126">
        <f t="shared" si="126"/>
        <v>0</v>
      </c>
    </row>
    <row r="759" spans="1:13" ht="15.75" hidden="1" thickBot="1" x14ac:dyDescent="0.3">
      <c r="A759" s="100" t="str">
        <f t="shared" si="121"/>
        <v>GENERAL SERVICE LESS THAN 50 KW SERVICE CLASSIFICATION</v>
      </c>
      <c r="B759" s="100" t="s">
        <v>180</v>
      </c>
      <c r="C759" s="117"/>
      <c r="D759" s="159" t="s">
        <v>181</v>
      </c>
      <c r="E759" s="119"/>
      <c r="F759" s="163">
        <v>0.1101</v>
      </c>
      <c r="G759" s="161">
        <f>IF(AND(E725*12&gt;=150000),E725*E727,E725)</f>
        <v>15840</v>
      </c>
      <c r="H759" s="157">
        <f>G759*F759</f>
        <v>1743.9840000000002</v>
      </c>
      <c r="I759" s="164">
        <f>F759</f>
        <v>0.1101</v>
      </c>
      <c r="J759" s="161">
        <f>IF(AND(E725*12&gt;=150000),E725*E728,E725)</f>
        <v>15840</v>
      </c>
      <c r="K759" s="157">
        <f>J759*I759</f>
        <v>1743.9840000000002</v>
      </c>
      <c r="L759" s="125">
        <f>K759-H759</f>
        <v>0</v>
      </c>
      <c r="M759" s="126">
        <f t="shared" si="126"/>
        <v>0</v>
      </c>
    </row>
    <row r="760" spans="1:13" ht="15.75" hidden="1" thickBot="1" x14ac:dyDescent="0.3">
      <c r="A760" s="100" t="str">
        <f t="shared" si="121"/>
        <v>GENERAL SERVICE LESS THAN 50 KW SERVICE CLASSIFICATION</v>
      </c>
      <c r="B760" s="100" t="s">
        <v>121</v>
      </c>
      <c r="C760" s="117"/>
      <c r="D760" s="159" t="s">
        <v>182</v>
      </c>
      <c r="E760" s="119"/>
      <c r="F760" s="163">
        <v>0.1101</v>
      </c>
      <c r="G760" s="161">
        <f>IF(AND(E725*12&gt;=150000),E725*E727,E725)</f>
        <v>15840</v>
      </c>
      <c r="H760" s="157">
        <f>G760*F760</f>
        <v>1743.9840000000002</v>
      </c>
      <c r="I760" s="164">
        <f>F760</f>
        <v>0.1101</v>
      </c>
      <c r="J760" s="161">
        <f>IF(AND(E725*12&gt;=150000),E725*E728,E725)</f>
        <v>15840</v>
      </c>
      <c r="K760" s="157">
        <f>J760*I760</f>
        <v>1743.9840000000002</v>
      </c>
      <c r="L760" s="125">
        <f>K760-H760</f>
        <v>0</v>
      </c>
      <c r="M760" s="126">
        <f t="shared" si="126"/>
        <v>0</v>
      </c>
    </row>
    <row r="761" spans="1:13" ht="15.75" thickBot="1" x14ac:dyDescent="0.3">
      <c r="A761" s="100" t="str">
        <f t="shared" si="121"/>
        <v>GENERAL SERVICE LESS THAN 50 KW SERVICE CLASSIFICATION</v>
      </c>
      <c r="B761" s="105"/>
      <c r="C761" s="117"/>
      <c r="D761" s="165"/>
      <c r="E761" s="166"/>
      <c r="F761" s="167"/>
      <c r="G761" s="168"/>
      <c r="H761" s="169"/>
      <c r="I761" s="167"/>
      <c r="J761" s="170"/>
      <c r="K761" s="169"/>
      <c r="L761" s="171"/>
      <c r="M761" s="172"/>
    </row>
    <row r="762" spans="1:13" x14ac:dyDescent="0.25">
      <c r="A762" s="100" t="str">
        <f t="shared" si="121"/>
        <v>GENERAL SERVICE LESS THAN 50 KW SERVICE CLASSIFICATION</v>
      </c>
      <c r="B762" s="105" t="s">
        <v>117</v>
      </c>
      <c r="C762" s="117"/>
      <c r="D762" s="173" t="s">
        <v>183</v>
      </c>
      <c r="E762" s="158"/>
      <c r="F762" s="174"/>
      <c r="G762" s="175"/>
      <c r="H762" s="176">
        <f>SUM(H752:H758,H751)</f>
        <v>1735.1796000000002</v>
      </c>
      <c r="I762" s="177"/>
      <c r="J762" s="177"/>
      <c r="K762" s="176">
        <f>SUM(K752:K758,K751)</f>
        <v>1735.1796000000002</v>
      </c>
      <c r="L762" s="178">
        <f>K762-H762</f>
        <v>0</v>
      </c>
      <c r="M762" s="179">
        <f>IF((H762)=0,"",(L762/H762))</f>
        <v>0</v>
      </c>
    </row>
    <row r="763" spans="1:13" x14ac:dyDescent="0.25">
      <c r="A763" s="100" t="str">
        <f t="shared" si="121"/>
        <v>GENERAL SERVICE LESS THAN 50 KW SERVICE CLASSIFICATION</v>
      </c>
      <c r="B763" s="105" t="s">
        <v>117</v>
      </c>
      <c r="C763" s="117"/>
      <c r="D763" s="180" t="s">
        <v>184</v>
      </c>
      <c r="E763" s="158"/>
      <c r="F763" s="174">
        <v>0.13</v>
      </c>
      <c r="G763" s="181"/>
      <c r="H763" s="182">
        <f>H762*F763</f>
        <v>225.57334800000004</v>
      </c>
      <c r="I763" s="183">
        <v>0.13</v>
      </c>
      <c r="J763" s="121"/>
      <c r="K763" s="182">
        <f>K762*I763</f>
        <v>225.57334800000004</v>
      </c>
      <c r="L763" s="184">
        <f>K763-H763</f>
        <v>0</v>
      </c>
      <c r="M763" s="185">
        <f>IF((H763)=0,"",(L763/H763))</f>
        <v>0</v>
      </c>
    </row>
    <row r="764" spans="1:13" x14ac:dyDescent="0.25">
      <c r="A764" s="100" t="str">
        <f t="shared" si="121"/>
        <v>GENERAL SERVICE LESS THAN 50 KW SERVICE CLASSIFICATION</v>
      </c>
      <c r="B764" s="105" t="s">
        <v>117</v>
      </c>
      <c r="C764" s="117"/>
      <c r="D764" s="180" t="s">
        <v>185</v>
      </c>
      <c r="E764" s="158"/>
      <c r="F764" s="174">
        <v>0.08</v>
      </c>
      <c r="G764" s="181"/>
      <c r="H764" s="182">
        <f>H762*-F764</f>
        <v>-138.81436800000003</v>
      </c>
      <c r="I764" s="174">
        <v>0.08</v>
      </c>
      <c r="J764" s="121"/>
      <c r="K764" s="182">
        <f>K762*-I764</f>
        <v>-138.81436800000003</v>
      </c>
      <c r="L764" s="184">
        <f>K764-H764</f>
        <v>0</v>
      </c>
      <c r="M764" s="185"/>
    </row>
    <row r="765" spans="1:13" ht="15.75" thickBot="1" x14ac:dyDescent="0.3">
      <c r="A765" s="100" t="str">
        <f t="shared" si="121"/>
        <v>GENERAL SERVICE LESS THAN 50 KW SERVICE CLASSIFICATION</v>
      </c>
      <c r="B765" s="105" t="s">
        <v>186</v>
      </c>
      <c r="C765" s="117">
        <f>B15</f>
        <v>13</v>
      </c>
      <c r="D765" s="301" t="s">
        <v>187</v>
      </c>
      <c r="E765" s="301"/>
      <c r="F765" s="186"/>
      <c r="G765" s="187"/>
      <c r="H765" s="188">
        <f>H762+H763+H764</f>
        <v>1821.9385800000002</v>
      </c>
      <c r="I765" s="189"/>
      <c r="J765" s="189"/>
      <c r="K765" s="190">
        <f>K762+K763+K764</f>
        <v>1821.9385800000002</v>
      </c>
      <c r="L765" s="191">
        <f>K765-H765</f>
        <v>0</v>
      </c>
      <c r="M765" s="192">
        <f>IF((H765)=0,"",(L765/H765))</f>
        <v>0</v>
      </c>
    </row>
    <row r="766" spans="1:13" ht="15.75" hidden="1" thickBot="1" x14ac:dyDescent="0.3">
      <c r="A766" s="100" t="str">
        <f t="shared" si="121"/>
        <v>GENERAL SERVICE LESS THAN 50 KW SERVICE CLASSIFICATION</v>
      </c>
      <c r="B766" s="100" t="s">
        <v>117</v>
      </c>
      <c r="C766" s="117"/>
      <c r="D766" s="165"/>
      <c r="E766" s="166"/>
      <c r="F766" s="167"/>
      <c r="G766" s="168"/>
      <c r="H766" s="169"/>
      <c r="I766" s="167"/>
      <c r="J766" s="170"/>
      <c r="K766" s="169"/>
      <c r="L766" s="171"/>
      <c r="M766" s="172"/>
    </row>
    <row r="767" spans="1:13" ht="15.75" hidden="1" thickBot="1" x14ac:dyDescent="0.3">
      <c r="A767" s="100" t="str">
        <f t="shared" si="121"/>
        <v>GENERAL SERVICE LESS THAN 50 KW SERVICE CLASSIFICATION</v>
      </c>
      <c r="B767" s="100" t="s">
        <v>180</v>
      </c>
      <c r="C767" s="117"/>
      <c r="D767" s="173" t="s">
        <v>188</v>
      </c>
      <c r="E767" s="158"/>
      <c r="F767" s="174"/>
      <c r="G767" s="175"/>
      <c r="H767" s="176">
        <f>SUM(H759,H752:H755,H751)</f>
        <v>2180.442</v>
      </c>
      <c r="I767" s="177"/>
      <c r="J767" s="177"/>
      <c r="K767" s="176">
        <f>SUM(K759,K752:K755,K751)</f>
        <v>2180.442</v>
      </c>
      <c r="L767" s="178">
        <f>K767-H767</f>
        <v>0</v>
      </c>
      <c r="M767" s="179">
        <f>IF((H767)=0,"",(L767/H767))</f>
        <v>0</v>
      </c>
    </row>
    <row r="768" spans="1:13" ht="15.75" hidden="1" thickBot="1" x14ac:dyDescent="0.3">
      <c r="A768" s="100" t="str">
        <f t="shared" si="121"/>
        <v>GENERAL SERVICE LESS THAN 50 KW SERVICE CLASSIFICATION</v>
      </c>
      <c r="B768" s="100" t="s">
        <v>180</v>
      </c>
      <c r="C768" s="117"/>
      <c r="D768" s="180" t="s">
        <v>184</v>
      </c>
      <c r="E768" s="158"/>
      <c r="F768" s="174">
        <v>0.13</v>
      </c>
      <c r="G768" s="175"/>
      <c r="H768" s="182">
        <f>H767*F768</f>
        <v>283.45746000000003</v>
      </c>
      <c r="I768" s="174">
        <v>0.13</v>
      </c>
      <c r="J768" s="183"/>
      <c r="K768" s="182">
        <f>K767*I768</f>
        <v>283.45746000000003</v>
      </c>
      <c r="L768" s="184">
        <f>K768-H768</f>
        <v>0</v>
      </c>
      <c r="M768" s="185">
        <f>IF((H768)=0,"",(L768/H768))</f>
        <v>0</v>
      </c>
    </row>
    <row r="769" spans="1:13" ht="15.75" hidden="1" thickBot="1" x14ac:dyDescent="0.3">
      <c r="A769" s="100" t="str">
        <f t="shared" si="121"/>
        <v>GENERAL SERVICE LESS THAN 50 KW SERVICE CLASSIFICATION</v>
      </c>
      <c r="B769" s="100" t="s">
        <v>180</v>
      </c>
      <c r="C769" s="117"/>
      <c r="D769" s="180" t="s">
        <v>185</v>
      </c>
      <c r="E769" s="158"/>
      <c r="F769" s="174">
        <v>0.08</v>
      </c>
      <c r="G769" s="175"/>
      <c r="H769" s="182"/>
      <c r="I769" s="174">
        <v>0.08</v>
      </c>
      <c r="J769" s="183"/>
      <c r="K769" s="182"/>
      <c r="L769" s="184"/>
      <c r="M769" s="185"/>
    </row>
    <row r="770" spans="1:13" ht="15.75" hidden="1" thickBot="1" x14ac:dyDescent="0.3">
      <c r="A770" s="100" t="str">
        <f t="shared" si="121"/>
        <v>GENERAL SERVICE LESS THAN 50 KW SERVICE CLASSIFICATION</v>
      </c>
      <c r="B770" s="100" t="s">
        <v>189</v>
      </c>
      <c r="C770" s="117"/>
      <c r="D770" s="301" t="s">
        <v>188</v>
      </c>
      <c r="E770" s="301"/>
      <c r="F770" s="193"/>
      <c r="G770" s="194"/>
      <c r="H770" s="188">
        <f>SUM(H767,H768)</f>
        <v>2463.8994600000001</v>
      </c>
      <c r="I770" s="195"/>
      <c r="J770" s="195"/>
      <c r="K770" s="188">
        <f>SUM(K767,K768)</f>
        <v>2463.8994600000001</v>
      </c>
      <c r="L770" s="196">
        <f>K770-H770</f>
        <v>0</v>
      </c>
      <c r="M770" s="197">
        <f>IF((H770)=0,"",(L770/H770))</f>
        <v>0</v>
      </c>
    </row>
    <row r="771" spans="1:13" ht="15.75" hidden="1" thickBot="1" x14ac:dyDescent="0.3">
      <c r="A771" s="100" t="str">
        <f t="shared" si="121"/>
        <v>GENERAL SERVICE LESS THAN 50 KW SERVICE CLASSIFICATION</v>
      </c>
      <c r="B771" s="100" t="s">
        <v>180</v>
      </c>
      <c r="C771" s="117"/>
      <c r="D771" s="165"/>
      <c r="E771" s="166"/>
      <c r="F771" s="198"/>
      <c r="G771" s="199"/>
      <c r="H771" s="200"/>
      <c r="I771" s="198"/>
      <c r="J771" s="168"/>
      <c r="K771" s="200"/>
      <c r="L771" s="201"/>
      <c r="M771" s="172"/>
    </row>
    <row r="772" spans="1:13" ht="15.75" hidden="1" thickBot="1" x14ac:dyDescent="0.3">
      <c r="A772" s="100" t="str">
        <f t="shared" si="121"/>
        <v>GENERAL SERVICE LESS THAN 50 KW SERVICE CLASSIFICATION</v>
      </c>
      <c r="B772" s="100" t="s">
        <v>121</v>
      </c>
      <c r="C772" s="117"/>
      <c r="D772" s="173" t="s">
        <v>190</v>
      </c>
      <c r="E772" s="158"/>
      <c r="F772" s="174"/>
      <c r="G772" s="175"/>
      <c r="H772" s="176">
        <f>SUM(H760,H752:H755,H751)</f>
        <v>2180.442</v>
      </c>
      <c r="I772" s="177"/>
      <c r="J772" s="177"/>
      <c r="K772" s="176">
        <f>SUM(K760,K752:K755,K751)</f>
        <v>2180.442</v>
      </c>
      <c r="L772" s="178">
        <f>K772-H772</f>
        <v>0</v>
      </c>
      <c r="M772" s="179">
        <f>IF((H772)=0,"",(L772/H772))</f>
        <v>0</v>
      </c>
    </row>
    <row r="773" spans="1:13" ht="15.75" hidden="1" thickBot="1" x14ac:dyDescent="0.3">
      <c r="A773" s="100" t="str">
        <f t="shared" si="121"/>
        <v>GENERAL SERVICE LESS THAN 50 KW SERVICE CLASSIFICATION</v>
      </c>
      <c r="B773" s="100" t="s">
        <v>121</v>
      </c>
      <c r="C773" s="117"/>
      <c r="D773" s="180" t="s">
        <v>184</v>
      </c>
      <c r="E773" s="158"/>
      <c r="F773" s="174">
        <v>0.13</v>
      </c>
      <c r="G773" s="175"/>
      <c r="H773" s="182">
        <f>H772*F773</f>
        <v>283.45746000000003</v>
      </c>
      <c r="I773" s="174">
        <v>0.13</v>
      </c>
      <c r="J773" s="183"/>
      <c r="K773" s="182">
        <f>K772*I773</f>
        <v>283.45746000000003</v>
      </c>
      <c r="L773" s="184">
        <f>K773-H773</f>
        <v>0</v>
      </c>
      <c r="M773" s="185">
        <f>IF((H773)=0,"",(L773/H773))</f>
        <v>0</v>
      </c>
    </row>
    <row r="774" spans="1:13" ht="15.75" hidden="1" thickBot="1" x14ac:dyDescent="0.3">
      <c r="A774" s="100" t="str">
        <f t="shared" si="121"/>
        <v>GENERAL SERVICE LESS THAN 50 KW SERVICE CLASSIFICATION</v>
      </c>
      <c r="B774" s="100" t="s">
        <v>121</v>
      </c>
      <c r="C774" s="117"/>
      <c r="D774" s="180" t="s">
        <v>185</v>
      </c>
      <c r="E774" s="158"/>
      <c r="F774" s="174">
        <v>0.08</v>
      </c>
      <c r="G774" s="175"/>
      <c r="H774" s="182"/>
      <c r="I774" s="174">
        <v>0.08</v>
      </c>
      <c r="J774" s="183"/>
      <c r="K774" s="182"/>
      <c r="L774" s="184"/>
      <c r="M774" s="185"/>
    </row>
    <row r="775" spans="1:13" ht="15.75" hidden="1" thickBot="1" x14ac:dyDescent="0.3">
      <c r="A775" s="100" t="str">
        <f t="shared" si="121"/>
        <v>GENERAL SERVICE LESS THAN 50 KW SERVICE CLASSIFICATION</v>
      </c>
      <c r="B775" s="100" t="s">
        <v>191</v>
      </c>
      <c r="C775" s="117"/>
      <c r="D775" s="301" t="s">
        <v>190</v>
      </c>
      <c r="E775" s="301"/>
      <c r="F775" s="193"/>
      <c r="G775" s="194"/>
      <c r="H775" s="188">
        <f>SUM(H772,H773)</f>
        <v>2463.8994600000001</v>
      </c>
      <c r="I775" s="195"/>
      <c r="J775" s="195"/>
      <c r="K775" s="188">
        <f>SUM(K772,K773)</f>
        <v>2463.8994600000001</v>
      </c>
      <c r="L775" s="196">
        <f>K775-H775</f>
        <v>0</v>
      </c>
      <c r="M775" s="197">
        <f>IF((H775)=0,"",(L775/H775))</f>
        <v>0</v>
      </c>
    </row>
    <row r="776" spans="1:13" ht="15.75" thickBot="1" x14ac:dyDescent="0.3">
      <c r="A776" s="100" t="str">
        <f t="shared" si="121"/>
        <v>GENERAL SERVICE LESS THAN 50 KW SERVICE CLASSIFICATION</v>
      </c>
      <c r="B776" s="100" t="s">
        <v>121</v>
      </c>
      <c r="C776" s="117"/>
      <c r="D776" s="165"/>
      <c r="E776" s="166"/>
      <c r="F776" s="202"/>
      <c r="G776" s="203"/>
      <c r="H776" s="204"/>
      <c r="I776" s="202"/>
      <c r="J776" s="205"/>
      <c r="K776" s="204"/>
      <c r="L776" s="206"/>
      <c r="M776" s="207"/>
    </row>
    <row r="779" spans="1:13" x14ac:dyDescent="0.25">
      <c r="C779" s="100"/>
      <c r="D779" s="101" t="s">
        <v>134</v>
      </c>
      <c r="E779" s="302" t="str">
        <f>D16</f>
        <v>GENERAL SERVICE 50 TO 999 KW SERVICE CLASSIFICATION</v>
      </c>
      <c r="F779" s="302"/>
      <c r="G779" s="302"/>
      <c r="H779" s="302"/>
      <c r="I779" s="302"/>
      <c r="J779" s="302"/>
      <c r="K779" s="100" t="str">
        <f>IF(N16="DEMAND - INTERVAL","RTSR - INTERVAL METERED","")</f>
        <v/>
      </c>
    </row>
    <row r="780" spans="1:13" x14ac:dyDescent="0.25">
      <c r="C780" s="100"/>
      <c r="D780" s="101" t="s">
        <v>135</v>
      </c>
      <c r="E780" s="303" t="str">
        <f>H16</f>
        <v>Non-RPP (Other)</v>
      </c>
      <c r="F780" s="303"/>
      <c r="G780" s="303"/>
      <c r="H780" s="102"/>
      <c r="I780" s="102"/>
    </row>
    <row r="781" spans="1:13" ht="15.75" x14ac:dyDescent="0.25">
      <c r="C781" s="100"/>
      <c r="D781" s="101" t="s">
        <v>136</v>
      </c>
      <c r="E781" s="103">
        <f>K16</f>
        <v>20000</v>
      </c>
      <c r="F781" s="104" t="s">
        <v>137</v>
      </c>
      <c r="G781" s="105"/>
      <c r="J781" s="106"/>
      <c r="K781" s="106"/>
      <c r="L781" s="106"/>
      <c r="M781" s="106"/>
    </row>
    <row r="782" spans="1:13" ht="15.75" x14ac:dyDescent="0.25">
      <c r="C782" s="100"/>
      <c r="D782" s="101" t="s">
        <v>138</v>
      </c>
      <c r="E782" s="103">
        <f>L16</f>
        <v>60</v>
      </c>
      <c r="F782" s="107" t="s">
        <v>139</v>
      </c>
      <c r="G782" s="108"/>
      <c r="H782" s="109"/>
      <c r="I782" s="109"/>
      <c r="J782" s="109"/>
    </row>
    <row r="783" spans="1:13" x14ac:dyDescent="0.25">
      <c r="C783" s="100"/>
      <c r="D783" s="101" t="s">
        <v>140</v>
      </c>
      <c r="E783" s="110">
        <f>I16</f>
        <v>1.056</v>
      </c>
    </row>
    <row r="784" spans="1:13" x14ac:dyDescent="0.25">
      <c r="C784" s="100"/>
      <c r="D784" s="101" t="s">
        <v>141</v>
      </c>
      <c r="E784" s="110">
        <f>J16</f>
        <v>1.056</v>
      </c>
    </row>
    <row r="785" spans="1:13" x14ac:dyDescent="0.25">
      <c r="C785" s="100"/>
      <c r="D785" s="105"/>
    </row>
    <row r="786" spans="1:13" x14ac:dyDescent="0.25">
      <c r="C786" s="100"/>
      <c r="D786" s="105"/>
      <c r="E786" s="111"/>
      <c r="F786" s="304" t="s">
        <v>142</v>
      </c>
      <c r="G786" s="305"/>
      <c r="H786" s="306"/>
      <c r="I786" s="304" t="s">
        <v>143</v>
      </c>
      <c r="J786" s="305"/>
      <c r="K786" s="306"/>
      <c r="L786" s="304" t="s">
        <v>144</v>
      </c>
      <c r="M786" s="306"/>
    </row>
    <row r="787" spans="1:13" x14ac:dyDescent="0.25">
      <c r="C787" s="100"/>
      <c r="D787" s="105"/>
      <c r="E787" s="295"/>
      <c r="F787" s="112" t="s">
        <v>145</v>
      </c>
      <c r="G787" s="112" t="s">
        <v>146</v>
      </c>
      <c r="H787" s="113" t="s">
        <v>147</v>
      </c>
      <c r="I787" s="112" t="s">
        <v>145</v>
      </c>
      <c r="J787" s="114" t="s">
        <v>146</v>
      </c>
      <c r="K787" s="113" t="s">
        <v>147</v>
      </c>
      <c r="L787" s="297" t="s">
        <v>148</v>
      </c>
      <c r="M787" s="299" t="s">
        <v>149</v>
      </c>
    </row>
    <row r="788" spans="1:13" x14ac:dyDescent="0.25">
      <c r="C788" s="100"/>
      <c r="D788" s="105"/>
      <c r="E788" s="296"/>
      <c r="F788" s="115" t="s">
        <v>150</v>
      </c>
      <c r="G788" s="115"/>
      <c r="H788" s="116" t="s">
        <v>150</v>
      </c>
      <c r="I788" s="115" t="s">
        <v>150</v>
      </c>
      <c r="J788" s="116"/>
      <c r="K788" s="116" t="s">
        <v>150</v>
      </c>
      <c r="L788" s="298"/>
      <c r="M788" s="300"/>
    </row>
    <row r="789" spans="1:13" x14ac:dyDescent="0.25">
      <c r="A789" s="100" t="str">
        <f>$E779</f>
        <v>GENERAL SERVICE 50 TO 999 KW SERVICE CLASSIFICATION</v>
      </c>
      <c r="C789" s="117"/>
      <c r="D789" s="118" t="s">
        <v>151</v>
      </c>
      <c r="E789" s="119"/>
      <c r="F789" s="120">
        <v>86.83</v>
      </c>
      <c r="G789" s="121">
        <v>1</v>
      </c>
      <c r="H789" s="122">
        <f>G789*F789</f>
        <v>86.83</v>
      </c>
      <c r="I789" s="123">
        <v>87.87</v>
      </c>
      <c r="J789" s="124">
        <f>G789</f>
        <v>1</v>
      </c>
      <c r="K789" s="122">
        <f t="shared" ref="K789:K794" si="127">H789</f>
        <v>86.83</v>
      </c>
      <c r="L789" s="125">
        <f t="shared" ref="L789:L810" si="128">K789-H789</f>
        <v>0</v>
      </c>
      <c r="M789" s="126">
        <f>IF(ISERROR(L789/H789), "", L789/H789)</f>
        <v>0</v>
      </c>
    </row>
    <row r="790" spans="1:13" x14ac:dyDescent="0.25">
      <c r="A790" s="100" t="str">
        <f>A789</f>
        <v>GENERAL SERVICE 50 TO 999 KW SERVICE CLASSIFICATION</v>
      </c>
      <c r="C790" s="117"/>
      <c r="D790" s="118" t="s">
        <v>152</v>
      </c>
      <c r="E790" s="119"/>
      <c r="F790" s="127">
        <v>3.8580000000000001</v>
      </c>
      <c r="G790" s="121">
        <f>IF($E782&gt;0, $E782, $E781)</f>
        <v>60</v>
      </c>
      <c r="H790" s="122">
        <f t="shared" ref="H790:H802" si="129">G790*F790</f>
        <v>231.48000000000002</v>
      </c>
      <c r="I790" s="128">
        <v>3.9043000000000001</v>
      </c>
      <c r="J790" s="124">
        <f>IF($E782&gt;0, $E782, $E781)</f>
        <v>60</v>
      </c>
      <c r="K790" s="122">
        <f t="shared" si="127"/>
        <v>231.48000000000002</v>
      </c>
      <c r="L790" s="125">
        <f t="shared" si="128"/>
        <v>0</v>
      </c>
      <c r="M790" s="126">
        <f t="shared" ref="M790:M800" si="130">IF(ISERROR(L790/H790), "", L790/H790)</f>
        <v>0</v>
      </c>
    </row>
    <row r="791" spans="1:13" x14ac:dyDescent="0.25">
      <c r="A791" s="100" t="str">
        <f t="shared" ref="A791:A832" si="131">A790</f>
        <v>GENERAL SERVICE 50 TO 999 KW SERVICE CLASSIFICATION</v>
      </c>
      <c r="C791" s="117"/>
      <c r="D791" s="118" t="s">
        <v>153</v>
      </c>
      <c r="E791" s="119"/>
      <c r="F791" s="127"/>
      <c r="G791" s="121">
        <f>IF($E782&gt;0, $E782, $E781)</f>
        <v>60</v>
      </c>
      <c r="H791" s="122">
        <v>0</v>
      </c>
      <c r="I791" s="128"/>
      <c r="J791" s="124">
        <f>IF($E782&gt;0, $E782, $E781)</f>
        <v>60</v>
      </c>
      <c r="K791" s="122">
        <f t="shared" si="127"/>
        <v>0</v>
      </c>
      <c r="L791" s="125"/>
      <c r="M791" s="126"/>
    </row>
    <row r="792" spans="1:13" x14ac:dyDescent="0.25">
      <c r="A792" s="100" t="str">
        <f t="shared" si="131"/>
        <v>GENERAL SERVICE 50 TO 999 KW SERVICE CLASSIFICATION</v>
      </c>
      <c r="C792" s="117"/>
      <c r="D792" s="118" t="s">
        <v>154</v>
      </c>
      <c r="E792" s="119"/>
      <c r="F792" s="127"/>
      <c r="G792" s="121">
        <f>IF($E782&gt;0, $E782, $E781)</f>
        <v>60</v>
      </c>
      <c r="H792" s="122">
        <v>0</v>
      </c>
      <c r="I792" s="128"/>
      <c r="J792" s="121">
        <f>IF($E782&gt;0, $E782, $E781)</f>
        <v>60</v>
      </c>
      <c r="K792" s="122">
        <f t="shared" si="127"/>
        <v>0</v>
      </c>
      <c r="L792" s="125">
        <f>K792-H792</f>
        <v>0</v>
      </c>
      <c r="M792" s="126" t="str">
        <f>IF(ISERROR(L792/H792), "", L792/H792)</f>
        <v/>
      </c>
    </row>
    <row r="793" spans="1:13" x14ac:dyDescent="0.25">
      <c r="A793" s="100" t="str">
        <f t="shared" si="131"/>
        <v>GENERAL SERVICE 50 TO 999 KW SERVICE CLASSIFICATION</v>
      </c>
      <c r="C793" s="117"/>
      <c r="D793" s="129" t="s">
        <v>155</v>
      </c>
      <c r="E793" s="119"/>
      <c r="F793" s="120">
        <v>0</v>
      </c>
      <c r="G793" s="121">
        <v>1</v>
      </c>
      <c r="H793" s="122">
        <f t="shared" si="129"/>
        <v>0</v>
      </c>
      <c r="I793" s="123">
        <v>0</v>
      </c>
      <c r="J793" s="124">
        <f>G793</f>
        <v>1</v>
      </c>
      <c r="K793" s="122">
        <f t="shared" si="127"/>
        <v>0</v>
      </c>
      <c r="L793" s="125">
        <f t="shared" si="128"/>
        <v>0</v>
      </c>
      <c r="M793" s="126" t="str">
        <f t="shared" si="130"/>
        <v/>
      </c>
    </row>
    <row r="794" spans="1:13" x14ac:dyDescent="0.25">
      <c r="A794" s="100" t="str">
        <f t="shared" si="131"/>
        <v>GENERAL SERVICE 50 TO 999 KW SERVICE CLASSIFICATION</v>
      </c>
      <c r="C794" s="117"/>
      <c r="D794" s="118" t="s">
        <v>156</v>
      </c>
      <c r="E794" s="119"/>
      <c r="F794" s="127">
        <v>0</v>
      </c>
      <c r="G794" s="121">
        <f>IF($E782&gt;0, $E782, $E781)</f>
        <v>60</v>
      </c>
      <c r="H794" s="122">
        <f t="shared" si="129"/>
        <v>0</v>
      </c>
      <c r="I794" s="128">
        <v>0</v>
      </c>
      <c r="J794" s="124">
        <f>IF($E782&gt;0, $E782, $E781)</f>
        <v>60</v>
      </c>
      <c r="K794" s="122">
        <f t="shared" si="127"/>
        <v>0</v>
      </c>
      <c r="L794" s="125">
        <f t="shared" si="128"/>
        <v>0</v>
      </c>
      <c r="M794" s="126" t="str">
        <f t="shared" si="130"/>
        <v/>
      </c>
    </row>
    <row r="795" spans="1:13" x14ac:dyDescent="0.25">
      <c r="A795" s="100" t="str">
        <f t="shared" si="131"/>
        <v>GENERAL SERVICE 50 TO 999 KW SERVICE CLASSIFICATION</v>
      </c>
      <c r="B795" s="130" t="s">
        <v>157</v>
      </c>
      <c r="C795" s="117">
        <f>B16</f>
        <v>14</v>
      </c>
      <c r="D795" s="131" t="s">
        <v>158</v>
      </c>
      <c r="E795" s="132"/>
      <c r="F795" s="133"/>
      <c r="G795" s="134"/>
      <c r="H795" s="135">
        <f>SUM(H789:H794)</f>
        <v>318.31</v>
      </c>
      <c r="I795" s="136"/>
      <c r="J795" s="137"/>
      <c r="K795" s="135">
        <f>SUM(K789:K794)</f>
        <v>318.31</v>
      </c>
      <c r="L795" s="138">
        <f t="shared" si="128"/>
        <v>0</v>
      </c>
      <c r="M795" s="139">
        <f>IF((H795)=0,"",(L795/H795))</f>
        <v>0</v>
      </c>
    </row>
    <row r="796" spans="1:13" x14ac:dyDescent="0.25">
      <c r="A796" s="100" t="str">
        <f t="shared" si="131"/>
        <v>GENERAL SERVICE 50 TO 999 KW SERVICE CLASSIFICATION</v>
      </c>
      <c r="C796" s="117"/>
      <c r="D796" s="140" t="s">
        <v>159</v>
      </c>
      <c r="E796" s="119"/>
      <c r="F796" s="127">
        <f>IF((E781*12&gt;=150000), 0, IF(E780="RPP",(F812*0.65+F813*0.17+F814*0.18),IF(E780="Non-RPP (Retailer)",F815,F816)))</f>
        <v>0</v>
      </c>
      <c r="G796" s="141">
        <f>IF(F796=0, 0, $E781*E783-E781)</f>
        <v>0</v>
      </c>
      <c r="H796" s="122">
        <f>G796*F796</f>
        <v>0</v>
      </c>
      <c r="I796" s="128">
        <f>IF((E781*12&gt;=150000), 0, IF(E780="RPP",(I812*0.65+I813*0.17+I814*0.18),IF(E780="Non-RPP (Retailer)",I815,I816)))</f>
        <v>0</v>
      </c>
      <c r="J796" s="141">
        <f>IF(I796=0, 0, E781*E784-E781)</f>
        <v>0</v>
      </c>
      <c r="K796" s="122">
        <f t="shared" ref="K796:K798" si="132">H796</f>
        <v>0</v>
      </c>
      <c r="L796" s="125">
        <f>K796-H796</f>
        <v>0</v>
      </c>
      <c r="M796" s="126" t="str">
        <f>IF(ISERROR(L796/H796), "", L796/H796)</f>
        <v/>
      </c>
    </row>
    <row r="797" spans="1:13" ht="25.5" x14ac:dyDescent="0.25">
      <c r="A797" s="100" t="str">
        <f t="shared" si="131"/>
        <v>GENERAL SERVICE 50 TO 999 KW SERVICE CLASSIFICATION</v>
      </c>
      <c r="C797" s="117"/>
      <c r="D797" s="140" t="s">
        <v>160</v>
      </c>
      <c r="E797" s="119"/>
      <c r="F797" s="127">
        <v>-0.70650000000000002</v>
      </c>
      <c r="G797" s="142">
        <f>IF($E782&gt;0, $E782, $E781)</f>
        <v>60</v>
      </c>
      <c r="H797" s="122">
        <f t="shared" si="129"/>
        <v>-42.39</v>
      </c>
      <c r="I797" s="128">
        <v>-1.7801</v>
      </c>
      <c r="J797" s="142">
        <f>IF($E782&gt;0, $E782, $E781)</f>
        <v>60</v>
      </c>
      <c r="K797" s="122">
        <f t="shared" si="132"/>
        <v>-42.39</v>
      </c>
      <c r="L797" s="125">
        <f t="shared" si="128"/>
        <v>0</v>
      </c>
      <c r="M797" s="126">
        <f t="shared" si="130"/>
        <v>0</v>
      </c>
    </row>
    <row r="798" spans="1:13" x14ac:dyDescent="0.25">
      <c r="A798" s="100" t="str">
        <f t="shared" si="131"/>
        <v>GENERAL SERVICE 50 TO 999 KW SERVICE CLASSIFICATION</v>
      </c>
      <c r="C798" s="117"/>
      <c r="D798" s="140" t="s">
        <v>161</v>
      </c>
      <c r="E798" s="119"/>
      <c r="F798" s="127">
        <v>-2.76E-2</v>
      </c>
      <c r="G798" s="142">
        <f>IF($E782&gt;0, $E782, $E781)</f>
        <v>60</v>
      </c>
      <c r="H798" s="122">
        <f>G798*F798</f>
        <v>-1.6559999999999999</v>
      </c>
      <c r="I798" s="128">
        <v>0</v>
      </c>
      <c r="J798" s="142">
        <f>IF($E782&gt;0, $E782, $E781)</f>
        <v>60</v>
      </c>
      <c r="K798" s="122">
        <f t="shared" si="132"/>
        <v>-1.6559999999999999</v>
      </c>
      <c r="L798" s="125">
        <f t="shared" si="128"/>
        <v>0</v>
      </c>
      <c r="M798" s="126">
        <f t="shared" si="130"/>
        <v>0</v>
      </c>
    </row>
    <row r="799" spans="1:13" x14ac:dyDescent="0.25">
      <c r="A799" s="100" t="str">
        <f t="shared" si="131"/>
        <v>GENERAL SERVICE 50 TO 999 KW SERVICE CLASSIFICATION</v>
      </c>
      <c r="C799" s="117"/>
      <c r="D799" s="140" t="s">
        <v>162</v>
      </c>
      <c r="E799" s="119"/>
      <c r="F799" s="127">
        <v>-1E-3</v>
      </c>
      <c r="G799" s="142">
        <f>E781</f>
        <v>20000</v>
      </c>
      <c r="H799" s="122">
        <f>G799*F799</f>
        <v>-20</v>
      </c>
      <c r="I799" s="128">
        <v>1.37E-2</v>
      </c>
      <c r="J799" s="142">
        <f>E781</f>
        <v>20000</v>
      </c>
      <c r="K799" s="122">
        <f t="shared" ref="K799" si="133">J799*I799</f>
        <v>274</v>
      </c>
      <c r="L799" s="125">
        <f t="shared" si="128"/>
        <v>294</v>
      </c>
      <c r="M799" s="126">
        <f t="shared" si="130"/>
        <v>-14.7</v>
      </c>
    </row>
    <row r="800" spans="1:13" x14ac:dyDescent="0.25">
      <c r="A800" s="100" t="str">
        <f t="shared" si="131"/>
        <v>GENERAL SERVICE 50 TO 999 KW SERVICE CLASSIFICATION</v>
      </c>
      <c r="C800" s="117"/>
      <c r="D800" s="143" t="s">
        <v>163</v>
      </c>
      <c r="E800" s="119"/>
      <c r="F800" s="127">
        <v>1.0483</v>
      </c>
      <c r="G800" s="142">
        <f>IF($E782&gt;0, $E782, $E781)</f>
        <v>60</v>
      </c>
      <c r="H800" s="122">
        <f t="shared" si="129"/>
        <v>62.898000000000003</v>
      </c>
      <c r="I800" s="128">
        <v>1.0483</v>
      </c>
      <c r="J800" s="142">
        <f>IF($E782&gt;0, $E782, $E781)</f>
        <v>60</v>
      </c>
      <c r="K800" s="122">
        <f t="shared" ref="K800:K803" si="134">H800</f>
        <v>62.898000000000003</v>
      </c>
      <c r="L800" s="125">
        <f t="shared" si="128"/>
        <v>0</v>
      </c>
      <c r="M800" s="126">
        <f t="shared" si="130"/>
        <v>0</v>
      </c>
    </row>
    <row r="801" spans="1:13" ht="25.5" x14ac:dyDescent="0.25">
      <c r="A801" s="100" t="str">
        <f t="shared" si="131"/>
        <v>GENERAL SERVICE 50 TO 999 KW SERVICE CLASSIFICATION</v>
      </c>
      <c r="C801" s="117"/>
      <c r="D801" s="144" t="s">
        <v>164</v>
      </c>
      <c r="E801" s="119"/>
      <c r="F801" s="145">
        <f>IF(OR(ISNUMBER(SEARCH("RESIDENTIAL", E779))=TRUE, ISNUMBER(SEARCH("GENERAL SERVICE LESS THAN 50", E779))=TRUE), SME, 0)</f>
        <v>0</v>
      </c>
      <c r="G801" s="121">
        <v>1</v>
      </c>
      <c r="H801" s="122">
        <f>G801*F801</f>
        <v>0</v>
      </c>
      <c r="I801" s="146">
        <f>IF(OR(ISNUMBER(SEARCH("RESIDENTIAL", E779))=TRUE, ISNUMBER(SEARCH("GENERAL SERVICE LESS THAN 50", E779))=TRUE), SME, 0)</f>
        <v>0</v>
      </c>
      <c r="J801" s="121">
        <v>1</v>
      </c>
      <c r="K801" s="122">
        <f t="shared" si="134"/>
        <v>0</v>
      </c>
      <c r="L801" s="125">
        <f t="shared" si="128"/>
        <v>0</v>
      </c>
      <c r="M801" s="126" t="str">
        <f>IF(ISERROR(L801/H801), "", L801/H801)</f>
        <v/>
      </c>
    </row>
    <row r="802" spans="1:13" x14ac:dyDescent="0.25">
      <c r="A802" s="100" t="str">
        <f t="shared" si="131"/>
        <v>GENERAL SERVICE 50 TO 999 KW SERVICE CLASSIFICATION</v>
      </c>
      <c r="C802" s="117"/>
      <c r="D802" s="143" t="s">
        <v>165</v>
      </c>
      <c r="E802" s="119"/>
      <c r="F802" s="120">
        <v>0</v>
      </c>
      <c r="G802" s="121">
        <v>1</v>
      </c>
      <c r="H802" s="122">
        <f t="shared" si="129"/>
        <v>0</v>
      </c>
      <c r="I802" s="123">
        <v>0</v>
      </c>
      <c r="J802" s="121">
        <v>1</v>
      </c>
      <c r="K802" s="122">
        <f t="shared" si="134"/>
        <v>0</v>
      </c>
      <c r="L802" s="125">
        <f>K802-H802</f>
        <v>0</v>
      </c>
      <c r="M802" s="126" t="str">
        <f>IF(ISERROR(L802/H802), "", L802/H802)</f>
        <v/>
      </c>
    </row>
    <row r="803" spans="1:13" x14ac:dyDescent="0.25">
      <c r="A803" s="100" t="str">
        <f t="shared" si="131"/>
        <v>GENERAL SERVICE 50 TO 999 KW SERVICE CLASSIFICATION</v>
      </c>
      <c r="C803" s="117"/>
      <c r="D803" s="143" t="s">
        <v>166</v>
      </c>
      <c r="E803" s="119"/>
      <c r="F803" s="127"/>
      <c r="G803" s="142">
        <f>IF($E782&gt;0, $E782, $E781)</f>
        <v>60</v>
      </c>
      <c r="H803" s="122">
        <f>G803*F803</f>
        <v>0</v>
      </c>
      <c r="I803" s="128">
        <v>0</v>
      </c>
      <c r="J803" s="142">
        <f>IF($E782&gt;0, $E782, $E781)</f>
        <v>60</v>
      </c>
      <c r="K803" s="122">
        <f t="shared" si="134"/>
        <v>0</v>
      </c>
      <c r="L803" s="125">
        <f t="shared" si="128"/>
        <v>0</v>
      </c>
      <c r="M803" s="126" t="str">
        <f>IF(ISERROR(L803/H803), "", L803/H803)</f>
        <v/>
      </c>
    </row>
    <row r="804" spans="1:13" ht="25.5" x14ac:dyDescent="0.25">
      <c r="A804" s="100" t="str">
        <f t="shared" si="131"/>
        <v>GENERAL SERVICE 50 TO 999 KW SERVICE CLASSIFICATION</v>
      </c>
      <c r="B804" s="105" t="s">
        <v>167</v>
      </c>
      <c r="C804" s="117">
        <f>B16</f>
        <v>14</v>
      </c>
      <c r="D804" s="147" t="s">
        <v>168</v>
      </c>
      <c r="E804" s="148"/>
      <c r="F804" s="149"/>
      <c r="G804" s="150"/>
      <c r="H804" s="151">
        <f>SUM(H795:H803)</f>
        <v>317.16200000000003</v>
      </c>
      <c r="I804" s="152"/>
      <c r="J804" s="153"/>
      <c r="K804" s="151">
        <f>SUM(K795:K803)</f>
        <v>611.16200000000003</v>
      </c>
      <c r="L804" s="138">
        <f t="shared" si="128"/>
        <v>294</v>
      </c>
      <c r="M804" s="139">
        <f>IF((H804)=0,"",(L804/H804))</f>
        <v>0.92697107471891327</v>
      </c>
    </row>
    <row r="805" spans="1:13" x14ac:dyDescent="0.25">
      <c r="A805" s="100" t="str">
        <f t="shared" si="131"/>
        <v>GENERAL SERVICE 50 TO 999 KW SERVICE CLASSIFICATION</v>
      </c>
      <c r="C805" s="117"/>
      <c r="D805" s="154" t="s">
        <v>169</v>
      </c>
      <c r="E805" s="119"/>
      <c r="F805" s="127">
        <v>2.6217000000000001</v>
      </c>
      <c r="G805" s="141">
        <f>IF($E782&gt;0, $E782, $E781*$E783)</f>
        <v>60</v>
      </c>
      <c r="H805" s="122">
        <f>G805*F805</f>
        <v>157.30200000000002</v>
      </c>
      <c r="I805" s="128">
        <v>2.4868999999999999</v>
      </c>
      <c r="J805" s="141">
        <f>IF($E782&gt;0, $E782, $E781*$E784)</f>
        <v>60</v>
      </c>
      <c r="K805" s="122">
        <f t="shared" ref="K805:K806" si="135">H805</f>
        <v>157.30200000000002</v>
      </c>
      <c r="L805" s="125">
        <f t="shared" si="128"/>
        <v>0</v>
      </c>
      <c r="M805" s="126">
        <f>IF(ISERROR(L805/H805), "", L805/H805)</f>
        <v>0</v>
      </c>
    </row>
    <row r="806" spans="1:13" ht="25.5" x14ac:dyDescent="0.25">
      <c r="A806" s="100" t="str">
        <f t="shared" si="131"/>
        <v>GENERAL SERVICE 50 TO 999 KW SERVICE CLASSIFICATION</v>
      </c>
      <c r="C806" s="117"/>
      <c r="D806" s="155" t="s">
        <v>170</v>
      </c>
      <c r="E806" s="119"/>
      <c r="F806" s="127">
        <v>2.2145999999999999</v>
      </c>
      <c r="G806" s="141">
        <f>IF($E782&gt;0, $E782, $E781*$E783)</f>
        <v>60</v>
      </c>
      <c r="H806" s="122">
        <f>G806*F806</f>
        <v>132.876</v>
      </c>
      <c r="I806" s="128">
        <v>2.0933000000000002</v>
      </c>
      <c r="J806" s="141">
        <f>IF($E782&gt;0, $E782, $E781*$E784)</f>
        <v>60</v>
      </c>
      <c r="K806" s="122">
        <f t="shared" si="135"/>
        <v>132.876</v>
      </c>
      <c r="L806" s="125">
        <f t="shared" si="128"/>
        <v>0</v>
      </c>
      <c r="M806" s="126">
        <f>IF(ISERROR(L806/H806), "", L806/H806)</f>
        <v>0</v>
      </c>
    </row>
    <row r="807" spans="1:13" ht="25.5" x14ac:dyDescent="0.25">
      <c r="A807" s="100" t="str">
        <f t="shared" si="131"/>
        <v>GENERAL SERVICE 50 TO 999 KW SERVICE CLASSIFICATION</v>
      </c>
      <c r="B807" s="105" t="s">
        <v>171</v>
      </c>
      <c r="C807" s="117">
        <f>B16</f>
        <v>14</v>
      </c>
      <c r="D807" s="147" t="s">
        <v>172</v>
      </c>
      <c r="E807" s="132"/>
      <c r="F807" s="149"/>
      <c r="G807" s="150"/>
      <c r="H807" s="151">
        <f>SUM(H804:H806)</f>
        <v>607.34</v>
      </c>
      <c r="I807" s="152"/>
      <c r="J807" s="137"/>
      <c r="K807" s="151">
        <f>SUM(K804:K806)</f>
        <v>901.34</v>
      </c>
      <c r="L807" s="138">
        <f t="shared" si="128"/>
        <v>294</v>
      </c>
      <c r="M807" s="139">
        <f>IF((H807)=0,"",(L807/H807))</f>
        <v>0.48407811110745214</v>
      </c>
    </row>
    <row r="808" spans="1:13" ht="25.5" x14ac:dyDescent="0.25">
      <c r="A808" s="100" t="str">
        <f t="shared" si="131"/>
        <v>GENERAL SERVICE 50 TO 999 KW SERVICE CLASSIFICATION</v>
      </c>
      <c r="C808" s="117"/>
      <c r="D808" s="156" t="s">
        <v>173</v>
      </c>
      <c r="E808" s="119"/>
      <c r="F808" s="127">
        <v>3.6000000000000003E-3</v>
      </c>
      <c r="G808" s="141">
        <f>E781*E783</f>
        <v>21120</v>
      </c>
      <c r="H808" s="157">
        <f t="shared" ref="H808:H814" si="136">G808*F808</f>
        <v>76.032000000000011</v>
      </c>
      <c r="I808" s="128">
        <v>3.6000000000000003E-3</v>
      </c>
      <c r="J808" s="141">
        <f>E781*E784</f>
        <v>21120</v>
      </c>
      <c r="K808" s="157">
        <f t="shared" ref="K808:K816" si="137">H808</f>
        <v>76.032000000000011</v>
      </c>
      <c r="L808" s="125">
        <f t="shared" si="128"/>
        <v>0</v>
      </c>
      <c r="M808" s="126">
        <f t="shared" ref="M808:M816" si="138">IF(ISERROR(L808/H808), "", L808/H808)</f>
        <v>0</v>
      </c>
    </row>
    <row r="809" spans="1:13" ht="25.5" x14ac:dyDescent="0.25">
      <c r="A809" s="100" t="str">
        <f t="shared" si="131"/>
        <v>GENERAL SERVICE 50 TO 999 KW SERVICE CLASSIFICATION</v>
      </c>
      <c r="C809" s="117"/>
      <c r="D809" s="156" t="s">
        <v>174</v>
      </c>
      <c r="E809" s="119"/>
      <c r="F809" s="127">
        <f>'[1]17. Regulatory Charges'!$D$16</f>
        <v>2.9999999999999997E-4</v>
      </c>
      <c r="G809" s="141">
        <f>E781*E783</f>
        <v>21120</v>
      </c>
      <c r="H809" s="157">
        <f t="shared" si="136"/>
        <v>6.3359999999999994</v>
      </c>
      <c r="I809" s="128">
        <v>2.9999999999999997E-4</v>
      </c>
      <c r="J809" s="141">
        <f>E781*E784</f>
        <v>21120</v>
      </c>
      <c r="K809" s="157">
        <f t="shared" si="137"/>
        <v>6.3359999999999994</v>
      </c>
      <c r="L809" s="125">
        <f t="shared" si="128"/>
        <v>0</v>
      </c>
      <c r="M809" s="126">
        <f t="shared" si="138"/>
        <v>0</v>
      </c>
    </row>
    <row r="810" spans="1:13" x14ac:dyDescent="0.25">
      <c r="A810" s="100" t="str">
        <f t="shared" si="131"/>
        <v>GENERAL SERVICE 50 TO 999 KW SERVICE CLASSIFICATION</v>
      </c>
      <c r="C810" s="117"/>
      <c r="D810" s="158" t="s">
        <v>175</v>
      </c>
      <c r="E810" s="119"/>
      <c r="F810" s="145">
        <v>0.25</v>
      </c>
      <c r="G810" s="121">
        <v>1</v>
      </c>
      <c r="H810" s="157">
        <f t="shared" si="136"/>
        <v>0.25</v>
      </c>
      <c r="I810" s="146">
        <f>'[1]17. Regulatory Charges'!$D$17</f>
        <v>0.25</v>
      </c>
      <c r="J810" s="124">
        <v>1</v>
      </c>
      <c r="K810" s="157">
        <f t="shared" si="137"/>
        <v>0.25</v>
      </c>
      <c r="L810" s="125">
        <f t="shared" si="128"/>
        <v>0</v>
      </c>
      <c r="M810" s="126">
        <f t="shared" si="138"/>
        <v>0</v>
      </c>
    </row>
    <row r="811" spans="1:13" ht="25.5" x14ac:dyDescent="0.25">
      <c r="A811" s="100" t="str">
        <f t="shared" si="131"/>
        <v>GENERAL SERVICE 50 TO 999 KW SERVICE CLASSIFICATION</v>
      </c>
      <c r="C811" s="117"/>
      <c r="D811" s="156" t="s">
        <v>176</v>
      </c>
      <c r="E811" s="119"/>
      <c r="F811" s="127"/>
      <c r="G811" s="141"/>
      <c r="H811" s="157"/>
      <c r="I811" s="128"/>
      <c r="J811" s="141"/>
      <c r="K811" s="157">
        <f t="shared" si="137"/>
        <v>0</v>
      </c>
      <c r="L811" s="125"/>
      <c r="M811" s="126"/>
    </row>
    <row r="812" spans="1:13" hidden="1" x14ac:dyDescent="0.25">
      <c r="A812" s="100" t="str">
        <f t="shared" si="131"/>
        <v>GENERAL SERVICE 50 TO 999 KW SERVICE CLASSIFICATION</v>
      </c>
      <c r="B812" s="105" t="s">
        <v>117</v>
      </c>
      <c r="C812" s="117"/>
      <c r="D812" s="159" t="s">
        <v>177</v>
      </c>
      <c r="E812" s="119"/>
      <c r="F812" s="160">
        <f>OffPeak</f>
        <v>6.5000000000000002E-2</v>
      </c>
      <c r="G812" s="161">
        <f>IF(AND(E781*12&gt;=150000),0.65*E781*E783,0.65*E781)</f>
        <v>13728</v>
      </c>
      <c r="H812" s="157">
        <f t="shared" si="136"/>
        <v>892.32</v>
      </c>
      <c r="I812" s="162">
        <f>OffPeak</f>
        <v>6.5000000000000002E-2</v>
      </c>
      <c r="J812" s="161">
        <f>IF(AND(E781*12&gt;=150000),0.65*E781*E784,0.65*E781)</f>
        <v>13728</v>
      </c>
      <c r="K812" s="157">
        <f t="shared" si="137"/>
        <v>892.32</v>
      </c>
      <c r="L812" s="125">
        <f>K812-H812</f>
        <v>0</v>
      </c>
      <c r="M812" s="126">
        <f t="shared" si="138"/>
        <v>0</v>
      </c>
    </row>
    <row r="813" spans="1:13" hidden="1" x14ac:dyDescent="0.25">
      <c r="A813" s="100" t="str">
        <f t="shared" si="131"/>
        <v>GENERAL SERVICE 50 TO 999 KW SERVICE CLASSIFICATION</v>
      </c>
      <c r="B813" s="105" t="s">
        <v>117</v>
      </c>
      <c r="C813" s="117"/>
      <c r="D813" s="159" t="s">
        <v>178</v>
      </c>
      <c r="E813" s="119"/>
      <c r="F813" s="160">
        <f>MidPeak</f>
        <v>9.4E-2</v>
      </c>
      <c r="G813" s="161">
        <f>IF(AND(E781*12&gt;=150000),0.17*E781*E783,0.17*E781)</f>
        <v>3590.4000000000005</v>
      </c>
      <c r="H813" s="157">
        <f t="shared" si="136"/>
        <v>337.49760000000003</v>
      </c>
      <c r="I813" s="162">
        <f>MidPeak</f>
        <v>9.4E-2</v>
      </c>
      <c r="J813" s="161">
        <f>IF(AND(E781*12&gt;=150000),0.17*E781*E784,0.17*E781)</f>
        <v>3590.4000000000005</v>
      </c>
      <c r="K813" s="157">
        <f t="shared" si="137"/>
        <v>337.49760000000003</v>
      </c>
      <c r="L813" s="125">
        <f>K813-H813</f>
        <v>0</v>
      </c>
      <c r="M813" s="126">
        <f t="shared" si="138"/>
        <v>0</v>
      </c>
    </row>
    <row r="814" spans="1:13" hidden="1" x14ac:dyDescent="0.25">
      <c r="A814" s="100" t="str">
        <f t="shared" si="131"/>
        <v>GENERAL SERVICE 50 TO 999 KW SERVICE CLASSIFICATION</v>
      </c>
      <c r="B814" s="105" t="s">
        <v>117</v>
      </c>
      <c r="C814" s="117"/>
      <c r="D814" s="105" t="s">
        <v>179</v>
      </c>
      <c r="E814" s="119"/>
      <c r="F814" s="160">
        <f>OnPeak</f>
        <v>0.13200000000000001</v>
      </c>
      <c r="G814" s="161">
        <f>IF(AND(E781*12&gt;=150000),0.18*E781*E783,0.18*E781)</f>
        <v>3801.6000000000004</v>
      </c>
      <c r="H814" s="157">
        <f t="shared" si="136"/>
        <v>501.8112000000001</v>
      </c>
      <c r="I814" s="162">
        <f>OnPeak</f>
        <v>0.13200000000000001</v>
      </c>
      <c r="J814" s="161">
        <f>IF(AND(E781*12&gt;=150000),0.18*E781*E784,0.18*E781)</f>
        <v>3801.6000000000004</v>
      </c>
      <c r="K814" s="157">
        <f t="shared" si="137"/>
        <v>501.8112000000001</v>
      </c>
      <c r="L814" s="125">
        <f>K814-H814</f>
        <v>0</v>
      </c>
      <c r="M814" s="126">
        <f t="shared" si="138"/>
        <v>0</v>
      </c>
    </row>
    <row r="815" spans="1:13" hidden="1" x14ac:dyDescent="0.25">
      <c r="A815" s="100" t="str">
        <f t="shared" si="131"/>
        <v>GENERAL SERVICE 50 TO 999 KW SERVICE CLASSIFICATION</v>
      </c>
      <c r="B815" s="100" t="s">
        <v>180</v>
      </c>
      <c r="C815" s="117"/>
      <c r="D815" s="159" t="s">
        <v>181</v>
      </c>
      <c r="E815" s="119"/>
      <c r="F815" s="163">
        <v>0.1101</v>
      </c>
      <c r="G815" s="161">
        <f>IF(AND(E781*12&gt;=150000),E781*E783,E781)</f>
        <v>21120</v>
      </c>
      <c r="H815" s="157">
        <f>G815*F815</f>
        <v>2325.3119999999999</v>
      </c>
      <c r="I815" s="164">
        <f>F815</f>
        <v>0.1101</v>
      </c>
      <c r="J815" s="161">
        <f>IF(AND(E781*12&gt;=150000),E781*E784,E781)</f>
        <v>21120</v>
      </c>
      <c r="K815" s="157">
        <f t="shared" si="137"/>
        <v>2325.3119999999999</v>
      </c>
      <c r="L815" s="125">
        <f>K815-H815</f>
        <v>0</v>
      </c>
      <c r="M815" s="126">
        <f t="shared" si="138"/>
        <v>0</v>
      </c>
    </row>
    <row r="816" spans="1:13" ht="15.75" thickBot="1" x14ac:dyDescent="0.3">
      <c r="A816" s="100" t="str">
        <f t="shared" si="131"/>
        <v>GENERAL SERVICE 50 TO 999 KW SERVICE CLASSIFICATION</v>
      </c>
      <c r="B816" s="100" t="s">
        <v>121</v>
      </c>
      <c r="C816" s="117"/>
      <c r="D816" s="159" t="s">
        <v>182</v>
      </c>
      <c r="E816" s="119"/>
      <c r="F816" s="163">
        <v>0.1101</v>
      </c>
      <c r="G816" s="161">
        <f>IF(AND(E781*12&gt;=150000),E781*E783,E781)</f>
        <v>21120</v>
      </c>
      <c r="H816" s="157">
        <f>G816*F816</f>
        <v>2325.3119999999999</v>
      </c>
      <c r="I816" s="164">
        <f>F816</f>
        <v>0.1101</v>
      </c>
      <c r="J816" s="161">
        <f>IF(AND(E781*12&gt;=150000),E781*E784,E781)</f>
        <v>21120</v>
      </c>
      <c r="K816" s="157">
        <f t="shared" si="137"/>
        <v>2325.3119999999999</v>
      </c>
      <c r="L816" s="125">
        <f>K816-H816</f>
        <v>0</v>
      </c>
      <c r="M816" s="126">
        <f t="shared" si="138"/>
        <v>0</v>
      </c>
    </row>
    <row r="817" spans="1:13" ht="15.75" thickBot="1" x14ac:dyDescent="0.3">
      <c r="A817" s="100" t="str">
        <f t="shared" si="131"/>
        <v>GENERAL SERVICE 50 TO 999 KW SERVICE CLASSIFICATION</v>
      </c>
      <c r="B817" s="105"/>
      <c r="C817" s="117"/>
      <c r="D817" s="165"/>
      <c r="E817" s="166"/>
      <c r="F817" s="167"/>
      <c r="G817" s="168"/>
      <c r="H817" s="169"/>
      <c r="I817" s="167"/>
      <c r="J817" s="170"/>
      <c r="K817" s="169"/>
      <c r="L817" s="171"/>
      <c r="M817" s="172"/>
    </row>
    <row r="818" spans="1:13" hidden="1" x14ac:dyDescent="0.25">
      <c r="A818" s="100" t="str">
        <f t="shared" si="131"/>
        <v>GENERAL SERVICE 50 TO 999 KW SERVICE CLASSIFICATION</v>
      </c>
      <c r="B818" s="105" t="s">
        <v>117</v>
      </c>
      <c r="C818" s="117"/>
      <c r="D818" s="173" t="s">
        <v>183</v>
      </c>
      <c r="E818" s="158"/>
      <c r="F818" s="174"/>
      <c r="G818" s="175"/>
      <c r="H818" s="176">
        <f>SUM(H808:H814,H807)</f>
        <v>2421.5868000000005</v>
      </c>
      <c r="I818" s="177"/>
      <c r="J818" s="177"/>
      <c r="K818" s="176">
        <f>SUM(K808:K814,K807)</f>
        <v>2715.5868000000005</v>
      </c>
      <c r="L818" s="178">
        <f>K818-H818</f>
        <v>294</v>
      </c>
      <c r="M818" s="179">
        <f>IF((H818)=0,"",(L818/H818))</f>
        <v>0.12140799578193932</v>
      </c>
    </row>
    <row r="819" spans="1:13" hidden="1" x14ac:dyDescent="0.25">
      <c r="A819" s="100" t="str">
        <f t="shared" si="131"/>
        <v>GENERAL SERVICE 50 TO 999 KW SERVICE CLASSIFICATION</v>
      </c>
      <c r="B819" s="105" t="s">
        <v>117</v>
      </c>
      <c r="C819" s="117"/>
      <c r="D819" s="180" t="s">
        <v>184</v>
      </c>
      <c r="E819" s="158"/>
      <c r="F819" s="174">
        <v>0.13</v>
      </c>
      <c r="G819" s="181"/>
      <c r="H819" s="182">
        <f>H818*F819</f>
        <v>314.80628400000006</v>
      </c>
      <c r="I819" s="183">
        <v>0.13</v>
      </c>
      <c r="J819" s="121"/>
      <c r="K819" s="182">
        <f>K818*I819</f>
        <v>353.02628400000009</v>
      </c>
      <c r="L819" s="184">
        <f>K819-H819</f>
        <v>38.220000000000027</v>
      </c>
      <c r="M819" s="185">
        <f>IF((H819)=0,"",(L819/H819))</f>
        <v>0.12140799578193941</v>
      </c>
    </row>
    <row r="820" spans="1:13" hidden="1" x14ac:dyDescent="0.25">
      <c r="A820" s="100" t="str">
        <f t="shared" si="131"/>
        <v>GENERAL SERVICE 50 TO 999 KW SERVICE CLASSIFICATION</v>
      </c>
      <c r="B820" s="105" t="s">
        <v>117</v>
      </c>
      <c r="C820" s="117"/>
      <c r="D820" s="180" t="s">
        <v>185</v>
      </c>
      <c r="E820" s="158"/>
      <c r="F820" s="174">
        <v>0.08</v>
      </c>
      <c r="G820" s="181"/>
      <c r="H820" s="182">
        <v>0</v>
      </c>
      <c r="I820" s="174">
        <v>0.08</v>
      </c>
      <c r="J820" s="121"/>
      <c r="K820" s="182">
        <v>0</v>
      </c>
      <c r="L820" s="184">
        <f>K820-H820</f>
        <v>0</v>
      </c>
      <c r="M820" s="185"/>
    </row>
    <row r="821" spans="1:13" hidden="1" x14ac:dyDescent="0.25">
      <c r="A821" s="100" t="str">
        <f t="shared" si="131"/>
        <v>GENERAL SERVICE 50 TO 999 KW SERVICE CLASSIFICATION</v>
      </c>
      <c r="B821" s="105" t="s">
        <v>186</v>
      </c>
      <c r="C821" s="117"/>
      <c r="D821" s="301" t="s">
        <v>187</v>
      </c>
      <c r="E821" s="301"/>
      <c r="F821" s="186"/>
      <c r="G821" s="187"/>
      <c r="H821" s="188">
        <f>H818+H819+H820</f>
        <v>2736.3930840000007</v>
      </c>
      <c r="I821" s="189"/>
      <c r="J821" s="189"/>
      <c r="K821" s="190">
        <f>K818+K819+K820</f>
        <v>3068.6130840000005</v>
      </c>
      <c r="L821" s="191">
        <f>K821-H821</f>
        <v>332.2199999999998</v>
      </c>
      <c r="M821" s="192">
        <f>IF((H821)=0,"",(L821/H821))</f>
        <v>0.12140799578193924</v>
      </c>
    </row>
    <row r="822" spans="1:13" ht="15.75" hidden="1" thickBot="1" x14ac:dyDescent="0.3">
      <c r="A822" s="100" t="str">
        <f t="shared" si="131"/>
        <v>GENERAL SERVICE 50 TO 999 KW SERVICE CLASSIFICATION</v>
      </c>
      <c r="B822" s="100" t="s">
        <v>117</v>
      </c>
      <c r="C822" s="117"/>
      <c r="D822" s="165"/>
      <c r="E822" s="166"/>
      <c r="F822" s="167"/>
      <c r="G822" s="168"/>
      <c r="H822" s="169"/>
      <c r="I822" s="167"/>
      <c r="J822" s="170"/>
      <c r="K822" s="169"/>
      <c r="L822" s="171"/>
      <c r="M822" s="172"/>
    </row>
    <row r="823" spans="1:13" hidden="1" x14ac:dyDescent="0.25">
      <c r="A823" s="100" t="str">
        <f t="shared" si="131"/>
        <v>GENERAL SERVICE 50 TO 999 KW SERVICE CLASSIFICATION</v>
      </c>
      <c r="B823" s="100" t="s">
        <v>180</v>
      </c>
      <c r="C823" s="117"/>
      <c r="D823" s="173" t="s">
        <v>188</v>
      </c>
      <c r="E823" s="158"/>
      <c r="F823" s="174"/>
      <c r="G823" s="175"/>
      <c r="H823" s="176">
        <f>SUM(H815,H808:H811,H807)</f>
        <v>3015.27</v>
      </c>
      <c r="I823" s="177"/>
      <c r="J823" s="177"/>
      <c r="K823" s="176">
        <f>SUM(K815,K808:K811,K807)</f>
        <v>3309.27</v>
      </c>
      <c r="L823" s="178">
        <f>K823-H823</f>
        <v>294</v>
      </c>
      <c r="M823" s="179">
        <f>IF((H823)=0,"",(L823/H823))</f>
        <v>9.7503706135768933E-2</v>
      </c>
    </row>
    <row r="824" spans="1:13" hidden="1" x14ac:dyDescent="0.25">
      <c r="A824" s="100" t="str">
        <f t="shared" si="131"/>
        <v>GENERAL SERVICE 50 TO 999 KW SERVICE CLASSIFICATION</v>
      </c>
      <c r="B824" s="100" t="s">
        <v>180</v>
      </c>
      <c r="C824" s="117"/>
      <c r="D824" s="180" t="s">
        <v>184</v>
      </c>
      <c r="E824" s="158"/>
      <c r="F824" s="174">
        <v>0.13</v>
      </c>
      <c r="G824" s="175"/>
      <c r="H824" s="182">
        <f>H823*F824</f>
        <v>391.98509999999999</v>
      </c>
      <c r="I824" s="174">
        <v>0.13</v>
      </c>
      <c r="J824" s="183"/>
      <c r="K824" s="182">
        <f>K823*I824</f>
        <v>430.20510000000002</v>
      </c>
      <c r="L824" s="184">
        <f>K824-H824</f>
        <v>38.220000000000027</v>
      </c>
      <c r="M824" s="185">
        <f>IF((H824)=0,"",(L824/H824))</f>
        <v>9.7503706135769003E-2</v>
      </c>
    </row>
    <row r="825" spans="1:13" hidden="1" x14ac:dyDescent="0.25">
      <c r="A825" s="100" t="str">
        <f t="shared" si="131"/>
        <v>GENERAL SERVICE 50 TO 999 KW SERVICE CLASSIFICATION</v>
      </c>
      <c r="B825" s="100" t="s">
        <v>180</v>
      </c>
      <c r="C825" s="117"/>
      <c r="D825" s="180" t="s">
        <v>185</v>
      </c>
      <c r="E825" s="158"/>
      <c r="F825" s="174">
        <v>0.08</v>
      </c>
      <c r="G825" s="175"/>
      <c r="H825" s="182">
        <v>0</v>
      </c>
      <c r="I825" s="174">
        <v>0.08</v>
      </c>
      <c r="J825" s="183"/>
      <c r="K825" s="182">
        <v>0</v>
      </c>
      <c r="L825" s="184"/>
      <c r="M825" s="185"/>
    </row>
    <row r="826" spans="1:13" hidden="1" x14ac:dyDescent="0.25">
      <c r="A826" s="100" t="str">
        <f t="shared" si="131"/>
        <v>GENERAL SERVICE 50 TO 999 KW SERVICE CLASSIFICATION</v>
      </c>
      <c r="B826" s="100" t="s">
        <v>189</v>
      </c>
      <c r="C826" s="117"/>
      <c r="D826" s="301" t="s">
        <v>188</v>
      </c>
      <c r="E826" s="301"/>
      <c r="F826" s="193"/>
      <c r="G826" s="194"/>
      <c r="H826" s="188">
        <f>SUM(H823,H824)</f>
        <v>3407.2550999999999</v>
      </c>
      <c r="I826" s="195"/>
      <c r="J826" s="195"/>
      <c r="K826" s="188">
        <f>SUM(K823,K824)</f>
        <v>3739.4751000000001</v>
      </c>
      <c r="L826" s="196">
        <f>K826-H826</f>
        <v>332.22000000000025</v>
      </c>
      <c r="M826" s="197">
        <f>IF((H826)=0,"",(L826/H826))</f>
        <v>9.7503706135769017E-2</v>
      </c>
    </row>
    <row r="827" spans="1:13" ht="15.75" hidden="1" thickBot="1" x14ac:dyDescent="0.3">
      <c r="A827" s="100" t="str">
        <f t="shared" si="131"/>
        <v>GENERAL SERVICE 50 TO 999 KW SERVICE CLASSIFICATION</v>
      </c>
      <c r="B827" s="100" t="s">
        <v>180</v>
      </c>
      <c r="C827" s="117"/>
      <c r="D827" s="165"/>
      <c r="E827" s="166"/>
      <c r="F827" s="198"/>
      <c r="G827" s="199"/>
      <c r="H827" s="200"/>
      <c r="I827" s="198"/>
      <c r="J827" s="168"/>
      <c r="K827" s="200"/>
      <c r="L827" s="201"/>
      <c r="M827" s="172"/>
    </row>
    <row r="828" spans="1:13" x14ac:dyDescent="0.25">
      <c r="A828" s="100" t="str">
        <f t="shared" si="131"/>
        <v>GENERAL SERVICE 50 TO 999 KW SERVICE CLASSIFICATION</v>
      </c>
      <c r="B828" s="100" t="s">
        <v>121</v>
      </c>
      <c r="C828" s="117"/>
      <c r="D828" s="173" t="s">
        <v>190</v>
      </c>
      <c r="E828" s="158"/>
      <c r="F828" s="174"/>
      <c r="G828" s="175"/>
      <c r="H828" s="176">
        <f>SUM(H816,H808:H811,H807)</f>
        <v>3015.27</v>
      </c>
      <c r="I828" s="177"/>
      <c r="J828" s="177"/>
      <c r="K828" s="176">
        <f>SUM(K816,K808:K811,K807)</f>
        <v>3309.27</v>
      </c>
      <c r="L828" s="178">
        <f>K828-H828</f>
        <v>294</v>
      </c>
      <c r="M828" s="179">
        <f>IF((H828)=0,"",(L828/H828))</f>
        <v>9.7503706135768933E-2</v>
      </c>
    </row>
    <row r="829" spans="1:13" x14ac:dyDescent="0.25">
      <c r="A829" s="100" t="str">
        <f t="shared" si="131"/>
        <v>GENERAL SERVICE 50 TO 999 KW SERVICE CLASSIFICATION</v>
      </c>
      <c r="B829" s="100" t="s">
        <v>121</v>
      </c>
      <c r="C829" s="117"/>
      <c r="D829" s="180" t="s">
        <v>184</v>
      </c>
      <c r="E829" s="158"/>
      <c r="F829" s="174">
        <v>0.13</v>
      </c>
      <c r="G829" s="175"/>
      <c r="H829" s="182">
        <f>H828*F829</f>
        <v>391.98509999999999</v>
      </c>
      <c r="I829" s="174">
        <v>0.13</v>
      </c>
      <c r="J829" s="183"/>
      <c r="K829" s="182">
        <f>K828*I829</f>
        <v>430.20510000000002</v>
      </c>
      <c r="L829" s="184">
        <f>K829-H829</f>
        <v>38.220000000000027</v>
      </c>
      <c r="M829" s="185">
        <f>IF((H829)=0,"",(L829/H829))</f>
        <v>9.7503706135769003E-2</v>
      </c>
    </row>
    <row r="830" spans="1:13" x14ac:dyDescent="0.25">
      <c r="A830" s="100" t="str">
        <f t="shared" si="131"/>
        <v>GENERAL SERVICE 50 TO 999 KW SERVICE CLASSIFICATION</v>
      </c>
      <c r="B830" s="100" t="s">
        <v>121</v>
      </c>
      <c r="C830" s="117"/>
      <c r="D830" s="180" t="s">
        <v>185</v>
      </c>
      <c r="E830" s="158"/>
      <c r="F830" s="174">
        <v>0.08</v>
      </c>
      <c r="G830" s="175"/>
      <c r="H830" s="182">
        <v>0</v>
      </c>
      <c r="I830" s="174">
        <v>0.08</v>
      </c>
      <c r="J830" s="183"/>
      <c r="K830" s="182">
        <v>0</v>
      </c>
      <c r="L830" s="184"/>
      <c r="M830" s="185"/>
    </row>
    <row r="831" spans="1:13" ht="15.75" thickBot="1" x14ac:dyDescent="0.3">
      <c r="A831" s="100" t="str">
        <f t="shared" si="131"/>
        <v>GENERAL SERVICE 50 TO 999 KW SERVICE CLASSIFICATION</v>
      </c>
      <c r="B831" s="100" t="s">
        <v>191</v>
      </c>
      <c r="C831" s="117">
        <f>B16</f>
        <v>14</v>
      </c>
      <c r="D831" s="301" t="s">
        <v>190</v>
      </c>
      <c r="E831" s="301"/>
      <c r="F831" s="193"/>
      <c r="G831" s="194"/>
      <c r="H831" s="188">
        <f>SUM(H828,H829)</f>
        <v>3407.2550999999999</v>
      </c>
      <c r="I831" s="195"/>
      <c r="J831" s="195"/>
      <c r="K831" s="188">
        <f>SUM(K828,K829)</f>
        <v>3739.4751000000001</v>
      </c>
      <c r="L831" s="196">
        <f>K831-H831</f>
        <v>332.22000000000025</v>
      </c>
      <c r="M831" s="197">
        <f>IF((H831)=0,"",(L831/H831))</f>
        <v>9.7503706135769017E-2</v>
      </c>
    </row>
    <row r="832" spans="1:13" ht="15.75" thickBot="1" x14ac:dyDescent="0.3">
      <c r="A832" s="100" t="str">
        <f t="shared" si="131"/>
        <v>GENERAL SERVICE 50 TO 999 KW SERVICE CLASSIFICATION</v>
      </c>
      <c r="B832" s="100" t="s">
        <v>121</v>
      </c>
      <c r="C832" s="117"/>
      <c r="D832" s="165"/>
      <c r="E832" s="166"/>
      <c r="F832" s="202"/>
      <c r="G832" s="203"/>
      <c r="H832" s="204"/>
      <c r="I832" s="202"/>
      <c r="J832" s="205"/>
      <c r="K832" s="204"/>
      <c r="L832" s="206"/>
      <c r="M832" s="207"/>
    </row>
    <row r="835" spans="1:13" x14ac:dyDescent="0.25">
      <c r="C835" s="100"/>
      <c r="D835" s="101" t="s">
        <v>134</v>
      </c>
      <c r="E835" s="302" t="str">
        <f>D17</f>
        <v>GENERAL SERVICE 50 TO 999 KW SERVICE CLASSIFICATION</v>
      </c>
      <c r="F835" s="302"/>
      <c r="G835" s="302"/>
      <c r="H835" s="302"/>
      <c r="I835" s="302"/>
      <c r="J835" s="302"/>
      <c r="K835" s="100" t="str">
        <f>IF(N17="DEMAND - INTERVAL","RTSR - INTERVAL METERED","")</f>
        <v/>
      </c>
    </row>
    <row r="836" spans="1:13" x14ac:dyDescent="0.25">
      <c r="C836" s="100"/>
      <c r="D836" s="101" t="s">
        <v>135</v>
      </c>
      <c r="E836" s="303" t="str">
        <f>H17</f>
        <v>Non-RPP (Other)</v>
      </c>
      <c r="F836" s="303"/>
      <c r="G836" s="303"/>
      <c r="H836" s="102"/>
      <c r="I836" s="102"/>
    </row>
    <row r="837" spans="1:13" ht="15.75" x14ac:dyDescent="0.25">
      <c r="C837" s="100"/>
      <c r="D837" s="101" t="s">
        <v>136</v>
      </c>
      <c r="E837" s="103">
        <f>K17</f>
        <v>500000</v>
      </c>
      <c r="F837" s="104" t="s">
        <v>137</v>
      </c>
      <c r="G837" s="105"/>
      <c r="J837" s="106"/>
      <c r="K837" s="106"/>
      <c r="L837" s="106"/>
      <c r="M837" s="106"/>
    </row>
    <row r="838" spans="1:13" ht="15.75" x14ac:dyDescent="0.25">
      <c r="C838" s="100"/>
      <c r="D838" s="101" t="s">
        <v>138</v>
      </c>
      <c r="E838" s="103">
        <f>L17</f>
        <v>750</v>
      </c>
      <c r="F838" s="107" t="s">
        <v>139</v>
      </c>
      <c r="G838" s="108"/>
      <c r="H838" s="109"/>
      <c r="I838" s="109"/>
      <c r="J838" s="109"/>
    </row>
    <row r="839" spans="1:13" x14ac:dyDescent="0.25">
      <c r="C839" s="100"/>
      <c r="D839" s="101" t="s">
        <v>140</v>
      </c>
      <c r="E839" s="110">
        <f>I17</f>
        <v>1.056</v>
      </c>
    </row>
    <row r="840" spans="1:13" x14ac:dyDescent="0.25">
      <c r="C840" s="100"/>
      <c r="D840" s="101" t="s">
        <v>141</v>
      </c>
      <c r="E840" s="110">
        <f>J17</f>
        <v>1.056</v>
      </c>
    </row>
    <row r="841" spans="1:13" x14ac:dyDescent="0.25">
      <c r="C841" s="100"/>
      <c r="D841" s="105"/>
    </row>
    <row r="842" spans="1:13" x14ac:dyDescent="0.25">
      <c r="C842" s="100"/>
      <c r="D842" s="105"/>
      <c r="E842" s="111"/>
      <c r="F842" s="304" t="s">
        <v>142</v>
      </c>
      <c r="G842" s="305"/>
      <c r="H842" s="306"/>
      <c r="I842" s="304" t="s">
        <v>143</v>
      </c>
      <c r="J842" s="305"/>
      <c r="K842" s="306"/>
      <c r="L842" s="304" t="s">
        <v>144</v>
      </c>
      <c r="M842" s="306"/>
    </row>
    <row r="843" spans="1:13" x14ac:dyDescent="0.25">
      <c r="C843" s="100"/>
      <c r="D843" s="105"/>
      <c r="E843" s="295"/>
      <c r="F843" s="112" t="s">
        <v>145</v>
      </c>
      <c r="G843" s="112" t="s">
        <v>146</v>
      </c>
      <c r="H843" s="113" t="s">
        <v>147</v>
      </c>
      <c r="I843" s="112" t="s">
        <v>145</v>
      </c>
      <c r="J843" s="114" t="s">
        <v>146</v>
      </c>
      <c r="K843" s="113" t="s">
        <v>147</v>
      </c>
      <c r="L843" s="297" t="s">
        <v>148</v>
      </c>
      <c r="M843" s="299" t="s">
        <v>149</v>
      </c>
    </row>
    <row r="844" spans="1:13" x14ac:dyDescent="0.25">
      <c r="C844" s="100"/>
      <c r="D844" s="105"/>
      <c r="E844" s="296"/>
      <c r="F844" s="115" t="s">
        <v>150</v>
      </c>
      <c r="G844" s="115"/>
      <c r="H844" s="116" t="s">
        <v>150</v>
      </c>
      <c r="I844" s="115" t="s">
        <v>150</v>
      </c>
      <c r="J844" s="116"/>
      <c r="K844" s="116" t="s">
        <v>150</v>
      </c>
      <c r="L844" s="298"/>
      <c r="M844" s="300"/>
    </row>
    <row r="845" spans="1:13" x14ac:dyDescent="0.25">
      <c r="A845" s="100" t="str">
        <f>$E835</f>
        <v>GENERAL SERVICE 50 TO 999 KW SERVICE CLASSIFICATION</v>
      </c>
      <c r="C845" s="117"/>
      <c r="D845" s="118" t="s">
        <v>151</v>
      </c>
      <c r="E845" s="119"/>
      <c r="F845" s="120">
        <v>86.83</v>
      </c>
      <c r="G845" s="121">
        <v>1</v>
      </c>
      <c r="H845" s="122">
        <f>G845*F845</f>
        <v>86.83</v>
      </c>
      <c r="I845" s="123">
        <v>87.87</v>
      </c>
      <c r="J845" s="124">
        <f>G845</f>
        <v>1</v>
      </c>
      <c r="K845" s="122">
        <f t="shared" ref="K845:K850" si="139">H845</f>
        <v>86.83</v>
      </c>
      <c r="L845" s="125">
        <f t="shared" ref="L845:L866" si="140">K845-H845</f>
        <v>0</v>
      </c>
      <c r="M845" s="126">
        <f>IF(ISERROR(L845/H845), "", L845/H845)</f>
        <v>0</v>
      </c>
    </row>
    <row r="846" spans="1:13" x14ac:dyDescent="0.25">
      <c r="A846" s="100" t="str">
        <f>A845</f>
        <v>GENERAL SERVICE 50 TO 999 KW SERVICE CLASSIFICATION</v>
      </c>
      <c r="C846" s="117"/>
      <c r="D846" s="118" t="s">
        <v>152</v>
      </c>
      <c r="E846" s="119"/>
      <c r="F846" s="127">
        <v>3.8580000000000001</v>
      </c>
      <c r="G846" s="121">
        <f>IF($E838&gt;0, $E838, $E837)</f>
        <v>750</v>
      </c>
      <c r="H846" s="122">
        <f t="shared" ref="H846:H858" si="141">G846*F846</f>
        <v>2893.5</v>
      </c>
      <c r="I846" s="128">
        <v>3.9043000000000001</v>
      </c>
      <c r="J846" s="124">
        <f>IF($E838&gt;0, $E838, $E837)</f>
        <v>750</v>
      </c>
      <c r="K846" s="122">
        <f t="shared" si="139"/>
        <v>2893.5</v>
      </c>
      <c r="L846" s="125">
        <f t="shared" si="140"/>
        <v>0</v>
      </c>
      <c r="M846" s="126">
        <f t="shared" ref="M846:M856" si="142">IF(ISERROR(L846/H846), "", L846/H846)</f>
        <v>0</v>
      </c>
    </row>
    <row r="847" spans="1:13" x14ac:dyDescent="0.25">
      <c r="A847" s="100" t="str">
        <f t="shared" ref="A847:A888" si="143">A846</f>
        <v>GENERAL SERVICE 50 TO 999 KW SERVICE CLASSIFICATION</v>
      </c>
      <c r="C847" s="117"/>
      <c r="D847" s="118" t="s">
        <v>153</v>
      </c>
      <c r="E847" s="119"/>
      <c r="F847" s="127"/>
      <c r="G847" s="121">
        <f>IF($E838&gt;0, $E838, $E837)</f>
        <v>750</v>
      </c>
      <c r="H847" s="122">
        <v>0</v>
      </c>
      <c r="I847" s="128"/>
      <c r="J847" s="124">
        <f>IF($E838&gt;0, $E838, $E837)</f>
        <v>750</v>
      </c>
      <c r="K847" s="122">
        <f t="shared" si="139"/>
        <v>0</v>
      </c>
      <c r="L847" s="125"/>
      <c r="M847" s="126"/>
    </row>
    <row r="848" spans="1:13" x14ac:dyDescent="0.25">
      <c r="A848" s="100" t="str">
        <f t="shared" si="143"/>
        <v>GENERAL SERVICE 50 TO 999 KW SERVICE CLASSIFICATION</v>
      </c>
      <c r="C848" s="117"/>
      <c r="D848" s="118" t="s">
        <v>154</v>
      </c>
      <c r="E848" s="119"/>
      <c r="F848" s="127"/>
      <c r="G848" s="121">
        <f>IF($E838&gt;0, $E838, $E837)</f>
        <v>750</v>
      </c>
      <c r="H848" s="122">
        <v>0</v>
      </c>
      <c r="I848" s="128"/>
      <c r="J848" s="121">
        <f>IF($E838&gt;0, $E838, $E837)</f>
        <v>750</v>
      </c>
      <c r="K848" s="122">
        <f t="shared" si="139"/>
        <v>0</v>
      </c>
      <c r="L848" s="125">
        <f>K848-H848</f>
        <v>0</v>
      </c>
      <c r="M848" s="126" t="str">
        <f>IF(ISERROR(L848/H848), "", L848/H848)</f>
        <v/>
      </c>
    </row>
    <row r="849" spans="1:13" x14ac:dyDescent="0.25">
      <c r="A849" s="100" t="str">
        <f t="shared" si="143"/>
        <v>GENERAL SERVICE 50 TO 999 KW SERVICE CLASSIFICATION</v>
      </c>
      <c r="C849" s="117"/>
      <c r="D849" s="129" t="s">
        <v>155</v>
      </c>
      <c r="E849" s="119"/>
      <c r="F849" s="120">
        <v>0</v>
      </c>
      <c r="G849" s="121">
        <v>1</v>
      </c>
      <c r="H849" s="122">
        <f t="shared" si="141"/>
        <v>0</v>
      </c>
      <c r="I849" s="123">
        <v>0</v>
      </c>
      <c r="J849" s="124">
        <f>G849</f>
        <v>1</v>
      </c>
      <c r="K849" s="122">
        <f t="shared" si="139"/>
        <v>0</v>
      </c>
      <c r="L849" s="125">
        <f t="shared" si="140"/>
        <v>0</v>
      </c>
      <c r="M849" s="126" t="str">
        <f t="shared" si="142"/>
        <v/>
      </c>
    </row>
    <row r="850" spans="1:13" x14ac:dyDescent="0.25">
      <c r="A850" s="100" t="str">
        <f t="shared" si="143"/>
        <v>GENERAL SERVICE 50 TO 999 KW SERVICE CLASSIFICATION</v>
      </c>
      <c r="C850" s="117"/>
      <c r="D850" s="118" t="s">
        <v>156</v>
      </c>
      <c r="E850" s="119"/>
      <c r="F850" s="127">
        <v>0</v>
      </c>
      <c r="G850" s="121">
        <f>IF($E838&gt;0, $E838, $E837)</f>
        <v>750</v>
      </c>
      <c r="H850" s="122">
        <f t="shared" si="141"/>
        <v>0</v>
      </c>
      <c r="I850" s="128">
        <v>0</v>
      </c>
      <c r="J850" s="124">
        <f>IF($E838&gt;0, $E838, $E837)</f>
        <v>750</v>
      </c>
      <c r="K850" s="122">
        <f t="shared" si="139"/>
        <v>0</v>
      </c>
      <c r="L850" s="125">
        <f t="shared" si="140"/>
        <v>0</v>
      </c>
      <c r="M850" s="126" t="str">
        <f t="shared" si="142"/>
        <v/>
      </c>
    </row>
    <row r="851" spans="1:13" x14ac:dyDescent="0.25">
      <c r="A851" s="100" t="str">
        <f t="shared" si="143"/>
        <v>GENERAL SERVICE 50 TO 999 KW SERVICE CLASSIFICATION</v>
      </c>
      <c r="B851" s="130" t="s">
        <v>157</v>
      </c>
      <c r="C851" s="117">
        <f>B17</f>
        <v>15</v>
      </c>
      <c r="D851" s="131" t="s">
        <v>158</v>
      </c>
      <c r="E851" s="132"/>
      <c r="F851" s="133"/>
      <c r="G851" s="134"/>
      <c r="H851" s="135">
        <f>SUM(H845:H850)</f>
        <v>2980.33</v>
      </c>
      <c r="I851" s="136"/>
      <c r="J851" s="137"/>
      <c r="K851" s="135">
        <f>SUM(K845:K850)</f>
        <v>2980.33</v>
      </c>
      <c r="L851" s="138">
        <f t="shared" si="140"/>
        <v>0</v>
      </c>
      <c r="M851" s="139">
        <f>IF((H851)=0,"",(L851/H851))</f>
        <v>0</v>
      </c>
    </row>
    <row r="852" spans="1:13" x14ac:dyDescent="0.25">
      <c r="A852" s="100" t="str">
        <f t="shared" si="143"/>
        <v>GENERAL SERVICE 50 TO 999 KW SERVICE CLASSIFICATION</v>
      </c>
      <c r="C852" s="117"/>
      <c r="D852" s="140" t="s">
        <v>159</v>
      </c>
      <c r="E852" s="119"/>
      <c r="F852" s="127">
        <f>IF((E837*12&gt;=150000), 0, IF(E836="RPP",(F868*0.65+F869*0.17+F870*0.18),IF(E836="Non-RPP (Retailer)",F871,F872)))</f>
        <v>0</v>
      </c>
      <c r="G852" s="141">
        <f>IF(F852=0, 0, $E837*E839-E837)</f>
        <v>0</v>
      </c>
      <c r="H852" s="122">
        <f>G852*F852</f>
        <v>0</v>
      </c>
      <c r="I852" s="128">
        <f>IF((E837*12&gt;=150000), 0, IF(E836="RPP",(I868*0.65+I869*0.17+I870*0.18),IF(E836="Non-RPP (Retailer)",I871,I872)))</f>
        <v>0</v>
      </c>
      <c r="J852" s="141">
        <f>IF(I852=0, 0, E837*E840-E837)</f>
        <v>0</v>
      </c>
      <c r="K852" s="122">
        <f t="shared" ref="K852:K854" si="144">H852</f>
        <v>0</v>
      </c>
      <c r="L852" s="125">
        <f>K852-H852</f>
        <v>0</v>
      </c>
      <c r="M852" s="126" t="str">
        <f>IF(ISERROR(L852/H852), "", L852/H852)</f>
        <v/>
      </c>
    </row>
    <row r="853" spans="1:13" ht="25.5" x14ac:dyDescent="0.25">
      <c r="A853" s="100" t="str">
        <f t="shared" si="143"/>
        <v>GENERAL SERVICE 50 TO 999 KW SERVICE CLASSIFICATION</v>
      </c>
      <c r="C853" s="117"/>
      <c r="D853" s="140" t="s">
        <v>160</v>
      </c>
      <c r="E853" s="119"/>
      <c r="F853" s="127">
        <v>-0.70650000000000002</v>
      </c>
      <c r="G853" s="142">
        <f>IF($E838&gt;0, $E838, $E837)</f>
        <v>750</v>
      </c>
      <c r="H853" s="122">
        <f t="shared" si="141"/>
        <v>-529.875</v>
      </c>
      <c r="I853" s="128">
        <v>-1.7801</v>
      </c>
      <c r="J853" s="142">
        <f>IF($E838&gt;0, $E838, $E837)</f>
        <v>750</v>
      </c>
      <c r="K853" s="122">
        <f t="shared" si="144"/>
        <v>-529.875</v>
      </c>
      <c r="L853" s="125">
        <f t="shared" si="140"/>
        <v>0</v>
      </c>
      <c r="M853" s="126">
        <f t="shared" si="142"/>
        <v>0</v>
      </c>
    </row>
    <row r="854" spans="1:13" x14ac:dyDescent="0.25">
      <c r="A854" s="100" t="str">
        <f t="shared" si="143"/>
        <v>GENERAL SERVICE 50 TO 999 KW SERVICE CLASSIFICATION</v>
      </c>
      <c r="C854" s="117"/>
      <c r="D854" s="140" t="s">
        <v>161</v>
      </c>
      <c r="E854" s="119"/>
      <c r="F854" s="127">
        <v>-2.76E-2</v>
      </c>
      <c r="G854" s="142">
        <f>IF($E838&gt;0, $E838, $E837)</f>
        <v>750</v>
      </c>
      <c r="H854" s="122">
        <f>G854*F854</f>
        <v>-20.7</v>
      </c>
      <c r="I854" s="128">
        <v>0</v>
      </c>
      <c r="J854" s="142">
        <f>IF($E838&gt;0, $E838, $E837)</f>
        <v>750</v>
      </c>
      <c r="K854" s="122">
        <f t="shared" si="144"/>
        <v>-20.7</v>
      </c>
      <c r="L854" s="125">
        <f t="shared" si="140"/>
        <v>0</v>
      </c>
      <c r="M854" s="126">
        <f t="shared" si="142"/>
        <v>0</v>
      </c>
    </row>
    <row r="855" spans="1:13" x14ac:dyDescent="0.25">
      <c r="A855" s="100" t="str">
        <f t="shared" si="143"/>
        <v>GENERAL SERVICE 50 TO 999 KW SERVICE CLASSIFICATION</v>
      </c>
      <c r="C855" s="117"/>
      <c r="D855" s="140" t="s">
        <v>162</v>
      </c>
      <c r="E855" s="119"/>
      <c r="F855" s="127">
        <v>-1E-3</v>
      </c>
      <c r="G855" s="142">
        <f>E837</f>
        <v>500000</v>
      </c>
      <c r="H855" s="122">
        <f>G855*F855</f>
        <v>-500</v>
      </c>
      <c r="I855" s="128">
        <v>1.37E-2</v>
      </c>
      <c r="J855" s="142">
        <f>E837</f>
        <v>500000</v>
      </c>
      <c r="K855" s="122">
        <f t="shared" ref="K855" si="145">J855*I855</f>
        <v>6850</v>
      </c>
      <c r="L855" s="125">
        <f t="shared" si="140"/>
        <v>7350</v>
      </c>
      <c r="M855" s="126">
        <f t="shared" si="142"/>
        <v>-14.7</v>
      </c>
    </row>
    <row r="856" spans="1:13" x14ac:dyDescent="0.25">
      <c r="A856" s="100" t="str">
        <f t="shared" si="143"/>
        <v>GENERAL SERVICE 50 TO 999 KW SERVICE CLASSIFICATION</v>
      </c>
      <c r="C856" s="117"/>
      <c r="D856" s="143" t="s">
        <v>163</v>
      </c>
      <c r="E856" s="119"/>
      <c r="F856" s="127">
        <v>1.0483</v>
      </c>
      <c r="G856" s="142">
        <f>IF($E838&gt;0, $E838, $E837)</f>
        <v>750</v>
      </c>
      <c r="H856" s="122">
        <f t="shared" si="141"/>
        <v>786.22500000000002</v>
      </c>
      <c r="I856" s="128">
        <v>1.0483</v>
      </c>
      <c r="J856" s="142">
        <f>IF($E838&gt;0, $E838, $E837)</f>
        <v>750</v>
      </c>
      <c r="K856" s="122">
        <f t="shared" ref="K856:K859" si="146">H856</f>
        <v>786.22500000000002</v>
      </c>
      <c r="L856" s="125">
        <f t="shared" si="140"/>
        <v>0</v>
      </c>
      <c r="M856" s="126">
        <f t="shared" si="142"/>
        <v>0</v>
      </c>
    </row>
    <row r="857" spans="1:13" ht="25.5" x14ac:dyDescent="0.25">
      <c r="A857" s="100" t="str">
        <f t="shared" si="143"/>
        <v>GENERAL SERVICE 50 TO 999 KW SERVICE CLASSIFICATION</v>
      </c>
      <c r="C857" s="117"/>
      <c r="D857" s="144" t="s">
        <v>164</v>
      </c>
      <c r="E857" s="119"/>
      <c r="F857" s="145">
        <f>IF(OR(ISNUMBER(SEARCH("RESIDENTIAL", E835))=TRUE, ISNUMBER(SEARCH("GENERAL SERVICE LESS THAN 50", E835))=TRUE), SME, 0)</f>
        <v>0</v>
      </c>
      <c r="G857" s="121">
        <v>1</v>
      </c>
      <c r="H857" s="122">
        <f>G857*F857</f>
        <v>0</v>
      </c>
      <c r="I857" s="146">
        <f>IF(OR(ISNUMBER(SEARCH("RESIDENTIAL", E835))=TRUE, ISNUMBER(SEARCH("GENERAL SERVICE LESS THAN 50", E835))=TRUE), SME, 0)</f>
        <v>0</v>
      </c>
      <c r="J857" s="121">
        <v>1</v>
      </c>
      <c r="K857" s="122">
        <f t="shared" si="146"/>
        <v>0</v>
      </c>
      <c r="L857" s="125">
        <f t="shared" si="140"/>
        <v>0</v>
      </c>
      <c r="M857" s="126" t="str">
        <f>IF(ISERROR(L857/H857), "", L857/H857)</f>
        <v/>
      </c>
    </row>
    <row r="858" spans="1:13" x14ac:dyDescent="0.25">
      <c r="A858" s="100" t="str">
        <f t="shared" si="143"/>
        <v>GENERAL SERVICE 50 TO 999 KW SERVICE CLASSIFICATION</v>
      </c>
      <c r="C858" s="117"/>
      <c r="D858" s="143" t="s">
        <v>165</v>
      </c>
      <c r="E858" s="119"/>
      <c r="F858" s="120">
        <v>0</v>
      </c>
      <c r="G858" s="121">
        <v>1</v>
      </c>
      <c r="H858" s="122">
        <f t="shared" si="141"/>
        <v>0</v>
      </c>
      <c r="I858" s="123">
        <v>0</v>
      </c>
      <c r="J858" s="121">
        <v>1</v>
      </c>
      <c r="K858" s="122">
        <f t="shared" si="146"/>
        <v>0</v>
      </c>
      <c r="L858" s="125">
        <f>K858-H858</f>
        <v>0</v>
      </c>
      <c r="M858" s="126" t="str">
        <f>IF(ISERROR(L858/H858), "", L858/H858)</f>
        <v/>
      </c>
    </row>
    <row r="859" spans="1:13" x14ac:dyDescent="0.25">
      <c r="A859" s="100" t="str">
        <f t="shared" si="143"/>
        <v>GENERAL SERVICE 50 TO 999 KW SERVICE CLASSIFICATION</v>
      </c>
      <c r="C859" s="117"/>
      <c r="D859" s="143" t="s">
        <v>166</v>
      </c>
      <c r="E859" s="119"/>
      <c r="F859" s="127"/>
      <c r="G859" s="142">
        <f>IF($E838&gt;0, $E838, $E837)</f>
        <v>750</v>
      </c>
      <c r="H859" s="122">
        <f>G859*F859</f>
        <v>0</v>
      </c>
      <c r="I859" s="128">
        <v>0</v>
      </c>
      <c r="J859" s="142">
        <f>IF($E838&gt;0, $E838, $E837)</f>
        <v>750</v>
      </c>
      <c r="K859" s="122">
        <f t="shared" si="146"/>
        <v>0</v>
      </c>
      <c r="L859" s="125">
        <f t="shared" si="140"/>
        <v>0</v>
      </c>
      <c r="M859" s="126" t="str">
        <f>IF(ISERROR(L859/H859), "", L859/H859)</f>
        <v/>
      </c>
    </row>
    <row r="860" spans="1:13" ht="25.5" x14ac:dyDescent="0.25">
      <c r="A860" s="100" t="str">
        <f t="shared" si="143"/>
        <v>GENERAL SERVICE 50 TO 999 KW SERVICE CLASSIFICATION</v>
      </c>
      <c r="B860" s="105" t="s">
        <v>167</v>
      </c>
      <c r="C860" s="117">
        <f>B17</f>
        <v>15</v>
      </c>
      <c r="D860" s="147" t="s">
        <v>168</v>
      </c>
      <c r="E860" s="148"/>
      <c r="F860" s="149"/>
      <c r="G860" s="150"/>
      <c r="H860" s="151">
        <f>SUM(H851:H859)</f>
        <v>2715.98</v>
      </c>
      <c r="I860" s="152"/>
      <c r="J860" s="153"/>
      <c r="K860" s="151">
        <f>SUM(K851:K859)</f>
        <v>10065.980000000001</v>
      </c>
      <c r="L860" s="138">
        <f t="shared" si="140"/>
        <v>7350.0000000000018</v>
      </c>
      <c r="M860" s="139">
        <f>IF((H860)=0,"",(L860/H860))</f>
        <v>2.7062054948858245</v>
      </c>
    </row>
    <row r="861" spans="1:13" x14ac:dyDescent="0.25">
      <c r="A861" s="100" t="str">
        <f t="shared" si="143"/>
        <v>GENERAL SERVICE 50 TO 999 KW SERVICE CLASSIFICATION</v>
      </c>
      <c r="C861" s="117"/>
      <c r="D861" s="154" t="s">
        <v>169</v>
      </c>
      <c r="E861" s="119"/>
      <c r="F861" s="127">
        <v>2.6217000000000001</v>
      </c>
      <c r="G861" s="141">
        <f>IF($E838&gt;0, $E838, $E837*$E839)</f>
        <v>750</v>
      </c>
      <c r="H861" s="122">
        <f>G861*F861</f>
        <v>1966.2750000000001</v>
      </c>
      <c r="I861" s="128">
        <v>2.4868999999999999</v>
      </c>
      <c r="J861" s="141">
        <f>IF($E838&gt;0, $E838, $E837*$E840)</f>
        <v>750</v>
      </c>
      <c r="K861" s="122">
        <f t="shared" ref="K861:K862" si="147">H861</f>
        <v>1966.2750000000001</v>
      </c>
      <c r="L861" s="125">
        <f t="shared" si="140"/>
        <v>0</v>
      </c>
      <c r="M861" s="126">
        <f>IF(ISERROR(L861/H861), "", L861/H861)</f>
        <v>0</v>
      </c>
    </row>
    <row r="862" spans="1:13" ht="25.5" x14ac:dyDescent="0.25">
      <c r="A862" s="100" t="str">
        <f t="shared" si="143"/>
        <v>GENERAL SERVICE 50 TO 999 KW SERVICE CLASSIFICATION</v>
      </c>
      <c r="C862" s="117"/>
      <c r="D862" s="155" t="s">
        <v>170</v>
      </c>
      <c r="E862" s="119"/>
      <c r="F862" s="127">
        <v>2.2145999999999999</v>
      </c>
      <c r="G862" s="141">
        <f>IF($E838&gt;0, $E838, $E837*$E839)</f>
        <v>750</v>
      </c>
      <c r="H862" s="122">
        <f>G862*F862</f>
        <v>1660.9499999999998</v>
      </c>
      <c r="I862" s="128">
        <v>2.0933000000000002</v>
      </c>
      <c r="J862" s="141">
        <f>IF($E838&gt;0, $E838, $E837*$E840)</f>
        <v>750</v>
      </c>
      <c r="K862" s="122">
        <f t="shared" si="147"/>
        <v>1660.9499999999998</v>
      </c>
      <c r="L862" s="125">
        <f t="shared" si="140"/>
        <v>0</v>
      </c>
      <c r="M862" s="126">
        <f>IF(ISERROR(L862/H862), "", L862/H862)</f>
        <v>0</v>
      </c>
    </row>
    <row r="863" spans="1:13" ht="25.5" x14ac:dyDescent="0.25">
      <c r="A863" s="100" t="str">
        <f t="shared" si="143"/>
        <v>GENERAL SERVICE 50 TO 999 KW SERVICE CLASSIFICATION</v>
      </c>
      <c r="B863" s="105" t="s">
        <v>171</v>
      </c>
      <c r="C863" s="117">
        <f>B17</f>
        <v>15</v>
      </c>
      <c r="D863" s="147" t="s">
        <v>172</v>
      </c>
      <c r="E863" s="132"/>
      <c r="F863" s="149"/>
      <c r="G863" s="150"/>
      <c r="H863" s="151">
        <f>SUM(H860:H862)</f>
        <v>6343.2049999999999</v>
      </c>
      <c r="I863" s="152"/>
      <c r="J863" s="137"/>
      <c r="K863" s="151">
        <f>SUM(K860:K862)</f>
        <v>13693.205000000002</v>
      </c>
      <c r="L863" s="138">
        <f t="shared" si="140"/>
        <v>7350.0000000000018</v>
      </c>
      <c r="M863" s="139">
        <f>IF((H863)=0,"",(L863/H863))</f>
        <v>1.1587202368518756</v>
      </c>
    </row>
    <row r="864" spans="1:13" ht="25.5" x14ac:dyDescent="0.25">
      <c r="A864" s="100" t="str">
        <f t="shared" si="143"/>
        <v>GENERAL SERVICE 50 TO 999 KW SERVICE CLASSIFICATION</v>
      </c>
      <c r="C864" s="117"/>
      <c r="D864" s="156" t="s">
        <v>173</v>
      </c>
      <c r="E864" s="119"/>
      <c r="F864" s="127">
        <v>3.6000000000000003E-3</v>
      </c>
      <c r="G864" s="141">
        <f>E837*E839</f>
        <v>528000</v>
      </c>
      <c r="H864" s="157">
        <f t="shared" ref="H864:H870" si="148">G864*F864</f>
        <v>1900.8000000000002</v>
      </c>
      <c r="I864" s="128">
        <v>3.6000000000000003E-3</v>
      </c>
      <c r="J864" s="141">
        <f>E837*E840</f>
        <v>528000</v>
      </c>
      <c r="K864" s="157">
        <f t="shared" ref="K864:K872" si="149">H864</f>
        <v>1900.8000000000002</v>
      </c>
      <c r="L864" s="125">
        <f t="shared" si="140"/>
        <v>0</v>
      </c>
      <c r="M864" s="126">
        <f t="shared" ref="M864:M872" si="150">IF(ISERROR(L864/H864), "", L864/H864)</f>
        <v>0</v>
      </c>
    </row>
    <row r="865" spans="1:13" ht="25.5" x14ac:dyDescent="0.25">
      <c r="A865" s="100" t="str">
        <f t="shared" si="143"/>
        <v>GENERAL SERVICE 50 TO 999 KW SERVICE CLASSIFICATION</v>
      </c>
      <c r="C865" s="117"/>
      <c r="D865" s="156" t="s">
        <v>174</v>
      </c>
      <c r="E865" s="119"/>
      <c r="F865" s="127">
        <f>'[1]17. Regulatory Charges'!$D$16</f>
        <v>2.9999999999999997E-4</v>
      </c>
      <c r="G865" s="141">
        <f>E837*E839</f>
        <v>528000</v>
      </c>
      <c r="H865" s="157">
        <f t="shared" si="148"/>
        <v>158.39999999999998</v>
      </c>
      <c r="I865" s="128">
        <v>2.9999999999999997E-4</v>
      </c>
      <c r="J865" s="141">
        <f>E837*E840</f>
        <v>528000</v>
      </c>
      <c r="K865" s="157">
        <f t="shared" si="149"/>
        <v>158.39999999999998</v>
      </c>
      <c r="L865" s="125">
        <f t="shared" si="140"/>
        <v>0</v>
      </c>
      <c r="M865" s="126">
        <f t="shared" si="150"/>
        <v>0</v>
      </c>
    </row>
    <row r="866" spans="1:13" x14ac:dyDescent="0.25">
      <c r="A866" s="100" t="str">
        <f t="shared" si="143"/>
        <v>GENERAL SERVICE 50 TO 999 KW SERVICE CLASSIFICATION</v>
      </c>
      <c r="C866" s="117"/>
      <c r="D866" s="158" t="s">
        <v>175</v>
      </c>
      <c r="E866" s="119"/>
      <c r="F866" s="145">
        <v>0.25</v>
      </c>
      <c r="G866" s="121">
        <v>1</v>
      </c>
      <c r="H866" s="157">
        <f t="shared" si="148"/>
        <v>0.25</v>
      </c>
      <c r="I866" s="146">
        <f>'[1]17. Regulatory Charges'!$D$17</f>
        <v>0.25</v>
      </c>
      <c r="J866" s="124">
        <v>1</v>
      </c>
      <c r="K866" s="157">
        <f t="shared" si="149"/>
        <v>0.25</v>
      </c>
      <c r="L866" s="125">
        <f t="shared" si="140"/>
        <v>0</v>
      </c>
      <c r="M866" s="126">
        <f t="shared" si="150"/>
        <v>0</v>
      </c>
    </row>
    <row r="867" spans="1:13" ht="25.5" x14ac:dyDescent="0.25">
      <c r="A867" s="100" t="str">
        <f t="shared" si="143"/>
        <v>GENERAL SERVICE 50 TO 999 KW SERVICE CLASSIFICATION</v>
      </c>
      <c r="C867" s="117"/>
      <c r="D867" s="156" t="s">
        <v>176</v>
      </c>
      <c r="E867" s="119"/>
      <c r="F867" s="127"/>
      <c r="G867" s="141"/>
      <c r="H867" s="157"/>
      <c r="I867" s="128"/>
      <c r="J867" s="141"/>
      <c r="K867" s="157">
        <f t="shared" si="149"/>
        <v>0</v>
      </c>
      <c r="L867" s="125"/>
      <c r="M867" s="126"/>
    </row>
    <row r="868" spans="1:13" hidden="1" x14ac:dyDescent="0.25">
      <c r="A868" s="100" t="str">
        <f t="shared" si="143"/>
        <v>GENERAL SERVICE 50 TO 999 KW SERVICE CLASSIFICATION</v>
      </c>
      <c r="B868" s="105" t="s">
        <v>117</v>
      </c>
      <c r="C868" s="117"/>
      <c r="D868" s="159" t="s">
        <v>177</v>
      </c>
      <c r="E868" s="119"/>
      <c r="F868" s="160">
        <f>OffPeak</f>
        <v>6.5000000000000002E-2</v>
      </c>
      <c r="G868" s="161">
        <f>IF(AND(E837*12&gt;=150000),0.65*E837*E839,0.65*E837)</f>
        <v>343200</v>
      </c>
      <c r="H868" s="157">
        <f t="shared" si="148"/>
        <v>22308</v>
      </c>
      <c r="I868" s="162">
        <f>OffPeak</f>
        <v>6.5000000000000002E-2</v>
      </c>
      <c r="J868" s="161">
        <f>IF(AND(E837*12&gt;=150000),0.65*E837*E840,0.65*E837)</f>
        <v>343200</v>
      </c>
      <c r="K868" s="157">
        <f t="shared" si="149"/>
        <v>22308</v>
      </c>
      <c r="L868" s="125">
        <f>K868-H868</f>
        <v>0</v>
      </c>
      <c r="M868" s="126">
        <f t="shared" si="150"/>
        <v>0</v>
      </c>
    </row>
    <row r="869" spans="1:13" hidden="1" x14ac:dyDescent="0.25">
      <c r="A869" s="100" t="str">
        <f t="shared" si="143"/>
        <v>GENERAL SERVICE 50 TO 999 KW SERVICE CLASSIFICATION</v>
      </c>
      <c r="B869" s="105" t="s">
        <v>117</v>
      </c>
      <c r="C869" s="117"/>
      <c r="D869" s="159" t="s">
        <v>178</v>
      </c>
      <c r="E869" s="119"/>
      <c r="F869" s="160">
        <f>MidPeak</f>
        <v>9.4E-2</v>
      </c>
      <c r="G869" s="161">
        <f>IF(AND(E837*12&gt;=150000),0.17*E837*E839,0.17*E837)</f>
        <v>89760</v>
      </c>
      <c r="H869" s="157">
        <f t="shared" si="148"/>
        <v>8437.44</v>
      </c>
      <c r="I869" s="162">
        <f>MidPeak</f>
        <v>9.4E-2</v>
      </c>
      <c r="J869" s="161">
        <f>IF(AND(E837*12&gt;=150000),0.17*E837*E840,0.17*E837)</f>
        <v>89760</v>
      </c>
      <c r="K869" s="157">
        <f t="shared" si="149"/>
        <v>8437.44</v>
      </c>
      <c r="L869" s="125">
        <f>K869-H869</f>
        <v>0</v>
      </c>
      <c r="M869" s="126">
        <f t="shared" si="150"/>
        <v>0</v>
      </c>
    </row>
    <row r="870" spans="1:13" hidden="1" x14ac:dyDescent="0.25">
      <c r="A870" s="100" t="str">
        <f t="shared" si="143"/>
        <v>GENERAL SERVICE 50 TO 999 KW SERVICE CLASSIFICATION</v>
      </c>
      <c r="B870" s="105" t="s">
        <v>117</v>
      </c>
      <c r="C870" s="117"/>
      <c r="D870" s="105" t="s">
        <v>179</v>
      </c>
      <c r="E870" s="119"/>
      <c r="F870" s="160">
        <f>OnPeak</f>
        <v>0.13200000000000001</v>
      </c>
      <c r="G870" s="161">
        <f>IF(AND(E837*12&gt;=150000),0.18*E837*E839,0.18*E837)</f>
        <v>95040</v>
      </c>
      <c r="H870" s="157">
        <f t="shared" si="148"/>
        <v>12545.28</v>
      </c>
      <c r="I870" s="162">
        <f>OnPeak</f>
        <v>0.13200000000000001</v>
      </c>
      <c r="J870" s="161">
        <f>IF(AND(E837*12&gt;=150000),0.18*E837*E840,0.18*E837)</f>
        <v>95040</v>
      </c>
      <c r="K870" s="157">
        <f t="shared" si="149"/>
        <v>12545.28</v>
      </c>
      <c r="L870" s="125">
        <f>K870-H870</f>
        <v>0</v>
      </c>
      <c r="M870" s="126">
        <f t="shared" si="150"/>
        <v>0</v>
      </c>
    </row>
    <row r="871" spans="1:13" hidden="1" x14ac:dyDescent="0.25">
      <c r="A871" s="100" t="str">
        <f t="shared" si="143"/>
        <v>GENERAL SERVICE 50 TO 999 KW SERVICE CLASSIFICATION</v>
      </c>
      <c r="B871" s="100" t="s">
        <v>180</v>
      </c>
      <c r="C871" s="117"/>
      <c r="D871" s="159" t="s">
        <v>181</v>
      </c>
      <c r="E871" s="119"/>
      <c r="F871" s="163">
        <v>0.1101</v>
      </c>
      <c r="G871" s="161">
        <f>IF(AND(E837*12&gt;=150000),E837*E839,E837)</f>
        <v>528000</v>
      </c>
      <c r="H871" s="157">
        <f>G871*F871</f>
        <v>58132.800000000003</v>
      </c>
      <c r="I871" s="164">
        <f>F871</f>
        <v>0.1101</v>
      </c>
      <c r="J871" s="161">
        <f>IF(AND(E837*12&gt;=150000),E837*E840,E837)</f>
        <v>528000</v>
      </c>
      <c r="K871" s="157">
        <f t="shared" si="149"/>
        <v>58132.800000000003</v>
      </c>
      <c r="L871" s="125">
        <f>K871-H871</f>
        <v>0</v>
      </c>
      <c r="M871" s="126">
        <f t="shared" si="150"/>
        <v>0</v>
      </c>
    </row>
    <row r="872" spans="1:13" ht="15.75" thickBot="1" x14ac:dyDescent="0.3">
      <c r="A872" s="100" t="str">
        <f t="shared" si="143"/>
        <v>GENERAL SERVICE 50 TO 999 KW SERVICE CLASSIFICATION</v>
      </c>
      <c r="B872" s="100" t="s">
        <v>121</v>
      </c>
      <c r="C872" s="117"/>
      <c r="D872" s="159" t="s">
        <v>182</v>
      </c>
      <c r="E872" s="119"/>
      <c r="F872" s="163">
        <v>0.1101</v>
      </c>
      <c r="G872" s="161">
        <f>IF(AND(E837*12&gt;=150000),E837*E839,E837)</f>
        <v>528000</v>
      </c>
      <c r="H872" s="157">
        <f>G872*F872</f>
        <v>58132.800000000003</v>
      </c>
      <c r="I872" s="164">
        <f>F872</f>
        <v>0.1101</v>
      </c>
      <c r="J872" s="161">
        <f>IF(AND(E837*12&gt;=150000),E837*E840,E837)</f>
        <v>528000</v>
      </c>
      <c r="K872" s="157">
        <f t="shared" si="149"/>
        <v>58132.800000000003</v>
      </c>
      <c r="L872" s="125">
        <f>K872-H872</f>
        <v>0</v>
      </c>
      <c r="M872" s="126">
        <f t="shared" si="150"/>
        <v>0</v>
      </c>
    </row>
    <row r="873" spans="1:13" ht="15.75" thickBot="1" x14ac:dyDescent="0.3">
      <c r="A873" s="100" t="str">
        <f t="shared" si="143"/>
        <v>GENERAL SERVICE 50 TO 999 KW SERVICE CLASSIFICATION</v>
      </c>
      <c r="B873" s="105"/>
      <c r="C873" s="117"/>
      <c r="D873" s="165"/>
      <c r="E873" s="166"/>
      <c r="F873" s="167"/>
      <c r="G873" s="168"/>
      <c r="H873" s="169"/>
      <c r="I873" s="167"/>
      <c r="J873" s="170"/>
      <c r="K873" s="169"/>
      <c r="L873" s="171"/>
      <c r="M873" s="172"/>
    </row>
    <row r="874" spans="1:13" hidden="1" x14ac:dyDescent="0.25">
      <c r="A874" s="100" t="str">
        <f t="shared" si="143"/>
        <v>GENERAL SERVICE 50 TO 999 KW SERVICE CLASSIFICATION</v>
      </c>
      <c r="B874" s="105" t="s">
        <v>117</v>
      </c>
      <c r="C874" s="117"/>
      <c r="D874" s="173" t="s">
        <v>183</v>
      </c>
      <c r="E874" s="158"/>
      <c r="F874" s="174"/>
      <c r="G874" s="175"/>
      <c r="H874" s="176">
        <f>SUM(H864:H870,H863)</f>
        <v>51693.375</v>
      </c>
      <c r="I874" s="177"/>
      <c r="J874" s="177"/>
      <c r="K874" s="176">
        <f>SUM(K864:K870,K863)</f>
        <v>59043.375</v>
      </c>
      <c r="L874" s="178">
        <f>K874-H874</f>
        <v>7350</v>
      </c>
      <c r="M874" s="179">
        <f>IF((H874)=0,"",(L874/H874))</f>
        <v>0.14218456426959936</v>
      </c>
    </row>
    <row r="875" spans="1:13" hidden="1" x14ac:dyDescent="0.25">
      <c r="A875" s="100" t="str">
        <f t="shared" si="143"/>
        <v>GENERAL SERVICE 50 TO 999 KW SERVICE CLASSIFICATION</v>
      </c>
      <c r="B875" s="105" t="s">
        <v>117</v>
      </c>
      <c r="C875" s="117"/>
      <c r="D875" s="180" t="s">
        <v>184</v>
      </c>
      <c r="E875" s="158"/>
      <c r="F875" s="174">
        <v>0.13</v>
      </c>
      <c r="G875" s="181"/>
      <c r="H875" s="182">
        <f>H874*F875</f>
        <v>6720.1387500000001</v>
      </c>
      <c r="I875" s="183">
        <v>0.13</v>
      </c>
      <c r="J875" s="121"/>
      <c r="K875" s="182">
        <f>K874*I875</f>
        <v>7675.6387500000001</v>
      </c>
      <c r="L875" s="184">
        <f>K875-H875</f>
        <v>955.5</v>
      </c>
      <c r="M875" s="185">
        <f>IF((H875)=0,"",(L875/H875))</f>
        <v>0.14218456426959936</v>
      </c>
    </row>
    <row r="876" spans="1:13" hidden="1" x14ac:dyDescent="0.25">
      <c r="A876" s="100" t="str">
        <f t="shared" si="143"/>
        <v>GENERAL SERVICE 50 TO 999 KW SERVICE CLASSIFICATION</v>
      </c>
      <c r="B876" s="105" t="s">
        <v>117</v>
      </c>
      <c r="C876" s="117"/>
      <c r="D876" s="180" t="s">
        <v>185</v>
      </c>
      <c r="E876" s="158"/>
      <c r="F876" s="174">
        <v>0.08</v>
      </c>
      <c r="G876" s="181"/>
      <c r="H876" s="182">
        <v>0</v>
      </c>
      <c r="I876" s="174">
        <v>0.08</v>
      </c>
      <c r="J876" s="121"/>
      <c r="K876" s="182">
        <v>0</v>
      </c>
      <c r="L876" s="184">
        <f>K876-H876</f>
        <v>0</v>
      </c>
      <c r="M876" s="185"/>
    </row>
    <row r="877" spans="1:13" hidden="1" x14ac:dyDescent="0.25">
      <c r="A877" s="100" t="str">
        <f t="shared" si="143"/>
        <v>GENERAL SERVICE 50 TO 999 KW SERVICE CLASSIFICATION</v>
      </c>
      <c r="B877" s="105" t="s">
        <v>186</v>
      </c>
      <c r="C877" s="117"/>
      <c r="D877" s="301" t="s">
        <v>187</v>
      </c>
      <c r="E877" s="301"/>
      <c r="F877" s="186"/>
      <c r="G877" s="187"/>
      <c r="H877" s="188">
        <f>H874+H875+H876</f>
        <v>58413.513749999998</v>
      </c>
      <c r="I877" s="189"/>
      <c r="J877" s="189"/>
      <c r="K877" s="190">
        <f>K874+K875+K876</f>
        <v>66719.013749999998</v>
      </c>
      <c r="L877" s="191">
        <f>K877-H877</f>
        <v>8305.5</v>
      </c>
      <c r="M877" s="192">
        <f>IF((H877)=0,"",(L877/H877))</f>
        <v>0.14218456426959936</v>
      </c>
    </row>
    <row r="878" spans="1:13" ht="15.75" hidden="1" thickBot="1" x14ac:dyDescent="0.3">
      <c r="A878" s="100" t="str">
        <f t="shared" si="143"/>
        <v>GENERAL SERVICE 50 TO 999 KW SERVICE CLASSIFICATION</v>
      </c>
      <c r="B878" s="100" t="s">
        <v>117</v>
      </c>
      <c r="C878" s="117"/>
      <c r="D878" s="165"/>
      <c r="E878" s="166"/>
      <c r="F878" s="167"/>
      <c r="G878" s="168"/>
      <c r="H878" s="169"/>
      <c r="I878" s="167"/>
      <c r="J878" s="170"/>
      <c r="K878" s="169"/>
      <c r="L878" s="171"/>
      <c r="M878" s="172"/>
    </row>
    <row r="879" spans="1:13" hidden="1" x14ac:dyDescent="0.25">
      <c r="A879" s="100" t="str">
        <f t="shared" si="143"/>
        <v>GENERAL SERVICE 50 TO 999 KW SERVICE CLASSIFICATION</v>
      </c>
      <c r="B879" s="100" t="s">
        <v>180</v>
      </c>
      <c r="C879" s="117"/>
      <c r="D879" s="173" t="s">
        <v>188</v>
      </c>
      <c r="E879" s="158"/>
      <c r="F879" s="174"/>
      <c r="G879" s="175"/>
      <c r="H879" s="176">
        <f>SUM(H871,H864:H867,H863)</f>
        <v>66535.455000000002</v>
      </c>
      <c r="I879" s="177"/>
      <c r="J879" s="177"/>
      <c r="K879" s="176">
        <f>SUM(K871,K864:K867,K863)</f>
        <v>73885.455000000016</v>
      </c>
      <c r="L879" s="178">
        <f>K879-H879</f>
        <v>7350.0000000000146</v>
      </c>
      <c r="M879" s="179">
        <f>IF((H879)=0,"",(L879/H879))</f>
        <v>0.11046741921280939</v>
      </c>
    </row>
    <row r="880" spans="1:13" hidden="1" x14ac:dyDescent="0.25">
      <c r="A880" s="100" t="str">
        <f t="shared" si="143"/>
        <v>GENERAL SERVICE 50 TO 999 KW SERVICE CLASSIFICATION</v>
      </c>
      <c r="B880" s="100" t="s">
        <v>180</v>
      </c>
      <c r="C880" s="117"/>
      <c r="D880" s="180" t="s">
        <v>184</v>
      </c>
      <c r="E880" s="158"/>
      <c r="F880" s="174">
        <v>0.13</v>
      </c>
      <c r="G880" s="175"/>
      <c r="H880" s="182">
        <f>H879*F880</f>
        <v>8649.6091500000002</v>
      </c>
      <c r="I880" s="174">
        <v>0.13</v>
      </c>
      <c r="J880" s="183"/>
      <c r="K880" s="182">
        <f>K879*I880</f>
        <v>9605.109150000002</v>
      </c>
      <c r="L880" s="184">
        <f>K880-H880</f>
        <v>955.50000000000182</v>
      </c>
      <c r="M880" s="185">
        <f>IF((H880)=0,"",(L880/H880))</f>
        <v>0.11046741921280938</v>
      </c>
    </row>
    <row r="881" spans="1:13" hidden="1" x14ac:dyDescent="0.25">
      <c r="A881" s="100" t="str">
        <f t="shared" si="143"/>
        <v>GENERAL SERVICE 50 TO 999 KW SERVICE CLASSIFICATION</v>
      </c>
      <c r="B881" s="100" t="s">
        <v>180</v>
      </c>
      <c r="C881" s="117"/>
      <c r="D881" s="180" t="s">
        <v>185</v>
      </c>
      <c r="E881" s="158"/>
      <c r="F881" s="174">
        <v>0.08</v>
      </c>
      <c r="G881" s="175"/>
      <c r="H881" s="182">
        <v>0</v>
      </c>
      <c r="I881" s="174">
        <v>0.08</v>
      </c>
      <c r="J881" s="183"/>
      <c r="K881" s="182">
        <v>0</v>
      </c>
      <c r="L881" s="184"/>
      <c r="M881" s="185"/>
    </row>
    <row r="882" spans="1:13" hidden="1" x14ac:dyDescent="0.25">
      <c r="A882" s="100" t="str">
        <f t="shared" si="143"/>
        <v>GENERAL SERVICE 50 TO 999 KW SERVICE CLASSIFICATION</v>
      </c>
      <c r="B882" s="100" t="s">
        <v>189</v>
      </c>
      <c r="C882" s="117"/>
      <c r="D882" s="301" t="s">
        <v>188</v>
      </c>
      <c r="E882" s="301"/>
      <c r="F882" s="193"/>
      <c r="G882" s="194"/>
      <c r="H882" s="188">
        <f>SUM(H879,H880)</f>
        <v>75185.064150000006</v>
      </c>
      <c r="I882" s="195"/>
      <c r="J882" s="195"/>
      <c r="K882" s="188">
        <f>SUM(K879,K880)</f>
        <v>83490.56415000002</v>
      </c>
      <c r="L882" s="196">
        <f>K882-H882</f>
        <v>8305.5000000000146</v>
      </c>
      <c r="M882" s="197">
        <f>IF((H882)=0,"",(L882/H882))</f>
        <v>0.11046741921280935</v>
      </c>
    </row>
    <row r="883" spans="1:13" ht="15.75" hidden="1" thickBot="1" x14ac:dyDescent="0.3">
      <c r="A883" s="100" t="str">
        <f t="shared" si="143"/>
        <v>GENERAL SERVICE 50 TO 999 KW SERVICE CLASSIFICATION</v>
      </c>
      <c r="B883" s="100" t="s">
        <v>180</v>
      </c>
      <c r="C883" s="117"/>
      <c r="D883" s="165"/>
      <c r="E883" s="166"/>
      <c r="F883" s="198"/>
      <c r="G883" s="199"/>
      <c r="H883" s="200"/>
      <c r="I883" s="198"/>
      <c r="J883" s="168"/>
      <c r="K883" s="200"/>
      <c r="L883" s="201"/>
      <c r="M883" s="172"/>
    </row>
    <row r="884" spans="1:13" x14ac:dyDescent="0.25">
      <c r="A884" s="100" t="str">
        <f t="shared" si="143"/>
        <v>GENERAL SERVICE 50 TO 999 KW SERVICE CLASSIFICATION</v>
      </c>
      <c r="B884" s="100" t="s">
        <v>121</v>
      </c>
      <c r="C884" s="117"/>
      <c r="D884" s="173" t="s">
        <v>190</v>
      </c>
      <c r="E884" s="158"/>
      <c r="F884" s="174"/>
      <c r="G884" s="175"/>
      <c r="H884" s="176">
        <f>SUM(H872,H864:H867,H863)</f>
        <v>66535.455000000002</v>
      </c>
      <c r="I884" s="177"/>
      <c r="J884" s="177"/>
      <c r="K884" s="176">
        <f>SUM(K872,K864:K867,K863)</f>
        <v>73885.455000000016</v>
      </c>
      <c r="L884" s="178">
        <f>K884-H884</f>
        <v>7350.0000000000146</v>
      </c>
      <c r="M884" s="179">
        <f>IF((H884)=0,"",(L884/H884))</f>
        <v>0.11046741921280939</v>
      </c>
    </row>
    <row r="885" spans="1:13" x14ac:dyDescent="0.25">
      <c r="A885" s="100" t="str">
        <f t="shared" si="143"/>
        <v>GENERAL SERVICE 50 TO 999 KW SERVICE CLASSIFICATION</v>
      </c>
      <c r="B885" s="100" t="s">
        <v>121</v>
      </c>
      <c r="C885" s="117"/>
      <c r="D885" s="180" t="s">
        <v>184</v>
      </c>
      <c r="E885" s="158"/>
      <c r="F885" s="174">
        <v>0.13</v>
      </c>
      <c r="G885" s="175"/>
      <c r="H885" s="182">
        <f>H884*F885</f>
        <v>8649.6091500000002</v>
      </c>
      <c r="I885" s="174">
        <v>0.13</v>
      </c>
      <c r="J885" s="183"/>
      <c r="K885" s="182">
        <f>K884*I885</f>
        <v>9605.109150000002</v>
      </c>
      <c r="L885" s="184">
        <f>K885-H885</f>
        <v>955.50000000000182</v>
      </c>
      <c r="M885" s="185">
        <f>IF((H885)=0,"",(L885/H885))</f>
        <v>0.11046741921280938</v>
      </c>
    </row>
    <row r="886" spans="1:13" x14ac:dyDescent="0.25">
      <c r="A886" s="100" t="str">
        <f t="shared" si="143"/>
        <v>GENERAL SERVICE 50 TO 999 KW SERVICE CLASSIFICATION</v>
      </c>
      <c r="B886" s="100" t="s">
        <v>121</v>
      </c>
      <c r="C886" s="117"/>
      <c r="D886" s="180" t="s">
        <v>185</v>
      </c>
      <c r="E886" s="158"/>
      <c r="F886" s="174">
        <v>0.08</v>
      </c>
      <c r="G886" s="175"/>
      <c r="H886" s="182">
        <v>0</v>
      </c>
      <c r="I886" s="174">
        <v>0.08</v>
      </c>
      <c r="J886" s="183"/>
      <c r="K886" s="182">
        <v>0</v>
      </c>
      <c r="L886" s="184"/>
      <c r="M886" s="185"/>
    </row>
    <row r="887" spans="1:13" ht="15.75" thickBot="1" x14ac:dyDescent="0.3">
      <c r="A887" s="100" t="str">
        <f t="shared" si="143"/>
        <v>GENERAL SERVICE 50 TO 999 KW SERVICE CLASSIFICATION</v>
      </c>
      <c r="B887" s="100" t="s">
        <v>191</v>
      </c>
      <c r="C887" s="117">
        <f>B17</f>
        <v>15</v>
      </c>
      <c r="D887" s="301" t="s">
        <v>190</v>
      </c>
      <c r="E887" s="301"/>
      <c r="F887" s="193"/>
      <c r="G887" s="194"/>
      <c r="H887" s="188">
        <f>SUM(H884,H885)</f>
        <v>75185.064150000006</v>
      </c>
      <c r="I887" s="195"/>
      <c r="J887" s="195"/>
      <c r="K887" s="188">
        <f>SUM(K884,K885)</f>
        <v>83490.56415000002</v>
      </c>
      <c r="L887" s="196">
        <f>K887-H887</f>
        <v>8305.5000000000146</v>
      </c>
      <c r="M887" s="197">
        <f>IF((H887)=0,"",(L887/H887))</f>
        <v>0.11046741921280935</v>
      </c>
    </row>
    <row r="888" spans="1:13" ht="15.75" thickBot="1" x14ac:dyDescent="0.3">
      <c r="A888" s="100" t="str">
        <f t="shared" si="143"/>
        <v>GENERAL SERVICE 50 TO 999 KW SERVICE CLASSIFICATION</v>
      </c>
      <c r="B888" s="100" t="s">
        <v>121</v>
      </c>
      <c r="C888" s="117"/>
      <c r="D888" s="165"/>
      <c r="E888" s="166"/>
      <c r="F888" s="202"/>
      <c r="G888" s="203"/>
      <c r="H888" s="204"/>
      <c r="I888" s="202"/>
      <c r="J888" s="205"/>
      <c r="K888" s="204"/>
      <c r="L888" s="206"/>
      <c r="M888" s="207"/>
    </row>
    <row r="891" spans="1:13" x14ac:dyDescent="0.25">
      <c r="C891" s="100"/>
      <c r="D891" s="101" t="s">
        <v>134</v>
      </c>
      <c r="E891" s="302" t="str">
        <f>D18</f>
        <v>GENERAL SERVICE 1,000 TO 4,999 KW SERVICE CLASSIFICATION</v>
      </c>
      <c r="F891" s="302"/>
      <c r="G891" s="302"/>
      <c r="H891" s="302"/>
      <c r="I891" s="302"/>
      <c r="J891" s="302"/>
      <c r="K891" s="100" t="str">
        <f>IF(N18="DEMAND - INTERVAL","RTSR - INTERVAL METERED","")</f>
        <v/>
      </c>
    </row>
    <row r="892" spans="1:13" x14ac:dyDescent="0.25">
      <c r="C892" s="100"/>
      <c r="D892" s="101" t="s">
        <v>135</v>
      </c>
      <c r="E892" s="303" t="str">
        <f>H18</f>
        <v>Non-RPP (Other)</v>
      </c>
      <c r="F892" s="303"/>
      <c r="G892" s="303"/>
      <c r="H892" s="102"/>
      <c r="I892" s="102"/>
    </row>
    <row r="893" spans="1:13" ht="15.75" x14ac:dyDescent="0.25">
      <c r="C893" s="100"/>
      <c r="D893" s="101" t="s">
        <v>136</v>
      </c>
      <c r="E893" s="103">
        <f>K18</f>
        <v>1000000</v>
      </c>
      <c r="F893" s="104" t="s">
        <v>137</v>
      </c>
      <c r="G893" s="105"/>
      <c r="J893" s="106"/>
      <c r="K893" s="106"/>
      <c r="L893" s="106"/>
      <c r="M893" s="106"/>
    </row>
    <row r="894" spans="1:13" ht="15.75" x14ac:dyDescent="0.25">
      <c r="C894" s="100"/>
      <c r="D894" s="101" t="s">
        <v>138</v>
      </c>
      <c r="E894" s="103">
        <f>L18</f>
        <v>2000</v>
      </c>
      <c r="F894" s="107" t="s">
        <v>139</v>
      </c>
      <c r="G894" s="108"/>
      <c r="H894" s="109"/>
      <c r="I894" s="109"/>
      <c r="J894" s="109"/>
    </row>
    <row r="895" spans="1:13" x14ac:dyDescent="0.25">
      <c r="C895" s="100"/>
      <c r="D895" s="101" t="s">
        <v>140</v>
      </c>
      <c r="E895" s="110">
        <f>I18</f>
        <v>1.056</v>
      </c>
    </row>
    <row r="896" spans="1:13" x14ac:dyDescent="0.25">
      <c r="C896" s="100"/>
      <c r="D896" s="101" t="s">
        <v>141</v>
      </c>
      <c r="E896" s="110">
        <f>J18</f>
        <v>1.056</v>
      </c>
    </row>
    <row r="897" spans="1:13" x14ac:dyDescent="0.25">
      <c r="C897" s="100"/>
      <c r="D897" s="105"/>
    </row>
    <row r="898" spans="1:13" x14ac:dyDescent="0.25">
      <c r="C898" s="100"/>
      <c r="D898" s="105"/>
      <c r="E898" s="111"/>
      <c r="F898" s="304" t="s">
        <v>142</v>
      </c>
      <c r="G898" s="305"/>
      <c r="H898" s="306"/>
      <c r="I898" s="304" t="s">
        <v>143</v>
      </c>
      <c r="J898" s="305"/>
      <c r="K898" s="306"/>
      <c r="L898" s="304" t="s">
        <v>144</v>
      </c>
      <c r="M898" s="306"/>
    </row>
    <row r="899" spans="1:13" x14ac:dyDescent="0.25">
      <c r="C899" s="100"/>
      <c r="D899" s="105"/>
      <c r="E899" s="295"/>
      <c r="F899" s="112" t="s">
        <v>145</v>
      </c>
      <c r="G899" s="112" t="s">
        <v>146</v>
      </c>
      <c r="H899" s="113" t="s">
        <v>147</v>
      </c>
      <c r="I899" s="112" t="s">
        <v>145</v>
      </c>
      <c r="J899" s="114" t="s">
        <v>146</v>
      </c>
      <c r="K899" s="113" t="s">
        <v>147</v>
      </c>
      <c r="L899" s="297" t="s">
        <v>148</v>
      </c>
      <c r="M899" s="299" t="s">
        <v>149</v>
      </c>
    </row>
    <row r="900" spans="1:13" x14ac:dyDescent="0.25">
      <c r="C900" s="100"/>
      <c r="D900" s="105"/>
      <c r="E900" s="296"/>
      <c r="F900" s="115" t="s">
        <v>150</v>
      </c>
      <c r="G900" s="115"/>
      <c r="H900" s="116" t="s">
        <v>150</v>
      </c>
      <c r="I900" s="115" t="s">
        <v>150</v>
      </c>
      <c r="J900" s="116"/>
      <c r="K900" s="116" t="s">
        <v>150</v>
      </c>
      <c r="L900" s="298"/>
      <c r="M900" s="300"/>
    </row>
    <row r="901" spans="1:13" x14ac:dyDescent="0.25">
      <c r="A901" s="100" t="str">
        <f>$E891</f>
        <v>GENERAL SERVICE 1,000 TO 4,999 KW SERVICE CLASSIFICATION</v>
      </c>
      <c r="C901" s="117"/>
      <c r="D901" s="118" t="s">
        <v>151</v>
      </c>
      <c r="E901" s="119"/>
      <c r="F901" s="120">
        <v>185.55</v>
      </c>
      <c r="G901" s="121">
        <v>1</v>
      </c>
      <c r="H901" s="122">
        <f>G901*F901</f>
        <v>185.55</v>
      </c>
      <c r="I901" s="123">
        <v>187.78</v>
      </c>
      <c r="J901" s="124">
        <f>G901</f>
        <v>1</v>
      </c>
      <c r="K901" s="122">
        <f t="shared" ref="K901:K906" si="151">H901</f>
        <v>185.55</v>
      </c>
      <c r="L901" s="125">
        <f t="shared" ref="L901:L922" si="152">K901-H901</f>
        <v>0</v>
      </c>
      <c r="M901" s="126">
        <f>IF(ISERROR(L901/H901), "", L901/H901)</f>
        <v>0</v>
      </c>
    </row>
    <row r="902" spans="1:13" x14ac:dyDescent="0.25">
      <c r="A902" s="100" t="str">
        <f>A901</f>
        <v>GENERAL SERVICE 1,000 TO 4,999 KW SERVICE CLASSIFICATION</v>
      </c>
      <c r="C902" s="117"/>
      <c r="D902" s="118" t="s">
        <v>152</v>
      </c>
      <c r="E902" s="119"/>
      <c r="F902" s="127">
        <v>3.4704999999999999</v>
      </c>
      <c r="G902" s="121">
        <f>IF($E894&gt;0, $E894, $E893)</f>
        <v>2000</v>
      </c>
      <c r="H902" s="122">
        <f t="shared" ref="H902:H914" si="153">G902*F902</f>
        <v>6941</v>
      </c>
      <c r="I902" s="128">
        <v>3.5121000000000002</v>
      </c>
      <c r="J902" s="124">
        <f>IF($E894&gt;0, $E894, $E893)</f>
        <v>2000</v>
      </c>
      <c r="K902" s="122">
        <f t="shared" si="151"/>
        <v>6941</v>
      </c>
      <c r="L902" s="125">
        <f t="shared" si="152"/>
        <v>0</v>
      </c>
      <c r="M902" s="126">
        <f t="shared" ref="M902:M912" si="154">IF(ISERROR(L902/H902), "", L902/H902)</f>
        <v>0</v>
      </c>
    </row>
    <row r="903" spans="1:13" x14ac:dyDescent="0.25">
      <c r="A903" s="100" t="str">
        <f t="shared" ref="A903:A944" si="155">A902</f>
        <v>GENERAL SERVICE 1,000 TO 4,999 KW SERVICE CLASSIFICATION</v>
      </c>
      <c r="C903" s="117"/>
      <c r="D903" s="118" t="s">
        <v>153</v>
      </c>
      <c r="E903" s="119"/>
      <c r="F903" s="127"/>
      <c r="G903" s="121">
        <f>IF($E894&gt;0, $E894, $E893)</f>
        <v>2000</v>
      </c>
      <c r="H903" s="122">
        <v>0</v>
      </c>
      <c r="I903" s="128"/>
      <c r="J903" s="124">
        <f>IF($E894&gt;0, $E894, $E893)</f>
        <v>2000</v>
      </c>
      <c r="K903" s="122">
        <f t="shared" si="151"/>
        <v>0</v>
      </c>
      <c r="L903" s="125"/>
      <c r="M903" s="126"/>
    </row>
    <row r="904" spans="1:13" x14ac:dyDescent="0.25">
      <c r="A904" s="100" t="str">
        <f t="shared" si="155"/>
        <v>GENERAL SERVICE 1,000 TO 4,999 KW SERVICE CLASSIFICATION</v>
      </c>
      <c r="C904" s="117"/>
      <c r="D904" s="118" t="s">
        <v>154</v>
      </c>
      <c r="E904" s="119"/>
      <c r="F904" s="127"/>
      <c r="G904" s="121">
        <f>IF($E894&gt;0, $E894, $E893)</f>
        <v>2000</v>
      </c>
      <c r="H904" s="122">
        <v>0</v>
      </c>
      <c r="I904" s="128"/>
      <c r="J904" s="121">
        <f>IF($E894&gt;0, $E894, $E893)</f>
        <v>2000</v>
      </c>
      <c r="K904" s="122">
        <f t="shared" si="151"/>
        <v>0</v>
      </c>
      <c r="L904" s="125">
        <f>K904-H904</f>
        <v>0</v>
      </c>
      <c r="M904" s="126" t="str">
        <f>IF(ISERROR(L904/H904), "", L904/H904)</f>
        <v/>
      </c>
    </row>
    <row r="905" spans="1:13" x14ac:dyDescent="0.25">
      <c r="A905" s="100" t="str">
        <f t="shared" si="155"/>
        <v>GENERAL SERVICE 1,000 TO 4,999 KW SERVICE CLASSIFICATION</v>
      </c>
      <c r="C905" s="117"/>
      <c r="D905" s="129" t="s">
        <v>155</v>
      </c>
      <c r="E905" s="119"/>
      <c r="F905" s="120">
        <v>0</v>
      </c>
      <c r="G905" s="121">
        <v>1</v>
      </c>
      <c r="H905" s="122">
        <f t="shared" si="153"/>
        <v>0</v>
      </c>
      <c r="I905" s="123">
        <v>0</v>
      </c>
      <c r="J905" s="124">
        <f>G905</f>
        <v>1</v>
      </c>
      <c r="K905" s="122">
        <f t="shared" si="151"/>
        <v>0</v>
      </c>
      <c r="L905" s="125">
        <f t="shared" si="152"/>
        <v>0</v>
      </c>
      <c r="M905" s="126" t="str">
        <f t="shared" si="154"/>
        <v/>
      </c>
    </row>
    <row r="906" spans="1:13" x14ac:dyDescent="0.25">
      <c r="A906" s="100" t="str">
        <f t="shared" si="155"/>
        <v>GENERAL SERVICE 1,000 TO 4,999 KW SERVICE CLASSIFICATION</v>
      </c>
      <c r="C906" s="117"/>
      <c r="D906" s="118" t="s">
        <v>156</v>
      </c>
      <c r="E906" s="119"/>
      <c r="F906" s="127">
        <v>0</v>
      </c>
      <c r="G906" s="121">
        <f>IF($E894&gt;0, $E894, $E893)</f>
        <v>2000</v>
      </c>
      <c r="H906" s="122">
        <f t="shared" si="153"/>
        <v>0</v>
      </c>
      <c r="I906" s="128">
        <v>0</v>
      </c>
      <c r="J906" s="124">
        <f>IF($E894&gt;0, $E894, $E893)</f>
        <v>2000</v>
      </c>
      <c r="K906" s="122">
        <f t="shared" si="151"/>
        <v>0</v>
      </c>
      <c r="L906" s="125">
        <f t="shared" si="152"/>
        <v>0</v>
      </c>
      <c r="M906" s="126" t="str">
        <f t="shared" si="154"/>
        <v/>
      </c>
    </row>
    <row r="907" spans="1:13" x14ac:dyDescent="0.25">
      <c r="A907" s="100" t="str">
        <f t="shared" si="155"/>
        <v>GENERAL SERVICE 1,000 TO 4,999 KW SERVICE CLASSIFICATION</v>
      </c>
      <c r="B907" s="130" t="s">
        <v>157</v>
      </c>
      <c r="C907" s="117">
        <f>B18</f>
        <v>16</v>
      </c>
      <c r="D907" s="131" t="s">
        <v>158</v>
      </c>
      <c r="E907" s="132"/>
      <c r="F907" s="133"/>
      <c r="G907" s="134"/>
      <c r="H907" s="135">
        <f>SUM(H901:H906)</f>
        <v>7126.55</v>
      </c>
      <c r="I907" s="136"/>
      <c r="J907" s="137"/>
      <c r="K907" s="135">
        <f>SUM(K901:K906)</f>
        <v>7126.55</v>
      </c>
      <c r="L907" s="138">
        <f t="shared" si="152"/>
        <v>0</v>
      </c>
      <c r="M907" s="139">
        <f>IF((H907)=0,"",(L907/H907))</f>
        <v>0</v>
      </c>
    </row>
    <row r="908" spans="1:13" x14ac:dyDescent="0.25">
      <c r="A908" s="100" t="str">
        <f t="shared" si="155"/>
        <v>GENERAL SERVICE 1,000 TO 4,999 KW SERVICE CLASSIFICATION</v>
      </c>
      <c r="C908" s="117"/>
      <c r="D908" s="140" t="s">
        <v>159</v>
      </c>
      <c r="E908" s="119"/>
      <c r="F908" s="127">
        <f>IF((E893*12&gt;=150000), 0, IF(E892="RPP",(F924*0.65+F925*0.17+F926*0.18),IF(E892="Non-RPP (Retailer)",F927,F928)))</f>
        <v>0</v>
      </c>
      <c r="G908" s="141">
        <f>IF(F908=0, 0, $E893*E895-E893)</f>
        <v>0</v>
      </c>
      <c r="H908" s="122">
        <f>G908*F908</f>
        <v>0</v>
      </c>
      <c r="I908" s="128">
        <f>IF((E893*12&gt;=150000), 0, IF(E892="RPP",(I924*0.65+I925*0.17+I926*0.18),IF(E892="Non-RPP (Retailer)",I927,I928)))</f>
        <v>0</v>
      </c>
      <c r="J908" s="141">
        <f>IF(I908=0, 0, E893*E896-E893)</f>
        <v>0</v>
      </c>
      <c r="K908" s="122">
        <f t="shared" ref="K908:K910" si="156">H908</f>
        <v>0</v>
      </c>
      <c r="L908" s="125">
        <f>K908-H908</f>
        <v>0</v>
      </c>
      <c r="M908" s="126" t="str">
        <f>IF(ISERROR(L908/H908), "", L908/H908)</f>
        <v/>
      </c>
    </row>
    <row r="909" spans="1:13" ht="25.5" x14ac:dyDescent="0.25">
      <c r="A909" s="100" t="str">
        <f t="shared" si="155"/>
        <v>GENERAL SERVICE 1,000 TO 4,999 KW SERVICE CLASSIFICATION</v>
      </c>
      <c r="C909" s="117"/>
      <c r="D909" s="140" t="s">
        <v>160</v>
      </c>
      <c r="E909" s="119"/>
      <c r="F909" s="127">
        <v>-0.93979999999999997</v>
      </c>
      <c r="G909" s="142">
        <f>IF($E894&gt;0, $E894, $E893)</f>
        <v>2000</v>
      </c>
      <c r="H909" s="122">
        <f t="shared" si="153"/>
        <v>-1879.6</v>
      </c>
      <c r="I909" s="128">
        <v>-1.9907999999999999</v>
      </c>
      <c r="J909" s="142">
        <f>IF($E894&gt;0, $E894, $E893)</f>
        <v>2000</v>
      </c>
      <c r="K909" s="122">
        <f t="shared" si="156"/>
        <v>-1879.6</v>
      </c>
      <c r="L909" s="125">
        <f t="shared" si="152"/>
        <v>0</v>
      </c>
      <c r="M909" s="126">
        <f t="shared" si="154"/>
        <v>0</v>
      </c>
    </row>
    <row r="910" spans="1:13" x14ac:dyDescent="0.25">
      <c r="A910" s="100" t="str">
        <f t="shared" si="155"/>
        <v>GENERAL SERVICE 1,000 TO 4,999 KW SERVICE CLASSIFICATION</v>
      </c>
      <c r="C910" s="117"/>
      <c r="D910" s="140" t="s">
        <v>161</v>
      </c>
      <c r="E910" s="119"/>
      <c r="F910" s="127">
        <v>-3.4099999999999998E-2</v>
      </c>
      <c r="G910" s="142">
        <f>IF($E894&gt;0, $E894, $E893)</f>
        <v>2000</v>
      </c>
      <c r="H910" s="122">
        <f>G910*F910</f>
        <v>-68.2</v>
      </c>
      <c r="I910" s="128">
        <v>0</v>
      </c>
      <c r="J910" s="142">
        <f>IF($E894&gt;0, $E894, $E893)</f>
        <v>2000</v>
      </c>
      <c r="K910" s="122">
        <f t="shared" si="156"/>
        <v>-68.2</v>
      </c>
      <c r="L910" s="125">
        <f t="shared" si="152"/>
        <v>0</v>
      </c>
      <c r="M910" s="126">
        <f t="shared" si="154"/>
        <v>0</v>
      </c>
    </row>
    <row r="911" spans="1:13" x14ac:dyDescent="0.25">
      <c r="A911" s="100" t="str">
        <f t="shared" si="155"/>
        <v>GENERAL SERVICE 1,000 TO 4,999 KW SERVICE CLASSIFICATION</v>
      </c>
      <c r="C911" s="117"/>
      <c r="D911" s="140" t="s">
        <v>162</v>
      </c>
      <c r="E911" s="119"/>
      <c r="F911" s="127">
        <v>-1E-3</v>
      </c>
      <c r="G911" s="142">
        <f>E893</f>
        <v>1000000</v>
      </c>
      <c r="H911" s="122">
        <f>G911*F911</f>
        <v>-1000</v>
      </c>
      <c r="I911" s="128">
        <v>1.37E-2</v>
      </c>
      <c r="J911" s="142">
        <f>E893</f>
        <v>1000000</v>
      </c>
      <c r="K911" s="122">
        <f t="shared" ref="K911" si="157">J911*I911</f>
        <v>13700</v>
      </c>
      <c r="L911" s="125">
        <f t="shared" si="152"/>
        <v>14700</v>
      </c>
      <c r="M911" s="126">
        <f t="shared" si="154"/>
        <v>-14.7</v>
      </c>
    </row>
    <row r="912" spans="1:13" x14ac:dyDescent="0.25">
      <c r="A912" s="100" t="str">
        <f t="shared" si="155"/>
        <v>GENERAL SERVICE 1,000 TO 4,999 KW SERVICE CLASSIFICATION</v>
      </c>
      <c r="C912" s="117"/>
      <c r="D912" s="143" t="s">
        <v>163</v>
      </c>
      <c r="E912" s="119"/>
      <c r="F912" s="127">
        <v>1.0483</v>
      </c>
      <c r="G912" s="142">
        <f>IF($E894&gt;0, $E894, $E893)</f>
        <v>2000</v>
      </c>
      <c r="H912" s="122">
        <f t="shared" si="153"/>
        <v>2096.6</v>
      </c>
      <c r="I912" s="128">
        <v>1.0483</v>
      </c>
      <c r="J912" s="142">
        <f>IF($E894&gt;0, $E894, $E893)</f>
        <v>2000</v>
      </c>
      <c r="K912" s="122">
        <f t="shared" ref="K912:K915" si="158">H912</f>
        <v>2096.6</v>
      </c>
      <c r="L912" s="125">
        <f t="shared" si="152"/>
        <v>0</v>
      </c>
      <c r="M912" s="126">
        <f t="shared" si="154"/>
        <v>0</v>
      </c>
    </row>
    <row r="913" spans="1:13" ht="25.5" x14ac:dyDescent="0.25">
      <c r="A913" s="100" t="str">
        <f t="shared" si="155"/>
        <v>GENERAL SERVICE 1,000 TO 4,999 KW SERVICE CLASSIFICATION</v>
      </c>
      <c r="C913" s="117"/>
      <c r="D913" s="144" t="s">
        <v>164</v>
      </c>
      <c r="E913" s="119"/>
      <c r="F913" s="145">
        <f>IF(OR(ISNUMBER(SEARCH("RESIDENTIAL", E891))=TRUE, ISNUMBER(SEARCH("GENERAL SERVICE LESS THAN 50", E891))=TRUE), SME, 0)</f>
        <v>0</v>
      </c>
      <c r="G913" s="121">
        <v>1</v>
      </c>
      <c r="H913" s="122">
        <f>G913*F913</f>
        <v>0</v>
      </c>
      <c r="I913" s="146">
        <f>IF(OR(ISNUMBER(SEARCH("RESIDENTIAL", E891))=TRUE, ISNUMBER(SEARCH("GENERAL SERVICE LESS THAN 50", E891))=TRUE), SME, 0)</f>
        <v>0</v>
      </c>
      <c r="J913" s="121">
        <v>1</v>
      </c>
      <c r="K913" s="122">
        <f t="shared" si="158"/>
        <v>0</v>
      </c>
      <c r="L913" s="125">
        <f t="shared" si="152"/>
        <v>0</v>
      </c>
      <c r="M913" s="126" t="str">
        <f>IF(ISERROR(L913/H913), "", L913/H913)</f>
        <v/>
      </c>
    </row>
    <row r="914" spans="1:13" x14ac:dyDescent="0.25">
      <c r="A914" s="100" t="str">
        <f t="shared" si="155"/>
        <v>GENERAL SERVICE 1,000 TO 4,999 KW SERVICE CLASSIFICATION</v>
      </c>
      <c r="C914" s="117"/>
      <c r="D914" s="143" t="s">
        <v>165</v>
      </c>
      <c r="E914" s="119"/>
      <c r="F914" s="120">
        <v>0</v>
      </c>
      <c r="G914" s="121">
        <v>1</v>
      </c>
      <c r="H914" s="122">
        <f t="shared" si="153"/>
        <v>0</v>
      </c>
      <c r="I914" s="123">
        <v>0</v>
      </c>
      <c r="J914" s="121">
        <v>1</v>
      </c>
      <c r="K914" s="122">
        <f t="shared" si="158"/>
        <v>0</v>
      </c>
      <c r="L914" s="125">
        <f>K914-H914</f>
        <v>0</v>
      </c>
      <c r="M914" s="126" t="str">
        <f>IF(ISERROR(L914/H914), "", L914/H914)</f>
        <v/>
      </c>
    </row>
    <row r="915" spans="1:13" x14ac:dyDescent="0.25">
      <c r="A915" s="100" t="str">
        <f t="shared" si="155"/>
        <v>GENERAL SERVICE 1,000 TO 4,999 KW SERVICE CLASSIFICATION</v>
      </c>
      <c r="C915" s="117"/>
      <c r="D915" s="143" t="s">
        <v>166</v>
      </c>
      <c r="E915" s="119"/>
      <c r="F915" s="127"/>
      <c r="G915" s="142">
        <f>IF($E894&gt;0, $E894, $E893)</f>
        <v>2000</v>
      </c>
      <c r="H915" s="122">
        <f>G915*F915</f>
        <v>0</v>
      </c>
      <c r="I915" s="128">
        <v>0</v>
      </c>
      <c r="J915" s="142">
        <f>IF($E894&gt;0, $E894, $E893)</f>
        <v>2000</v>
      </c>
      <c r="K915" s="122">
        <f t="shared" si="158"/>
        <v>0</v>
      </c>
      <c r="L915" s="125">
        <f t="shared" si="152"/>
        <v>0</v>
      </c>
      <c r="M915" s="126" t="str">
        <f>IF(ISERROR(L915/H915), "", L915/H915)</f>
        <v/>
      </c>
    </row>
    <row r="916" spans="1:13" ht="25.5" x14ac:dyDescent="0.25">
      <c r="A916" s="100" t="str">
        <f t="shared" si="155"/>
        <v>GENERAL SERVICE 1,000 TO 4,999 KW SERVICE CLASSIFICATION</v>
      </c>
      <c r="B916" s="105" t="s">
        <v>167</v>
      </c>
      <c r="C916" s="117">
        <f>B18</f>
        <v>16</v>
      </c>
      <c r="D916" s="147" t="s">
        <v>168</v>
      </c>
      <c r="E916" s="148"/>
      <c r="F916" s="149"/>
      <c r="G916" s="150"/>
      <c r="H916" s="151">
        <f>SUM(H907:H915)</f>
        <v>6275.35</v>
      </c>
      <c r="I916" s="152"/>
      <c r="J916" s="153"/>
      <c r="K916" s="151">
        <f>SUM(K907:K915)</f>
        <v>20975.35</v>
      </c>
      <c r="L916" s="138">
        <f t="shared" si="152"/>
        <v>14699.999999999998</v>
      </c>
      <c r="M916" s="139">
        <f>IF((H916)=0,"",(L916/H916))</f>
        <v>2.3424988247667455</v>
      </c>
    </row>
    <row r="917" spans="1:13" x14ac:dyDescent="0.25">
      <c r="A917" s="100" t="str">
        <f t="shared" si="155"/>
        <v>GENERAL SERVICE 1,000 TO 4,999 KW SERVICE CLASSIFICATION</v>
      </c>
      <c r="C917" s="117"/>
      <c r="D917" s="154" t="s">
        <v>169</v>
      </c>
      <c r="E917" s="119"/>
      <c r="F917" s="127">
        <v>2.6217000000000001</v>
      </c>
      <c r="G917" s="141">
        <f>IF($E894&gt;0, $E894, $E893*$E895)</f>
        <v>2000</v>
      </c>
      <c r="H917" s="122">
        <f>G917*F917</f>
        <v>5243.4000000000005</v>
      </c>
      <c r="I917" s="128">
        <v>2.4868999999999999</v>
      </c>
      <c r="J917" s="141">
        <f>IF($E894&gt;0, $E894, $E893*$E896)</f>
        <v>2000</v>
      </c>
      <c r="K917" s="122">
        <f t="shared" ref="K917:K918" si="159">H917</f>
        <v>5243.4000000000005</v>
      </c>
      <c r="L917" s="125">
        <f t="shared" si="152"/>
        <v>0</v>
      </c>
      <c r="M917" s="126">
        <f>IF(ISERROR(L917/H917), "", L917/H917)</f>
        <v>0</v>
      </c>
    </row>
    <row r="918" spans="1:13" ht="25.5" x14ac:dyDescent="0.25">
      <c r="A918" s="100" t="str">
        <f t="shared" si="155"/>
        <v>GENERAL SERVICE 1,000 TO 4,999 KW SERVICE CLASSIFICATION</v>
      </c>
      <c r="C918" s="117"/>
      <c r="D918" s="155" t="s">
        <v>170</v>
      </c>
      <c r="E918" s="119"/>
      <c r="F918" s="127">
        <v>2.2145999999999999</v>
      </c>
      <c r="G918" s="141">
        <f>IF($E894&gt;0, $E894, $E893*$E895)</f>
        <v>2000</v>
      </c>
      <c r="H918" s="122">
        <f>G918*F918</f>
        <v>4429.2</v>
      </c>
      <c r="I918" s="128">
        <v>2.0933000000000002</v>
      </c>
      <c r="J918" s="141">
        <f>IF($E894&gt;0, $E894, $E893*$E896)</f>
        <v>2000</v>
      </c>
      <c r="K918" s="122">
        <f t="shared" si="159"/>
        <v>4429.2</v>
      </c>
      <c r="L918" s="125">
        <f t="shared" si="152"/>
        <v>0</v>
      </c>
      <c r="M918" s="126">
        <f>IF(ISERROR(L918/H918), "", L918/H918)</f>
        <v>0</v>
      </c>
    </row>
    <row r="919" spans="1:13" ht="25.5" x14ac:dyDescent="0.25">
      <c r="A919" s="100" t="str">
        <f t="shared" si="155"/>
        <v>GENERAL SERVICE 1,000 TO 4,999 KW SERVICE CLASSIFICATION</v>
      </c>
      <c r="B919" s="105" t="s">
        <v>171</v>
      </c>
      <c r="C919" s="117">
        <f>B18</f>
        <v>16</v>
      </c>
      <c r="D919" s="147" t="s">
        <v>172</v>
      </c>
      <c r="E919" s="132"/>
      <c r="F919" s="149"/>
      <c r="G919" s="150"/>
      <c r="H919" s="151">
        <f>SUM(H916:H918)</f>
        <v>15947.95</v>
      </c>
      <c r="I919" s="152"/>
      <c r="J919" s="137"/>
      <c r="K919" s="151">
        <f>SUM(K916:K918)</f>
        <v>30647.95</v>
      </c>
      <c r="L919" s="138">
        <f t="shared" si="152"/>
        <v>14700</v>
      </c>
      <c r="M919" s="139">
        <f>IF((H919)=0,"",(L919/H919))</f>
        <v>0.9217485632949689</v>
      </c>
    </row>
    <row r="920" spans="1:13" ht="25.5" x14ac:dyDescent="0.25">
      <c r="A920" s="100" t="str">
        <f t="shared" si="155"/>
        <v>GENERAL SERVICE 1,000 TO 4,999 KW SERVICE CLASSIFICATION</v>
      </c>
      <c r="C920" s="117"/>
      <c r="D920" s="156" t="s">
        <v>173</v>
      </c>
      <c r="E920" s="119"/>
      <c r="F920" s="127">
        <v>3.6000000000000003E-3</v>
      </c>
      <c r="G920" s="141">
        <f>E893*E895</f>
        <v>1056000</v>
      </c>
      <c r="H920" s="157">
        <f t="shared" ref="H920:H926" si="160">G920*F920</f>
        <v>3801.6000000000004</v>
      </c>
      <c r="I920" s="128">
        <v>3.6000000000000003E-3</v>
      </c>
      <c r="J920" s="141">
        <f>E893*E896</f>
        <v>1056000</v>
      </c>
      <c r="K920" s="157">
        <f t="shared" ref="K920:K928" si="161">H920</f>
        <v>3801.6000000000004</v>
      </c>
      <c r="L920" s="125">
        <f t="shared" si="152"/>
        <v>0</v>
      </c>
      <c r="M920" s="126">
        <f t="shared" ref="M920:M928" si="162">IF(ISERROR(L920/H920), "", L920/H920)</f>
        <v>0</v>
      </c>
    </row>
    <row r="921" spans="1:13" ht="25.5" x14ac:dyDescent="0.25">
      <c r="A921" s="100" t="str">
        <f t="shared" si="155"/>
        <v>GENERAL SERVICE 1,000 TO 4,999 KW SERVICE CLASSIFICATION</v>
      </c>
      <c r="C921" s="117"/>
      <c r="D921" s="156" t="s">
        <v>174</v>
      </c>
      <c r="E921" s="119"/>
      <c r="F921" s="127">
        <f>'[1]17. Regulatory Charges'!$D$16</f>
        <v>2.9999999999999997E-4</v>
      </c>
      <c r="G921" s="141">
        <f>E893*E895</f>
        <v>1056000</v>
      </c>
      <c r="H921" s="157">
        <f t="shared" si="160"/>
        <v>316.79999999999995</v>
      </c>
      <c r="I921" s="128">
        <v>2.9999999999999997E-4</v>
      </c>
      <c r="J921" s="141">
        <f>E893*E896</f>
        <v>1056000</v>
      </c>
      <c r="K921" s="157">
        <f t="shared" si="161"/>
        <v>316.79999999999995</v>
      </c>
      <c r="L921" s="125">
        <f t="shared" si="152"/>
        <v>0</v>
      </c>
      <c r="M921" s="126">
        <f t="shared" si="162"/>
        <v>0</v>
      </c>
    </row>
    <row r="922" spans="1:13" x14ac:dyDescent="0.25">
      <c r="A922" s="100" t="str">
        <f t="shared" si="155"/>
        <v>GENERAL SERVICE 1,000 TO 4,999 KW SERVICE CLASSIFICATION</v>
      </c>
      <c r="C922" s="117"/>
      <c r="D922" s="158" t="s">
        <v>175</v>
      </c>
      <c r="E922" s="119"/>
      <c r="F922" s="145">
        <v>0.25</v>
      </c>
      <c r="G922" s="121">
        <v>1</v>
      </c>
      <c r="H922" s="157">
        <f t="shared" si="160"/>
        <v>0.25</v>
      </c>
      <c r="I922" s="146">
        <f>'[1]17. Regulatory Charges'!$D$17</f>
        <v>0.25</v>
      </c>
      <c r="J922" s="124">
        <v>1</v>
      </c>
      <c r="K922" s="157">
        <f t="shared" si="161"/>
        <v>0.25</v>
      </c>
      <c r="L922" s="125">
        <f t="shared" si="152"/>
        <v>0</v>
      </c>
      <c r="M922" s="126">
        <f t="shared" si="162"/>
        <v>0</v>
      </c>
    </row>
    <row r="923" spans="1:13" ht="25.5" x14ac:dyDescent="0.25">
      <c r="A923" s="100" t="str">
        <f t="shared" si="155"/>
        <v>GENERAL SERVICE 1,000 TO 4,999 KW SERVICE CLASSIFICATION</v>
      </c>
      <c r="C923" s="117"/>
      <c r="D923" s="156" t="s">
        <v>176</v>
      </c>
      <c r="E923" s="119"/>
      <c r="F923" s="127"/>
      <c r="G923" s="141"/>
      <c r="H923" s="157"/>
      <c r="I923" s="128"/>
      <c r="J923" s="141"/>
      <c r="K923" s="157">
        <f t="shared" si="161"/>
        <v>0</v>
      </c>
      <c r="L923" s="125"/>
      <c r="M923" s="126"/>
    </row>
    <row r="924" spans="1:13" hidden="1" x14ac:dyDescent="0.25">
      <c r="A924" s="100" t="str">
        <f t="shared" si="155"/>
        <v>GENERAL SERVICE 1,000 TO 4,999 KW SERVICE CLASSIFICATION</v>
      </c>
      <c r="B924" s="105" t="s">
        <v>117</v>
      </c>
      <c r="C924" s="117"/>
      <c r="D924" s="159" t="s">
        <v>177</v>
      </c>
      <c r="E924" s="119"/>
      <c r="F924" s="160">
        <f>OffPeak</f>
        <v>6.5000000000000002E-2</v>
      </c>
      <c r="G924" s="161">
        <f>IF(AND(E893*12&gt;=150000),0.65*E893*E895,0.65*E893)</f>
        <v>686400</v>
      </c>
      <c r="H924" s="157">
        <f t="shared" si="160"/>
        <v>44616</v>
      </c>
      <c r="I924" s="162">
        <f>OffPeak</f>
        <v>6.5000000000000002E-2</v>
      </c>
      <c r="J924" s="161">
        <f>IF(AND(E893*12&gt;=150000),0.65*E893*E896,0.65*E893)</f>
        <v>686400</v>
      </c>
      <c r="K924" s="157">
        <f t="shared" si="161"/>
        <v>44616</v>
      </c>
      <c r="L924" s="125">
        <f>K924-H924</f>
        <v>0</v>
      </c>
      <c r="M924" s="126">
        <f t="shared" si="162"/>
        <v>0</v>
      </c>
    </row>
    <row r="925" spans="1:13" hidden="1" x14ac:dyDescent="0.25">
      <c r="A925" s="100" t="str">
        <f t="shared" si="155"/>
        <v>GENERAL SERVICE 1,000 TO 4,999 KW SERVICE CLASSIFICATION</v>
      </c>
      <c r="B925" s="105" t="s">
        <v>117</v>
      </c>
      <c r="C925" s="117"/>
      <c r="D925" s="159" t="s">
        <v>178</v>
      </c>
      <c r="E925" s="119"/>
      <c r="F925" s="160">
        <f>MidPeak</f>
        <v>9.4E-2</v>
      </c>
      <c r="G925" s="161">
        <f>IF(AND(E893*12&gt;=150000),0.17*E893*E895,0.17*E893)</f>
        <v>179520</v>
      </c>
      <c r="H925" s="157">
        <f t="shared" si="160"/>
        <v>16874.88</v>
      </c>
      <c r="I925" s="162">
        <f>MidPeak</f>
        <v>9.4E-2</v>
      </c>
      <c r="J925" s="161">
        <f>IF(AND(E893*12&gt;=150000),0.17*E893*E896,0.17*E893)</f>
        <v>179520</v>
      </c>
      <c r="K925" s="157">
        <f t="shared" si="161"/>
        <v>16874.88</v>
      </c>
      <c r="L925" s="125">
        <f>K925-H925</f>
        <v>0</v>
      </c>
      <c r="M925" s="126">
        <f t="shared" si="162"/>
        <v>0</v>
      </c>
    </row>
    <row r="926" spans="1:13" hidden="1" x14ac:dyDescent="0.25">
      <c r="A926" s="100" t="str">
        <f t="shared" si="155"/>
        <v>GENERAL SERVICE 1,000 TO 4,999 KW SERVICE CLASSIFICATION</v>
      </c>
      <c r="B926" s="105" t="s">
        <v>117</v>
      </c>
      <c r="C926" s="117"/>
      <c r="D926" s="105" t="s">
        <v>179</v>
      </c>
      <c r="E926" s="119"/>
      <c r="F926" s="160">
        <f>OnPeak</f>
        <v>0.13200000000000001</v>
      </c>
      <c r="G926" s="161">
        <f>IF(AND(E893*12&gt;=150000),0.18*E893*E895,0.18*E893)</f>
        <v>190080</v>
      </c>
      <c r="H926" s="157">
        <f t="shared" si="160"/>
        <v>25090.560000000001</v>
      </c>
      <c r="I926" s="162">
        <f>OnPeak</f>
        <v>0.13200000000000001</v>
      </c>
      <c r="J926" s="161">
        <f>IF(AND(E893*12&gt;=150000),0.18*E893*E896,0.18*E893)</f>
        <v>190080</v>
      </c>
      <c r="K926" s="157">
        <f t="shared" si="161"/>
        <v>25090.560000000001</v>
      </c>
      <c r="L926" s="125">
        <f>K926-H926</f>
        <v>0</v>
      </c>
      <c r="M926" s="126">
        <f t="shared" si="162"/>
        <v>0</v>
      </c>
    </row>
    <row r="927" spans="1:13" hidden="1" x14ac:dyDescent="0.25">
      <c r="A927" s="100" t="str">
        <f t="shared" si="155"/>
        <v>GENERAL SERVICE 1,000 TO 4,999 KW SERVICE CLASSIFICATION</v>
      </c>
      <c r="B927" s="100" t="s">
        <v>180</v>
      </c>
      <c r="C927" s="117"/>
      <c r="D927" s="159" t="s">
        <v>181</v>
      </c>
      <c r="E927" s="119"/>
      <c r="F927" s="163">
        <v>0.1101</v>
      </c>
      <c r="G927" s="161">
        <f>IF(AND(E893*12&gt;=150000),E893*E895,E893)</f>
        <v>1056000</v>
      </c>
      <c r="H927" s="157">
        <f>G927*F927</f>
        <v>116265.60000000001</v>
      </c>
      <c r="I927" s="164">
        <f>F927</f>
        <v>0.1101</v>
      </c>
      <c r="J927" s="161">
        <f>IF(AND(E893*12&gt;=150000),E893*E896,E893)</f>
        <v>1056000</v>
      </c>
      <c r="K927" s="157">
        <f t="shared" si="161"/>
        <v>116265.60000000001</v>
      </c>
      <c r="L927" s="125">
        <f>K927-H927</f>
        <v>0</v>
      </c>
      <c r="M927" s="126">
        <f t="shared" si="162"/>
        <v>0</v>
      </c>
    </row>
    <row r="928" spans="1:13" ht="15.75" thickBot="1" x14ac:dyDescent="0.3">
      <c r="A928" s="100" t="str">
        <f t="shared" si="155"/>
        <v>GENERAL SERVICE 1,000 TO 4,999 KW SERVICE CLASSIFICATION</v>
      </c>
      <c r="B928" s="100" t="s">
        <v>121</v>
      </c>
      <c r="C928" s="117"/>
      <c r="D928" s="159" t="s">
        <v>182</v>
      </c>
      <c r="E928" s="119"/>
      <c r="F928" s="163">
        <v>0.1101</v>
      </c>
      <c r="G928" s="161">
        <f>IF(AND(E893*12&gt;=150000),E893*E895,E893)</f>
        <v>1056000</v>
      </c>
      <c r="H928" s="157">
        <f>G928*F928</f>
        <v>116265.60000000001</v>
      </c>
      <c r="I928" s="164">
        <f>F928</f>
        <v>0.1101</v>
      </c>
      <c r="J928" s="161">
        <f>IF(AND(E893*12&gt;=150000),E893*E896,E893)</f>
        <v>1056000</v>
      </c>
      <c r="K928" s="157">
        <f t="shared" si="161"/>
        <v>116265.60000000001</v>
      </c>
      <c r="L928" s="125">
        <f>K928-H928</f>
        <v>0</v>
      </c>
      <c r="M928" s="126">
        <f t="shared" si="162"/>
        <v>0</v>
      </c>
    </row>
    <row r="929" spans="1:13" ht="15.75" thickBot="1" x14ac:dyDescent="0.3">
      <c r="A929" s="100" t="str">
        <f t="shared" si="155"/>
        <v>GENERAL SERVICE 1,000 TO 4,999 KW SERVICE CLASSIFICATION</v>
      </c>
      <c r="B929" s="105"/>
      <c r="C929" s="117"/>
      <c r="D929" s="165"/>
      <c r="E929" s="166"/>
      <c r="F929" s="167"/>
      <c r="G929" s="168"/>
      <c r="H929" s="169"/>
      <c r="I929" s="167"/>
      <c r="J929" s="170"/>
      <c r="K929" s="169"/>
      <c r="L929" s="171"/>
      <c r="M929" s="172"/>
    </row>
    <row r="930" spans="1:13" hidden="1" x14ac:dyDescent="0.25">
      <c r="A930" s="100" t="str">
        <f t="shared" si="155"/>
        <v>GENERAL SERVICE 1,000 TO 4,999 KW SERVICE CLASSIFICATION</v>
      </c>
      <c r="B930" s="105" t="s">
        <v>117</v>
      </c>
      <c r="C930" s="117"/>
      <c r="D930" s="173" t="s">
        <v>183</v>
      </c>
      <c r="E930" s="158"/>
      <c r="F930" s="174"/>
      <c r="G930" s="175"/>
      <c r="H930" s="176">
        <f>SUM(H920:H926,H919)</f>
        <v>106648.04</v>
      </c>
      <c r="I930" s="177"/>
      <c r="J930" s="177"/>
      <c r="K930" s="176">
        <f>SUM(K920:K926,K919)</f>
        <v>121348.04</v>
      </c>
      <c r="L930" s="178">
        <f>K930-H930</f>
        <v>14700</v>
      </c>
      <c r="M930" s="179">
        <f>IF((H930)=0,"",(L930/H930))</f>
        <v>0.13783656971098579</v>
      </c>
    </row>
    <row r="931" spans="1:13" hidden="1" x14ac:dyDescent="0.25">
      <c r="A931" s="100" t="str">
        <f t="shared" si="155"/>
        <v>GENERAL SERVICE 1,000 TO 4,999 KW SERVICE CLASSIFICATION</v>
      </c>
      <c r="B931" s="105" t="s">
        <v>117</v>
      </c>
      <c r="C931" s="117"/>
      <c r="D931" s="180" t="s">
        <v>184</v>
      </c>
      <c r="E931" s="158"/>
      <c r="F931" s="174">
        <v>0.13</v>
      </c>
      <c r="G931" s="181"/>
      <c r="H931" s="182">
        <f>H930*F931</f>
        <v>13864.245199999999</v>
      </c>
      <c r="I931" s="183">
        <v>0.13</v>
      </c>
      <c r="J931" s="121"/>
      <c r="K931" s="182">
        <f>K930*I931</f>
        <v>15775.245199999999</v>
      </c>
      <c r="L931" s="184">
        <f>K931-H931</f>
        <v>1911</v>
      </c>
      <c r="M931" s="185">
        <f>IF((H931)=0,"",(L931/H931))</f>
        <v>0.13783656971098579</v>
      </c>
    </row>
    <row r="932" spans="1:13" hidden="1" x14ac:dyDescent="0.25">
      <c r="A932" s="100" t="str">
        <f t="shared" si="155"/>
        <v>GENERAL SERVICE 1,000 TO 4,999 KW SERVICE CLASSIFICATION</v>
      </c>
      <c r="B932" s="105" t="s">
        <v>117</v>
      </c>
      <c r="C932" s="117"/>
      <c r="D932" s="180" t="s">
        <v>185</v>
      </c>
      <c r="E932" s="158"/>
      <c r="F932" s="174">
        <v>0.08</v>
      </c>
      <c r="G932" s="181"/>
      <c r="H932" s="182">
        <v>0</v>
      </c>
      <c r="I932" s="174">
        <v>0.08</v>
      </c>
      <c r="J932" s="121"/>
      <c r="K932" s="182">
        <v>0</v>
      </c>
      <c r="L932" s="184">
        <f>K932-H932</f>
        <v>0</v>
      </c>
      <c r="M932" s="185"/>
    </row>
    <row r="933" spans="1:13" hidden="1" x14ac:dyDescent="0.25">
      <c r="A933" s="100" t="str">
        <f t="shared" si="155"/>
        <v>GENERAL SERVICE 1,000 TO 4,999 KW SERVICE CLASSIFICATION</v>
      </c>
      <c r="B933" s="105" t="s">
        <v>186</v>
      </c>
      <c r="C933" s="117"/>
      <c r="D933" s="301" t="s">
        <v>187</v>
      </c>
      <c r="E933" s="301"/>
      <c r="F933" s="186"/>
      <c r="G933" s="187"/>
      <c r="H933" s="188">
        <f>H930+H931+H932</f>
        <v>120512.2852</v>
      </c>
      <c r="I933" s="189"/>
      <c r="J933" s="189"/>
      <c r="K933" s="190">
        <f>K930+K931+K932</f>
        <v>137123.28519999998</v>
      </c>
      <c r="L933" s="191">
        <f>K933-H933</f>
        <v>16610.999999999985</v>
      </c>
      <c r="M933" s="192">
        <f>IF((H933)=0,"",(L933/H933))</f>
        <v>0.13783656971098565</v>
      </c>
    </row>
    <row r="934" spans="1:13" ht="15.75" hidden="1" thickBot="1" x14ac:dyDescent="0.3">
      <c r="A934" s="100" t="str">
        <f t="shared" si="155"/>
        <v>GENERAL SERVICE 1,000 TO 4,999 KW SERVICE CLASSIFICATION</v>
      </c>
      <c r="B934" s="100" t="s">
        <v>117</v>
      </c>
      <c r="C934" s="117"/>
      <c r="D934" s="165"/>
      <c r="E934" s="166"/>
      <c r="F934" s="167"/>
      <c r="G934" s="168"/>
      <c r="H934" s="169"/>
      <c r="I934" s="167"/>
      <c r="J934" s="170"/>
      <c r="K934" s="169"/>
      <c r="L934" s="171"/>
      <c r="M934" s="172"/>
    </row>
    <row r="935" spans="1:13" hidden="1" x14ac:dyDescent="0.25">
      <c r="A935" s="100" t="str">
        <f t="shared" si="155"/>
        <v>GENERAL SERVICE 1,000 TO 4,999 KW SERVICE CLASSIFICATION</v>
      </c>
      <c r="B935" s="100" t="s">
        <v>180</v>
      </c>
      <c r="C935" s="117"/>
      <c r="D935" s="173" t="s">
        <v>188</v>
      </c>
      <c r="E935" s="158"/>
      <c r="F935" s="174"/>
      <c r="G935" s="175"/>
      <c r="H935" s="176">
        <f>SUM(H927,H920:H923,H919)</f>
        <v>136332.20000000001</v>
      </c>
      <c r="I935" s="177"/>
      <c r="J935" s="177"/>
      <c r="K935" s="176">
        <f>SUM(K927,K920:K923,K919)</f>
        <v>151032.20000000001</v>
      </c>
      <c r="L935" s="178">
        <f>K935-H935</f>
        <v>14700</v>
      </c>
      <c r="M935" s="179">
        <f>IF((H935)=0,"",(L935/H935))</f>
        <v>0.10782485722375197</v>
      </c>
    </row>
    <row r="936" spans="1:13" hidden="1" x14ac:dyDescent="0.25">
      <c r="A936" s="100" t="str">
        <f t="shared" si="155"/>
        <v>GENERAL SERVICE 1,000 TO 4,999 KW SERVICE CLASSIFICATION</v>
      </c>
      <c r="B936" s="100" t="s">
        <v>180</v>
      </c>
      <c r="C936" s="117"/>
      <c r="D936" s="180" t="s">
        <v>184</v>
      </c>
      <c r="E936" s="158"/>
      <c r="F936" s="174">
        <v>0.13</v>
      </c>
      <c r="G936" s="175"/>
      <c r="H936" s="182">
        <f>H935*F936</f>
        <v>17723.186000000002</v>
      </c>
      <c r="I936" s="174">
        <v>0.13</v>
      </c>
      <c r="J936" s="183"/>
      <c r="K936" s="182">
        <f>K935*I936</f>
        <v>19634.186000000002</v>
      </c>
      <c r="L936" s="184">
        <f>K936-H936</f>
        <v>1911</v>
      </c>
      <c r="M936" s="185">
        <f>IF((H936)=0,"",(L936/H936))</f>
        <v>0.10782485722375197</v>
      </c>
    </row>
    <row r="937" spans="1:13" hidden="1" x14ac:dyDescent="0.25">
      <c r="A937" s="100" t="str">
        <f t="shared" si="155"/>
        <v>GENERAL SERVICE 1,000 TO 4,999 KW SERVICE CLASSIFICATION</v>
      </c>
      <c r="B937" s="100" t="s">
        <v>180</v>
      </c>
      <c r="C937" s="117"/>
      <c r="D937" s="180" t="s">
        <v>185</v>
      </c>
      <c r="E937" s="158"/>
      <c r="F937" s="174">
        <v>0.08</v>
      </c>
      <c r="G937" s="175"/>
      <c r="H937" s="182">
        <v>0</v>
      </c>
      <c r="I937" s="174">
        <v>0.08</v>
      </c>
      <c r="J937" s="183"/>
      <c r="K937" s="182">
        <v>0</v>
      </c>
      <c r="L937" s="184"/>
      <c r="M937" s="185"/>
    </row>
    <row r="938" spans="1:13" hidden="1" x14ac:dyDescent="0.25">
      <c r="A938" s="100" t="str">
        <f t="shared" si="155"/>
        <v>GENERAL SERVICE 1,000 TO 4,999 KW SERVICE CLASSIFICATION</v>
      </c>
      <c r="B938" s="100" t="s">
        <v>189</v>
      </c>
      <c r="C938" s="117"/>
      <c r="D938" s="301" t="s">
        <v>188</v>
      </c>
      <c r="E938" s="301"/>
      <c r="F938" s="193"/>
      <c r="G938" s="194"/>
      <c r="H938" s="188">
        <f>SUM(H935,H936)</f>
        <v>154055.386</v>
      </c>
      <c r="I938" s="195"/>
      <c r="J938" s="195"/>
      <c r="K938" s="188">
        <f>SUM(K935,K936)</f>
        <v>170666.386</v>
      </c>
      <c r="L938" s="196">
        <f>K938-H938</f>
        <v>16611</v>
      </c>
      <c r="M938" s="197">
        <f>IF((H938)=0,"",(L938/H938))</f>
        <v>0.10782485722375199</v>
      </c>
    </row>
    <row r="939" spans="1:13" ht="15.75" hidden="1" thickBot="1" x14ac:dyDescent="0.3">
      <c r="A939" s="100" t="str">
        <f t="shared" si="155"/>
        <v>GENERAL SERVICE 1,000 TO 4,999 KW SERVICE CLASSIFICATION</v>
      </c>
      <c r="B939" s="100" t="s">
        <v>180</v>
      </c>
      <c r="C939" s="117"/>
      <c r="D939" s="165"/>
      <c r="E939" s="166"/>
      <c r="F939" s="198"/>
      <c r="G939" s="199"/>
      <c r="H939" s="200"/>
      <c r="I939" s="198"/>
      <c r="J939" s="168"/>
      <c r="K939" s="200"/>
      <c r="L939" s="201"/>
      <c r="M939" s="172"/>
    </row>
    <row r="940" spans="1:13" x14ac:dyDescent="0.25">
      <c r="A940" s="100" t="str">
        <f t="shared" si="155"/>
        <v>GENERAL SERVICE 1,000 TO 4,999 KW SERVICE CLASSIFICATION</v>
      </c>
      <c r="B940" s="100" t="s">
        <v>121</v>
      </c>
      <c r="C940" s="117"/>
      <c r="D940" s="173" t="s">
        <v>190</v>
      </c>
      <c r="E940" s="158"/>
      <c r="F940" s="174"/>
      <c r="G940" s="175"/>
      <c r="H940" s="176">
        <f>SUM(H928,H920:H923,H919)</f>
        <v>136332.20000000001</v>
      </c>
      <c r="I940" s="177"/>
      <c r="J940" s="177"/>
      <c r="K940" s="176">
        <f>SUM(K928,K920:K923,K919)</f>
        <v>151032.20000000001</v>
      </c>
      <c r="L940" s="178">
        <f>K940-H940</f>
        <v>14700</v>
      </c>
      <c r="M940" s="179">
        <f>IF((H940)=0,"",(L940/H940))</f>
        <v>0.10782485722375197</v>
      </c>
    </row>
    <row r="941" spans="1:13" x14ac:dyDescent="0.25">
      <c r="A941" s="100" t="str">
        <f t="shared" si="155"/>
        <v>GENERAL SERVICE 1,000 TO 4,999 KW SERVICE CLASSIFICATION</v>
      </c>
      <c r="B941" s="100" t="s">
        <v>121</v>
      </c>
      <c r="C941" s="117"/>
      <c r="D941" s="180" t="s">
        <v>184</v>
      </c>
      <c r="E941" s="158"/>
      <c r="F941" s="174">
        <v>0.13</v>
      </c>
      <c r="G941" s="175"/>
      <c r="H941" s="182">
        <f>H940*F941</f>
        <v>17723.186000000002</v>
      </c>
      <c r="I941" s="174">
        <v>0.13</v>
      </c>
      <c r="J941" s="183"/>
      <c r="K941" s="182">
        <f>K940*I941</f>
        <v>19634.186000000002</v>
      </c>
      <c r="L941" s="184">
        <f>K941-H941</f>
        <v>1911</v>
      </c>
      <c r="M941" s="185">
        <f>IF((H941)=0,"",(L941/H941))</f>
        <v>0.10782485722375197</v>
      </c>
    </row>
    <row r="942" spans="1:13" x14ac:dyDescent="0.25">
      <c r="A942" s="100" t="str">
        <f t="shared" si="155"/>
        <v>GENERAL SERVICE 1,000 TO 4,999 KW SERVICE CLASSIFICATION</v>
      </c>
      <c r="B942" s="100" t="s">
        <v>121</v>
      </c>
      <c r="C942" s="117"/>
      <c r="D942" s="180" t="s">
        <v>185</v>
      </c>
      <c r="E942" s="158"/>
      <c r="F942" s="174">
        <v>0.08</v>
      </c>
      <c r="G942" s="175"/>
      <c r="H942" s="182">
        <v>0</v>
      </c>
      <c r="I942" s="174">
        <v>0.08</v>
      </c>
      <c r="J942" s="183"/>
      <c r="K942" s="182">
        <v>0</v>
      </c>
      <c r="L942" s="184"/>
      <c r="M942" s="185"/>
    </row>
    <row r="943" spans="1:13" ht="15.75" thickBot="1" x14ac:dyDescent="0.3">
      <c r="A943" s="100" t="str">
        <f t="shared" si="155"/>
        <v>GENERAL SERVICE 1,000 TO 4,999 KW SERVICE CLASSIFICATION</v>
      </c>
      <c r="B943" s="100" t="s">
        <v>191</v>
      </c>
      <c r="C943" s="117">
        <f>B18</f>
        <v>16</v>
      </c>
      <c r="D943" s="301" t="s">
        <v>190</v>
      </c>
      <c r="E943" s="301"/>
      <c r="F943" s="193"/>
      <c r="G943" s="194"/>
      <c r="H943" s="188">
        <f>SUM(H940,H941)</f>
        <v>154055.386</v>
      </c>
      <c r="I943" s="195"/>
      <c r="J943" s="195"/>
      <c r="K943" s="188">
        <f>SUM(K940,K941)</f>
        <v>170666.386</v>
      </c>
      <c r="L943" s="196">
        <f>K943-H943</f>
        <v>16611</v>
      </c>
      <c r="M943" s="197">
        <f>IF((H943)=0,"",(L943/H943))</f>
        <v>0.10782485722375199</v>
      </c>
    </row>
    <row r="944" spans="1:13" ht="15.75" thickBot="1" x14ac:dyDescent="0.3">
      <c r="A944" s="100" t="str">
        <f t="shared" si="155"/>
        <v>GENERAL SERVICE 1,000 TO 4,999 KW SERVICE CLASSIFICATION</v>
      </c>
      <c r="B944" s="100" t="s">
        <v>121</v>
      </c>
      <c r="C944" s="117"/>
      <c r="D944" s="165"/>
      <c r="E944" s="166"/>
      <c r="F944" s="202"/>
      <c r="G944" s="203"/>
      <c r="H944" s="204"/>
      <c r="I944" s="202"/>
      <c r="J944" s="205"/>
      <c r="K944" s="204"/>
      <c r="L944" s="206"/>
      <c r="M944" s="207"/>
    </row>
    <row r="947" spans="1:13" x14ac:dyDescent="0.25">
      <c r="C947" s="100"/>
      <c r="D947" s="101" t="s">
        <v>134</v>
      </c>
      <c r="E947" s="302" t="str">
        <f>D19</f>
        <v>GENERAL SERVICE 1,000 TO 4,999 KW SERVICE CLASSIFICATION</v>
      </c>
      <c r="F947" s="302"/>
      <c r="G947" s="302"/>
      <c r="H947" s="302"/>
      <c r="I947" s="302"/>
      <c r="J947" s="302"/>
      <c r="K947" s="100" t="str">
        <f>IF(N19="DEMAND - INTERVAL","RTSR - INTERVAL METERED","")</f>
        <v/>
      </c>
    </row>
    <row r="948" spans="1:13" x14ac:dyDescent="0.25">
      <c r="C948" s="100"/>
      <c r="D948" s="101" t="s">
        <v>135</v>
      </c>
      <c r="E948" s="303" t="str">
        <f>H19</f>
        <v>Non-RPP (Other)</v>
      </c>
      <c r="F948" s="303"/>
      <c r="G948" s="303"/>
      <c r="H948" s="102"/>
      <c r="I948" s="102"/>
    </row>
    <row r="949" spans="1:13" ht="15.75" x14ac:dyDescent="0.25">
      <c r="C949" s="100"/>
      <c r="D949" s="101" t="s">
        <v>136</v>
      </c>
      <c r="E949" s="103">
        <f>K19</f>
        <v>3000000</v>
      </c>
      <c r="F949" s="104" t="s">
        <v>137</v>
      </c>
      <c r="G949" s="105"/>
      <c r="J949" s="106"/>
      <c r="K949" s="106"/>
      <c r="L949" s="106"/>
      <c r="M949" s="106"/>
    </row>
    <row r="950" spans="1:13" ht="15.75" x14ac:dyDescent="0.25">
      <c r="C950" s="100"/>
      <c r="D950" s="101" t="s">
        <v>138</v>
      </c>
      <c r="E950" s="103">
        <f>L19</f>
        <v>4000</v>
      </c>
      <c r="F950" s="107" t="s">
        <v>139</v>
      </c>
      <c r="G950" s="108"/>
      <c r="H950" s="109"/>
      <c r="I950" s="109"/>
      <c r="J950" s="109"/>
    </row>
    <row r="951" spans="1:13" x14ac:dyDescent="0.25">
      <c r="C951" s="100"/>
      <c r="D951" s="101" t="s">
        <v>140</v>
      </c>
      <c r="E951" s="110">
        <f>I19</f>
        <v>1.056</v>
      </c>
    </row>
    <row r="952" spans="1:13" x14ac:dyDescent="0.25">
      <c r="C952" s="100"/>
      <c r="D952" s="101" t="s">
        <v>141</v>
      </c>
      <c r="E952" s="110">
        <f>J19</f>
        <v>1.056</v>
      </c>
    </row>
    <row r="953" spans="1:13" x14ac:dyDescent="0.25">
      <c r="C953" s="100"/>
      <c r="D953" s="105"/>
    </row>
    <row r="954" spans="1:13" x14ac:dyDescent="0.25">
      <c r="C954" s="100"/>
      <c r="D954" s="105"/>
      <c r="E954" s="111"/>
      <c r="F954" s="304" t="s">
        <v>142</v>
      </c>
      <c r="G954" s="305"/>
      <c r="H954" s="306"/>
      <c r="I954" s="304" t="s">
        <v>143</v>
      </c>
      <c r="J954" s="305"/>
      <c r="K954" s="306"/>
      <c r="L954" s="304" t="s">
        <v>144</v>
      </c>
      <c r="M954" s="306"/>
    </row>
    <row r="955" spans="1:13" x14ac:dyDescent="0.25">
      <c r="C955" s="100"/>
      <c r="D955" s="105"/>
      <c r="E955" s="295"/>
      <c r="F955" s="112" t="s">
        <v>145</v>
      </c>
      <c r="G955" s="112" t="s">
        <v>146</v>
      </c>
      <c r="H955" s="113" t="s">
        <v>147</v>
      </c>
      <c r="I955" s="112" t="s">
        <v>145</v>
      </c>
      <c r="J955" s="114" t="s">
        <v>146</v>
      </c>
      <c r="K955" s="113" t="s">
        <v>147</v>
      </c>
      <c r="L955" s="297" t="s">
        <v>148</v>
      </c>
      <c r="M955" s="299" t="s">
        <v>149</v>
      </c>
    </row>
    <row r="956" spans="1:13" x14ac:dyDescent="0.25">
      <c r="C956" s="100"/>
      <c r="D956" s="105"/>
      <c r="E956" s="296"/>
      <c r="F956" s="115" t="s">
        <v>150</v>
      </c>
      <c r="G956" s="115"/>
      <c r="H956" s="116" t="s">
        <v>150</v>
      </c>
      <c r="I956" s="115" t="s">
        <v>150</v>
      </c>
      <c r="J956" s="116"/>
      <c r="K956" s="116" t="s">
        <v>150</v>
      </c>
      <c r="L956" s="298"/>
      <c r="M956" s="300"/>
    </row>
    <row r="957" spans="1:13" x14ac:dyDescent="0.25">
      <c r="A957" s="100" t="str">
        <f>$E947</f>
        <v>GENERAL SERVICE 1,000 TO 4,999 KW SERVICE CLASSIFICATION</v>
      </c>
      <c r="C957" s="117"/>
      <c r="D957" s="118" t="s">
        <v>151</v>
      </c>
      <c r="E957" s="119"/>
      <c r="F957" s="120">
        <v>185.55</v>
      </c>
      <c r="G957" s="121">
        <v>1</v>
      </c>
      <c r="H957" s="122">
        <f>G957*F957</f>
        <v>185.55</v>
      </c>
      <c r="I957" s="123">
        <v>187.78</v>
      </c>
      <c r="J957" s="124">
        <f>G957</f>
        <v>1</v>
      </c>
      <c r="K957" s="122">
        <f t="shared" ref="K957:K962" si="163">H957</f>
        <v>185.55</v>
      </c>
      <c r="L957" s="125">
        <f t="shared" ref="L957:L978" si="164">K957-H957</f>
        <v>0</v>
      </c>
      <c r="M957" s="126">
        <f>IF(ISERROR(L957/H957), "", L957/H957)</f>
        <v>0</v>
      </c>
    </row>
    <row r="958" spans="1:13" x14ac:dyDescent="0.25">
      <c r="A958" s="100" t="str">
        <f>A957</f>
        <v>GENERAL SERVICE 1,000 TO 4,999 KW SERVICE CLASSIFICATION</v>
      </c>
      <c r="C958" s="117"/>
      <c r="D958" s="118" t="s">
        <v>152</v>
      </c>
      <c r="E958" s="119"/>
      <c r="F958" s="127">
        <v>3.4704999999999999</v>
      </c>
      <c r="G958" s="121">
        <f>IF($E950&gt;0, $E950, $E949)</f>
        <v>4000</v>
      </c>
      <c r="H958" s="122">
        <f t="shared" ref="H958:H970" si="165">G958*F958</f>
        <v>13882</v>
      </c>
      <c r="I958" s="128">
        <v>3.5121000000000002</v>
      </c>
      <c r="J958" s="124">
        <f>IF($E950&gt;0, $E950, $E949)</f>
        <v>4000</v>
      </c>
      <c r="K958" s="122">
        <f t="shared" si="163"/>
        <v>13882</v>
      </c>
      <c r="L958" s="125">
        <f t="shared" si="164"/>
        <v>0</v>
      </c>
      <c r="M958" s="126">
        <f t="shared" ref="M958:M968" si="166">IF(ISERROR(L958/H958), "", L958/H958)</f>
        <v>0</v>
      </c>
    </row>
    <row r="959" spans="1:13" x14ac:dyDescent="0.25">
      <c r="A959" s="100" t="str">
        <f t="shared" ref="A959:A1000" si="167">A958</f>
        <v>GENERAL SERVICE 1,000 TO 4,999 KW SERVICE CLASSIFICATION</v>
      </c>
      <c r="C959" s="117"/>
      <c r="D959" s="118" t="s">
        <v>153</v>
      </c>
      <c r="E959" s="119"/>
      <c r="F959" s="127"/>
      <c r="G959" s="121">
        <f>IF($E950&gt;0, $E950, $E949)</f>
        <v>4000</v>
      </c>
      <c r="H959" s="122">
        <v>0</v>
      </c>
      <c r="I959" s="128"/>
      <c r="J959" s="124">
        <f>IF($E950&gt;0, $E950, $E949)</f>
        <v>4000</v>
      </c>
      <c r="K959" s="122">
        <f t="shared" si="163"/>
        <v>0</v>
      </c>
      <c r="L959" s="125"/>
      <c r="M959" s="126"/>
    </row>
    <row r="960" spans="1:13" x14ac:dyDescent="0.25">
      <c r="A960" s="100" t="str">
        <f t="shared" si="167"/>
        <v>GENERAL SERVICE 1,000 TO 4,999 KW SERVICE CLASSIFICATION</v>
      </c>
      <c r="C960" s="117"/>
      <c r="D960" s="118" t="s">
        <v>154</v>
      </c>
      <c r="E960" s="119"/>
      <c r="F960" s="127"/>
      <c r="G960" s="121">
        <f>IF($E950&gt;0, $E950, $E949)</f>
        <v>4000</v>
      </c>
      <c r="H960" s="122">
        <v>0</v>
      </c>
      <c r="I960" s="128"/>
      <c r="J960" s="121">
        <f>IF($E950&gt;0, $E950, $E949)</f>
        <v>4000</v>
      </c>
      <c r="K960" s="122">
        <f t="shared" si="163"/>
        <v>0</v>
      </c>
      <c r="L960" s="125">
        <f>K960-H960</f>
        <v>0</v>
      </c>
      <c r="M960" s="126" t="str">
        <f>IF(ISERROR(L960/H960), "", L960/H960)</f>
        <v/>
      </c>
    </row>
    <row r="961" spans="1:13" x14ac:dyDescent="0.25">
      <c r="A961" s="100" t="str">
        <f t="shared" si="167"/>
        <v>GENERAL SERVICE 1,000 TO 4,999 KW SERVICE CLASSIFICATION</v>
      </c>
      <c r="C961" s="117"/>
      <c r="D961" s="129" t="s">
        <v>155</v>
      </c>
      <c r="E961" s="119"/>
      <c r="F961" s="120">
        <v>0</v>
      </c>
      <c r="G961" s="121">
        <v>1</v>
      </c>
      <c r="H961" s="122">
        <f t="shared" si="165"/>
        <v>0</v>
      </c>
      <c r="I961" s="123">
        <v>0</v>
      </c>
      <c r="J961" s="124">
        <f>G961</f>
        <v>1</v>
      </c>
      <c r="K961" s="122">
        <f t="shared" si="163"/>
        <v>0</v>
      </c>
      <c r="L961" s="125">
        <f t="shared" si="164"/>
        <v>0</v>
      </c>
      <c r="M961" s="126" t="str">
        <f t="shared" si="166"/>
        <v/>
      </c>
    </row>
    <row r="962" spans="1:13" x14ac:dyDescent="0.25">
      <c r="A962" s="100" t="str">
        <f t="shared" si="167"/>
        <v>GENERAL SERVICE 1,000 TO 4,999 KW SERVICE CLASSIFICATION</v>
      </c>
      <c r="C962" s="117"/>
      <c r="D962" s="118" t="s">
        <v>156</v>
      </c>
      <c r="E962" s="119"/>
      <c r="F962" s="127">
        <v>0</v>
      </c>
      <c r="G962" s="121">
        <f>IF($E950&gt;0, $E950, $E949)</f>
        <v>4000</v>
      </c>
      <c r="H962" s="122">
        <f t="shared" si="165"/>
        <v>0</v>
      </c>
      <c r="I962" s="128">
        <v>0</v>
      </c>
      <c r="J962" s="124">
        <f>IF($E950&gt;0, $E950, $E949)</f>
        <v>4000</v>
      </c>
      <c r="K962" s="122">
        <f t="shared" si="163"/>
        <v>0</v>
      </c>
      <c r="L962" s="125">
        <f t="shared" si="164"/>
        <v>0</v>
      </c>
      <c r="M962" s="126" t="str">
        <f t="shared" si="166"/>
        <v/>
      </c>
    </row>
    <row r="963" spans="1:13" x14ac:dyDescent="0.25">
      <c r="A963" s="100" t="str">
        <f t="shared" si="167"/>
        <v>GENERAL SERVICE 1,000 TO 4,999 KW SERVICE CLASSIFICATION</v>
      </c>
      <c r="B963" s="130" t="s">
        <v>157</v>
      </c>
      <c r="C963" s="117">
        <f>B19</f>
        <v>17</v>
      </c>
      <c r="D963" s="131" t="s">
        <v>158</v>
      </c>
      <c r="E963" s="132"/>
      <c r="F963" s="133"/>
      <c r="G963" s="134"/>
      <c r="H963" s="135">
        <f>SUM(H957:H962)</f>
        <v>14067.55</v>
      </c>
      <c r="I963" s="136"/>
      <c r="J963" s="137"/>
      <c r="K963" s="135">
        <f>SUM(K957:K962)</f>
        <v>14067.55</v>
      </c>
      <c r="L963" s="138">
        <f t="shared" si="164"/>
        <v>0</v>
      </c>
      <c r="M963" s="139">
        <f>IF((H963)=0,"",(L963/H963))</f>
        <v>0</v>
      </c>
    </row>
    <row r="964" spans="1:13" x14ac:dyDescent="0.25">
      <c r="A964" s="100" t="str">
        <f t="shared" si="167"/>
        <v>GENERAL SERVICE 1,000 TO 4,999 KW SERVICE CLASSIFICATION</v>
      </c>
      <c r="C964" s="117"/>
      <c r="D964" s="140" t="s">
        <v>159</v>
      </c>
      <c r="E964" s="119"/>
      <c r="F964" s="127">
        <f>IF((E949*12&gt;=150000), 0, IF(E948="RPP",(F980*0.65+F981*0.17+F982*0.18),IF(E948="Non-RPP (Retailer)",F983,F984)))</f>
        <v>0</v>
      </c>
      <c r="G964" s="141">
        <f>IF(F964=0, 0, $E949*E951-E949)</f>
        <v>0</v>
      </c>
      <c r="H964" s="122">
        <f>G964*F964</f>
        <v>0</v>
      </c>
      <c r="I964" s="128">
        <f>IF((E949*12&gt;=150000), 0, IF(E948="RPP",(I980*0.65+I981*0.17+I982*0.18),IF(E948="Non-RPP (Retailer)",I983,I984)))</f>
        <v>0</v>
      </c>
      <c r="J964" s="141">
        <f>IF(I964=0, 0, E949*E952-E949)</f>
        <v>0</v>
      </c>
      <c r="K964" s="122">
        <f t="shared" ref="K964:K966" si="168">H964</f>
        <v>0</v>
      </c>
      <c r="L964" s="125">
        <f>K964-H964</f>
        <v>0</v>
      </c>
      <c r="M964" s="126" t="str">
        <f>IF(ISERROR(L964/H964), "", L964/H964)</f>
        <v/>
      </c>
    </row>
    <row r="965" spans="1:13" ht="25.5" x14ac:dyDescent="0.25">
      <c r="A965" s="100" t="str">
        <f t="shared" si="167"/>
        <v>GENERAL SERVICE 1,000 TO 4,999 KW SERVICE CLASSIFICATION</v>
      </c>
      <c r="C965" s="117"/>
      <c r="D965" s="140" t="s">
        <v>160</v>
      </c>
      <c r="E965" s="119"/>
      <c r="F965" s="127">
        <v>-0.93979999999999997</v>
      </c>
      <c r="G965" s="142">
        <f>IF($E950&gt;0, $E950, $E949)</f>
        <v>4000</v>
      </c>
      <c r="H965" s="122">
        <f t="shared" si="165"/>
        <v>-3759.2</v>
      </c>
      <c r="I965" s="128">
        <v>-1.9907999999999999</v>
      </c>
      <c r="J965" s="142">
        <f>IF($E950&gt;0, $E950, $E949)</f>
        <v>4000</v>
      </c>
      <c r="K965" s="122">
        <f t="shared" si="168"/>
        <v>-3759.2</v>
      </c>
      <c r="L965" s="125">
        <f t="shared" si="164"/>
        <v>0</v>
      </c>
      <c r="M965" s="126">
        <f t="shared" si="166"/>
        <v>0</v>
      </c>
    </row>
    <row r="966" spans="1:13" x14ac:dyDescent="0.25">
      <c r="A966" s="100" t="str">
        <f t="shared" si="167"/>
        <v>GENERAL SERVICE 1,000 TO 4,999 KW SERVICE CLASSIFICATION</v>
      </c>
      <c r="C966" s="117"/>
      <c r="D966" s="140" t="s">
        <v>161</v>
      </c>
      <c r="E966" s="119"/>
      <c r="F966" s="127">
        <v>-3.4099999999999998E-2</v>
      </c>
      <c r="G966" s="142">
        <f>IF($E950&gt;0, $E950, $E949)</f>
        <v>4000</v>
      </c>
      <c r="H966" s="122">
        <f>G966*F966</f>
        <v>-136.4</v>
      </c>
      <c r="I966" s="128">
        <v>0</v>
      </c>
      <c r="J966" s="142">
        <f>IF($E950&gt;0, $E950, $E949)</f>
        <v>4000</v>
      </c>
      <c r="K966" s="122">
        <f t="shared" si="168"/>
        <v>-136.4</v>
      </c>
      <c r="L966" s="125">
        <f t="shared" si="164"/>
        <v>0</v>
      </c>
      <c r="M966" s="126">
        <f t="shared" si="166"/>
        <v>0</v>
      </c>
    </row>
    <row r="967" spans="1:13" x14ac:dyDescent="0.25">
      <c r="A967" s="100" t="str">
        <f t="shared" si="167"/>
        <v>GENERAL SERVICE 1,000 TO 4,999 KW SERVICE CLASSIFICATION</v>
      </c>
      <c r="C967" s="117"/>
      <c r="D967" s="140" t="s">
        <v>162</v>
      </c>
      <c r="E967" s="119"/>
      <c r="F967" s="127">
        <v>-1E-3</v>
      </c>
      <c r="G967" s="142">
        <f>E949</f>
        <v>3000000</v>
      </c>
      <c r="H967" s="122">
        <f>G967*F967</f>
        <v>-3000</v>
      </c>
      <c r="I967" s="128">
        <v>1.37E-2</v>
      </c>
      <c r="J967" s="142">
        <f>E949</f>
        <v>3000000</v>
      </c>
      <c r="K967" s="122">
        <f t="shared" ref="K967" si="169">J967*I967</f>
        <v>41100</v>
      </c>
      <c r="L967" s="125">
        <f t="shared" si="164"/>
        <v>44100</v>
      </c>
      <c r="M967" s="126">
        <f t="shared" si="166"/>
        <v>-14.7</v>
      </c>
    </row>
    <row r="968" spans="1:13" x14ac:dyDescent="0.25">
      <c r="A968" s="100" t="str">
        <f t="shared" si="167"/>
        <v>GENERAL SERVICE 1,000 TO 4,999 KW SERVICE CLASSIFICATION</v>
      </c>
      <c r="C968" s="117"/>
      <c r="D968" s="143" t="s">
        <v>163</v>
      </c>
      <c r="E968" s="119"/>
      <c r="F968" s="127">
        <v>1.0483</v>
      </c>
      <c r="G968" s="142">
        <f>IF($E950&gt;0, $E950, $E949)</f>
        <v>4000</v>
      </c>
      <c r="H968" s="122">
        <f t="shared" si="165"/>
        <v>4193.2</v>
      </c>
      <c r="I968" s="128">
        <v>1.0483</v>
      </c>
      <c r="J968" s="142">
        <f>IF($E950&gt;0, $E950, $E949)</f>
        <v>4000</v>
      </c>
      <c r="K968" s="122">
        <f t="shared" ref="K968:K971" si="170">H968</f>
        <v>4193.2</v>
      </c>
      <c r="L968" s="125">
        <f t="shared" si="164"/>
        <v>0</v>
      </c>
      <c r="M968" s="126">
        <f t="shared" si="166"/>
        <v>0</v>
      </c>
    </row>
    <row r="969" spans="1:13" ht="25.5" x14ac:dyDescent="0.25">
      <c r="A969" s="100" t="str">
        <f t="shared" si="167"/>
        <v>GENERAL SERVICE 1,000 TO 4,999 KW SERVICE CLASSIFICATION</v>
      </c>
      <c r="C969" s="117"/>
      <c r="D969" s="144" t="s">
        <v>164</v>
      </c>
      <c r="E969" s="119"/>
      <c r="F969" s="145">
        <f>IF(OR(ISNUMBER(SEARCH("RESIDENTIAL", E947))=TRUE, ISNUMBER(SEARCH("GENERAL SERVICE LESS THAN 50", E947))=TRUE), SME, 0)</f>
        <v>0</v>
      </c>
      <c r="G969" s="121">
        <v>1</v>
      </c>
      <c r="H969" s="122">
        <f>G969*F969</f>
        <v>0</v>
      </c>
      <c r="I969" s="146">
        <f>IF(OR(ISNUMBER(SEARCH("RESIDENTIAL", E947))=TRUE, ISNUMBER(SEARCH("GENERAL SERVICE LESS THAN 50", E947))=TRUE), SME, 0)</f>
        <v>0</v>
      </c>
      <c r="J969" s="121">
        <v>1</v>
      </c>
      <c r="K969" s="122">
        <f t="shared" si="170"/>
        <v>0</v>
      </c>
      <c r="L969" s="125">
        <f t="shared" si="164"/>
        <v>0</v>
      </c>
      <c r="M969" s="126" t="str">
        <f>IF(ISERROR(L969/H969), "", L969/H969)</f>
        <v/>
      </c>
    </row>
    <row r="970" spans="1:13" x14ac:dyDescent="0.25">
      <c r="A970" s="100" t="str">
        <f t="shared" si="167"/>
        <v>GENERAL SERVICE 1,000 TO 4,999 KW SERVICE CLASSIFICATION</v>
      </c>
      <c r="C970" s="117"/>
      <c r="D970" s="143" t="s">
        <v>165</v>
      </c>
      <c r="E970" s="119"/>
      <c r="F970" s="120">
        <v>0</v>
      </c>
      <c r="G970" s="121">
        <v>1</v>
      </c>
      <c r="H970" s="122">
        <f t="shared" si="165"/>
        <v>0</v>
      </c>
      <c r="I970" s="123">
        <v>0</v>
      </c>
      <c r="J970" s="121">
        <v>1</v>
      </c>
      <c r="K970" s="122">
        <f t="shared" si="170"/>
        <v>0</v>
      </c>
      <c r="L970" s="125">
        <f>K970-H970</f>
        <v>0</v>
      </c>
      <c r="M970" s="126" t="str">
        <f>IF(ISERROR(L970/H970), "", L970/H970)</f>
        <v/>
      </c>
    </row>
    <row r="971" spans="1:13" x14ac:dyDescent="0.25">
      <c r="A971" s="100" t="str">
        <f t="shared" si="167"/>
        <v>GENERAL SERVICE 1,000 TO 4,999 KW SERVICE CLASSIFICATION</v>
      </c>
      <c r="C971" s="117"/>
      <c r="D971" s="143" t="s">
        <v>166</v>
      </c>
      <c r="E971" s="119"/>
      <c r="F971" s="127"/>
      <c r="G971" s="142">
        <f>IF($E950&gt;0, $E950, $E949)</f>
        <v>4000</v>
      </c>
      <c r="H971" s="122">
        <f>G971*F971</f>
        <v>0</v>
      </c>
      <c r="I971" s="128">
        <v>0</v>
      </c>
      <c r="J971" s="142">
        <f>IF($E950&gt;0, $E950, $E949)</f>
        <v>4000</v>
      </c>
      <c r="K971" s="122">
        <f t="shared" si="170"/>
        <v>0</v>
      </c>
      <c r="L971" s="125">
        <f t="shared" si="164"/>
        <v>0</v>
      </c>
      <c r="M971" s="126" t="str">
        <f>IF(ISERROR(L971/H971), "", L971/H971)</f>
        <v/>
      </c>
    </row>
    <row r="972" spans="1:13" ht="25.5" x14ac:dyDescent="0.25">
      <c r="A972" s="100" t="str">
        <f t="shared" si="167"/>
        <v>GENERAL SERVICE 1,000 TO 4,999 KW SERVICE CLASSIFICATION</v>
      </c>
      <c r="B972" s="105" t="s">
        <v>167</v>
      </c>
      <c r="C972" s="117">
        <f>B19</f>
        <v>17</v>
      </c>
      <c r="D972" s="147" t="s">
        <v>168</v>
      </c>
      <c r="E972" s="148"/>
      <c r="F972" s="149"/>
      <c r="G972" s="150"/>
      <c r="H972" s="151">
        <f>SUM(H963:H971)</f>
        <v>11365.149999999998</v>
      </c>
      <c r="I972" s="152"/>
      <c r="J972" s="153"/>
      <c r="K972" s="151">
        <f>SUM(K963:K971)</f>
        <v>55465.149999999994</v>
      </c>
      <c r="L972" s="138">
        <f t="shared" si="164"/>
        <v>44100</v>
      </c>
      <c r="M972" s="139">
        <f>IF((H972)=0,"",(L972/H972))</f>
        <v>3.8802831462849157</v>
      </c>
    </row>
    <row r="973" spans="1:13" x14ac:dyDescent="0.25">
      <c r="A973" s="100" t="str">
        <f t="shared" si="167"/>
        <v>GENERAL SERVICE 1,000 TO 4,999 KW SERVICE CLASSIFICATION</v>
      </c>
      <c r="C973" s="117"/>
      <c r="D973" s="154" t="s">
        <v>169</v>
      </c>
      <c r="E973" s="119"/>
      <c r="F973" s="127">
        <v>2.6217000000000001</v>
      </c>
      <c r="G973" s="141">
        <f>IF($E950&gt;0, $E950, $E949*$E951)</f>
        <v>4000</v>
      </c>
      <c r="H973" s="122">
        <f>G973*F973</f>
        <v>10486.800000000001</v>
      </c>
      <c r="I973" s="128">
        <v>2.4868999999999999</v>
      </c>
      <c r="J973" s="141">
        <f>IF($E950&gt;0, $E950, $E949*$E952)</f>
        <v>4000</v>
      </c>
      <c r="K973" s="122">
        <f t="shared" ref="K973:K974" si="171">H973</f>
        <v>10486.800000000001</v>
      </c>
      <c r="L973" s="125">
        <f t="shared" si="164"/>
        <v>0</v>
      </c>
      <c r="M973" s="126">
        <f>IF(ISERROR(L973/H973), "", L973/H973)</f>
        <v>0</v>
      </c>
    </row>
    <row r="974" spans="1:13" ht="25.5" x14ac:dyDescent="0.25">
      <c r="A974" s="100" t="str">
        <f t="shared" si="167"/>
        <v>GENERAL SERVICE 1,000 TO 4,999 KW SERVICE CLASSIFICATION</v>
      </c>
      <c r="C974" s="117"/>
      <c r="D974" s="155" t="s">
        <v>170</v>
      </c>
      <c r="E974" s="119"/>
      <c r="F974" s="127">
        <v>2.2145999999999999</v>
      </c>
      <c r="G974" s="141">
        <f>IF($E950&gt;0, $E950, $E949*$E951)</f>
        <v>4000</v>
      </c>
      <c r="H974" s="122">
        <f>G974*F974</f>
        <v>8858.4</v>
      </c>
      <c r="I974" s="128">
        <v>2.0933000000000002</v>
      </c>
      <c r="J974" s="141">
        <f>IF($E950&gt;0, $E950, $E949*$E952)</f>
        <v>4000</v>
      </c>
      <c r="K974" s="122">
        <f t="shared" si="171"/>
        <v>8858.4</v>
      </c>
      <c r="L974" s="125">
        <f t="shared" si="164"/>
        <v>0</v>
      </c>
      <c r="M974" s="126">
        <f>IF(ISERROR(L974/H974), "", L974/H974)</f>
        <v>0</v>
      </c>
    </row>
    <row r="975" spans="1:13" ht="25.5" x14ac:dyDescent="0.25">
      <c r="A975" s="100" t="str">
        <f t="shared" si="167"/>
        <v>GENERAL SERVICE 1,000 TO 4,999 KW SERVICE CLASSIFICATION</v>
      </c>
      <c r="B975" s="105" t="s">
        <v>171</v>
      </c>
      <c r="C975" s="117">
        <f>B19</f>
        <v>17</v>
      </c>
      <c r="D975" s="147" t="s">
        <v>172</v>
      </c>
      <c r="E975" s="132"/>
      <c r="F975" s="149"/>
      <c r="G975" s="150"/>
      <c r="H975" s="151">
        <f>SUM(H972:H974)</f>
        <v>30710.35</v>
      </c>
      <c r="I975" s="152"/>
      <c r="J975" s="137"/>
      <c r="K975" s="151">
        <f>SUM(K972:K974)</f>
        <v>74810.349999999991</v>
      </c>
      <c r="L975" s="138">
        <f t="shared" si="164"/>
        <v>44099.999999999993</v>
      </c>
      <c r="M975" s="139">
        <f>IF((H975)=0,"",(L975/H975))</f>
        <v>1.4359979615992653</v>
      </c>
    </row>
    <row r="976" spans="1:13" ht="25.5" x14ac:dyDescent="0.25">
      <c r="A976" s="100" t="str">
        <f t="shared" si="167"/>
        <v>GENERAL SERVICE 1,000 TO 4,999 KW SERVICE CLASSIFICATION</v>
      </c>
      <c r="C976" s="117"/>
      <c r="D976" s="156" t="s">
        <v>173</v>
      </c>
      <c r="E976" s="119"/>
      <c r="F976" s="127">
        <v>3.6000000000000003E-3</v>
      </c>
      <c r="G976" s="141">
        <f>E949*E951</f>
        <v>3168000</v>
      </c>
      <c r="H976" s="157">
        <f t="shared" ref="H976:H982" si="172">G976*F976</f>
        <v>11404.800000000001</v>
      </c>
      <c r="I976" s="128">
        <v>3.6000000000000003E-3</v>
      </c>
      <c r="J976" s="141">
        <f>E949*E952</f>
        <v>3168000</v>
      </c>
      <c r="K976" s="157">
        <f t="shared" ref="K976:K984" si="173">H976</f>
        <v>11404.800000000001</v>
      </c>
      <c r="L976" s="125">
        <f t="shared" si="164"/>
        <v>0</v>
      </c>
      <c r="M976" s="126">
        <f t="shared" ref="M976:M984" si="174">IF(ISERROR(L976/H976), "", L976/H976)</f>
        <v>0</v>
      </c>
    </row>
    <row r="977" spans="1:13" ht="25.5" x14ac:dyDescent="0.25">
      <c r="A977" s="100" t="str">
        <f t="shared" si="167"/>
        <v>GENERAL SERVICE 1,000 TO 4,999 KW SERVICE CLASSIFICATION</v>
      </c>
      <c r="C977" s="117"/>
      <c r="D977" s="156" t="s">
        <v>174</v>
      </c>
      <c r="E977" s="119"/>
      <c r="F977" s="127">
        <f>'[1]17. Regulatory Charges'!$D$16</f>
        <v>2.9999999999999997E-4</v>
      </c>
      <c r="G977" s="141">
        <f>E949*E951</f>
        <v>3168000</v>
      </c>
      <c r="H977" s="157">
        <f t="shared" si="172"/>
        <v>950.39999999999986</v>
      </c>
      <c r="I977" s="128">
        <v>2.9999999999999997E-4</v>
      </c>
      <c r="J977" s="141">
        <f>E949*E952</f>
        <v>3168000</v>
      </c>
      <c r="K977" s="157">
        <f t="shared" si="173"/>
        <v>950.39999999999986</v>
      </c>
      <c r="L977" s="125">
        <f t="shared" si="164"/>
        <v>0</v>
      </c>
      <c r="M977" s="126">
        <f t="shared" si="174"/>
        <v>0</v>
      </c>
    </row>
    <row r="978" spans="1:13" x14ac:dyDescent="0.25">
      <c r="A978" s="100" t="str">
        <f t="shared" si="167"/>
        <v>GENERAL SERVICE 1,000 TO 4,999 KW SERVICE CLASSIFICATION</v>
      </c>
      <c r="C978" s="117"/>
      <c r="D978" s="158" t="s">
        <v>175</v>
      </c>
      <c r="E978" s="119"/>
      <c r="F978" s="145">
        <v>0.25</v>
      </c>
      <c r="G978" s="121">
        <v>1</v>
      </c>
      <c r="H978" s="157">
        <f t="shared" si="172"/>
        <v>0.25</v>
      </c>
      <c r="I978" s="146">
        <f>'[1]17. Regulatory Charges'!$D$17</f>
        <v>0.25</v>
      </c>
      <c r="J978" s="124">
        <v>1</v>
      </c>
      <c r="K978" s="157">
        <f t="shared" si="173"/>
        <v>0.25</v>
      </c>
      <c r="L978" s="125">
        <f t="shared" si="164"/>
        <v>0</v>
      </c>
      <c r="M978" s="126">
        <f t="shared" si="174"/>
        <v>0</v>
      </c>
    </row>
    <row r="979" spans="1:13" ht="25.5" x14ac:dyDescent="0.25">
      <c r="A979" s="100" t="str">
        <f t="shared" si="167"/>
        <v>GENERAL SERVICE 1,000 TO 4,999 KW SERVICE CLASSIFICATION</v>
      </c>
      <c r="C979" s="117"/>
      <c r="D979" s="156" t="s">
        <v>176</v>
      </c>
      <c r="E979" s="119"/>
      <c r="F979" s="127"/>
      <c r="G979" s="141"/>
      <c r="H979" s="157"/>
      <c r="I979" s="128"/>
      <c r="J979" s="141"/>
      <c r="K979" s="157">
        <f t="shared" si="173"/>
        <v>0</v>
      </c>
      <c r="L979" s="125"/>
      <c r="M979" s="126"/>
    </row>
    <row r="980" spans="1:13" hidden="1" x14ac:dyDescent="0.25">
      <c r="A980" s="100" t="str">
        <f t="shared" si="167"/>
        <v>GENERAL SERVICE 1,000 TO 4,999 KW SERVICE CLASSIFICATION</v>
      </c>
      <c r="B980" s="105" t="s">
        <v>117</v>
      </c>
      <c r="C980" s="117"/>
      <c r="D980" s="159" t="s">
        <v>177</v>
      </c>
      <c r="E980" s="119"/>
      <c r="F980" s="160">
        <f>OffPeak</f>
        <v>6.5000000000000002E-2</v>
      </c>
      <c r="G980" s="161">
        <f>IF(AND(E949*12&gt;=150000),0.65*E949*E951,0.65*E949)</f>
        <v>2059200</v>
      </c>
      <c r="H980" s="157">
        <f t="shared" si="172"/>
        <v>133848</v>
      </c>
      <c r="I980" s="162">
        <f>OffPeak</f>
        <v>6.5000000000000002E-2</v>
      </c>
      <c r="J980" s="161">
        <f>IF(AND(E949*12&gt;=150000),0.65*E949*E952,0.65*E949)</f>
        <v>2059200</v>
      </c>
      <c r="K980" s="157">
        <f t="shared" si="173"/>
        <v>133848</v>
      </c>
      <c r="L980" s="125">
        <f>K980-H980</f>
        <v>0</v>
      </c>
      <c r="M980" s="126">
        <f t="shared" si="174"/>
        <v>0</v>
      </c>
    </row>
    <row r="981" spans="1:13" hidden="1" x14ac:dyDescent="0.25">
      <c r="A981" s="100" t="str">
        <f t="shared" si="167"/>
        <v>GENERAL SERVICE 1,000 TO 4,999 KW SERVICE CLASSIFICATION</v>
      </c>
      <c r="B981" s="105" t="s">
        <v>117</v>
      </c>
      <c r="C981" s="117"/>
      <c r="D981" s="159" t="s">
        <v>178</v>
      </c>
      <c r="E981" s="119"/>
      <c r="F981" s="160">
        <f>MidPeak</f>
        <v>9.4E-2</v>
      </c>
      <c r="G981" s="161">
        <f>IF(AND(E949*12&gt;=150000),0.17*E949*E951,0.17*E949)</f>
        <v>538560.00000000012</v>
      </c>
      <c r="H981" s="157">
        <f t="shared" si="172"/>
        <v>50624.640000000014</v>
      </c>
      <c r="I981" s="162">
        <f>MidPeak</f>
        <v>9.4E-2</v>
      </c>
      <c r="J981" s="161">
        <f>IF(AND(E949*12&gt;=150000),0.17*E949*E952,0.17*E949)</f>
        <v>538560.00000000012</v>
      </c>
      <c r="K981" s="157">
        <f t="shared" si="173"/>
        <v>50624.640000000014</v>
      </c>
      <c r="L981" s="125">
        <f>K981-H981</f>
        <v>0</v>
      </c>
      <c r="M981" s="126">
        <f t="shared" si="174"/>
        <v>0</v>
      </c>
    </row>
    <row r="982" spans="1:13" hidden="1" x14ac:dyDescent="0.25">
      <c r="A982" s="100" t="str">
        <f t="shared" si="167"/>
        <v>GENERAL SERVICE 1,000 TO 4,999 KW SERVICE CLASSIFICATION</v>
      </c>
      <c r="B982" s="105" t="s">
        <v>117</v>
      </c>
      <c r="C982" s="117"/>
      <c r="D982" s="105" t="s">
        <v>179</v>
      </c>
      <c r="E982" s="119"/>
      <c r="F982" s="160">
        <f>OnPeak</f>
        <v>0.13200000000000001</v>
      </c>
      <c r="G982" s="161">
        <f>IF(AND(E949*12&gt;=150000),0.18*E949*E951,0.18*E949)</f>
        <v>570240</v>
      </c>
      <c r="H982" s="157">
        <f t="shared" si="172"/>
        <v>75271.680000000008</v>
      </c>
      <c r="I982" s="162">
        <f>OnPeak</f>
        <v>0.13200000000000001</v>
      </c>
      <c r="J982" s="161">
        <f>IF(AND(E949*12&gt;=150000),0.18*E949*E952,0.18*E949)</f>
        <v>570240</v>
      </c>
      <c r="K982" s="157">
        <f t="shared" si="173"/>
        <v>75271.680000000008</v>
      </c>
      <c r="L982" s="125">
        <f>K982-H982</f>
        <v>0</v>
      </c>
      <c r="M982" s="126">
        <f t="shared" si="174"/>
        <v>0</v>
      </c>
    </row>
    <row r="983" spans="1:13" hidden="1" x14ac:dyDescent="0.25">
      <c r="A983" s="100" t="str">
        <f t="shared" si="167"/>
        <v>GENERAL SERVICE 1,000 TO 4,999 KW SERVICE CLASSIFICATION</v>
      </c>
      <c r="B983" s="100" t="s">
        <v>180</v>
      </c>
      <c r="C983" s="117"/>
      <c r="D983" s="159" t="s">
        <v>181</v>
      </c>
      <c r="E983" s="119"/>
      <c r="F983" s="163">
        <v>0.1101</v>
      </c>
      <c r="G983" s="161">
        <f>IF(AND(E949*12&gt;=150000),E949*E951,E949)</f>
        <v>3168000</v>
      </c>
      <c r="H983" s="157">
        <f>G983*F983</f>
        <v>348796.8</v>
      </c>
      <c r="I983" s="164">
        <f>F983</f>
        <v>0.1101</v>
      </c>
      <c r="J983" s="161">
        <f>IF(AND(E949*12&gt;=150000),E949*E952,E949)</f>
        <v>3168000</v>
      </c>
      <c r="K983" s="157">
        <f t="shared" si="173"/>
        <v>348796.8</v>
      </c>
      <c r="L983" s="125">
        <f>K983-H983</f>
        <v>0</v>
      </c>
      <c r="M983" s="126">
        <f t="shared" si="174"/>
        <v>0</v>
      </c>
    </row>
    <row r="984" spans="1:13" ht="15.75" thickBot="1" x14ac:dyDescent="0.3">
      <c r="A984" s="100" t="str">
        <f t="shared" si="167"/>
        <v>GENERAL SERVICE 1,000 TO 4,999 KW SERVICE CLASSIFICATION</v>
      </c>
      <c r="B984" s="100" t="s">
        <v>121</v>
      </c>
      <c r="C984" s="117"/>
      <c r="D984" s="159" t="s">
        <v>182</v>
      </c>
      <c r="E984" s="119"/>
      <c r="F984" s="163">
        <v>0.1101</v>
      </c>
      <c r="G984" s="161">
        <f>IF(AND(E949*12&gt;=150000),E949*E951,E949)</f>
        <v>3168000</v>
      </c>
      <c r="H984" s="157">
        <f>G984*F984</f>
        <v>348796.8</v>
      </c>
      <c r="I984" s="164">
        <f>F984</f>
        <v>0.1101</v>
      </c>
      <c r="J984" s="161">
        <f>IF(AND(E949*12&gt;=150000),E949*E952,E949)</f>
        <v>3168000</v>
      </c>
      <c r="K984" s="157">
        <f t="shared" si="173"/>
        <v>348796.8</v>
      </c>
      <c r="L984" s="125">
        <f>K984-H984</f>
        <v>0</v>
      </c>
      <c r="M984" s="126">
        <f t="shared" si="174"/>
        <v>0</v>
      </c>
    </row>
    <row r="985" spans="1:13" ht="15.75" thickBot="1" x14ac:dyDescent="0.3">
      <c r="A985" s="100" t="str">
        <f t="shared" si="167"/>
        <v>GENERAL SERVICE 1,000 TO 4,999 KW SERVICE CLASSIFICATION</v>
      </c>
      <c r="B985" s="105"/>
      <c r="C985" s="117"/>
      <c r="D985" s="165"/>
      <c r="E985" s="166"/>
      <c r="F985" s="167"/>
      <c r="G985" s="168"/>
      <c r="H985" s="169"/>
      <c r="I985" s="167"/>
      <c r="J985" s="170"/>
      <c r="K985" s="169"/>
      <c r="L985" s="171"/>
      <c r="M985" s="172"/>
    </row>
    <row r="986" spans="1:13" hidden="1" x14ac:dyDescent="0.25">
      <c r="A986" s="100" t="str">
        <f t="shared" si="167"/>
        <v>GENERAL SERVICE 1,000 TO 4,999 KW SERVICE CLASSIFICATION</v>
      </c>
      <c r="B986" s="105" t="s">
        <v>117</v>
      </c>
      <c r="C986" s="117"/>
      <c r="D986" s="173" t="s">
        <v>183</v>
      </c>
      <c r="E986" s="158"/>
      <c r="F986" s="174"/>
      <c r="G986" s="175"/>
      <c r="H986" s="176">
        <f>SUM(H976:H982,H975)</f>
        <v>302810.12</v>
      </c>
      <c r="I986" s="177"/>
      <c r="J986" s="177"/>
      <c r="K986" s="176">
        <f>SUM(K976:K982,K975)</f>
        <v>346910.12</v>
      </c>
      <c r="L986" s="178">
        <f>K986-H986</f>
        <v>44100</v>
      </c>
      <c r="M986" s="179">
        <f>IF((H986)=0,"",(L986/H986))</f>
        <v>0.14563581956904215</v>
      </c>
    </row>
    <row r="987" spans="1:13" hidden="1" x14ac:dyDescent="0.25">
      <c r="A987" s="100" t="str">
        <f t="shared" si="167"/>
        <v>GENERAL SERVICE 1,000 TO 4,999 KW SERVICE CLASSIFICATION</v>
      </c>
      <c r="B987" s="105" t="s">
        <v>117</v>
      </c>
      <c r="C987" s="117"/>
      <c r="D987" s="180" t="s">
        <v>184</v>
      </c>
      <c r="E987" s="158"/>
      <c r="F987" s="174">
        <v>0.13</v>
      </c>
      <c r="G987" s="181"/>
      <c r="H987" s="182">
        <f>H986*F987</f>
        <v>39365.315600000002</v>
      </c>
      <c r="I987" s="183">
        <v>0.13</v>
      </c>
      <c r="J987" s="121"/>
      <c r="K987" s="182">
        <f>K986*I987</f>
        <v>45098.315600000002</v>
      </c>
      <c r="L987" s="184">
        <f>K987-H987</f>
        <v>5733</v>
      </c>
      <c r="M987" s="185">
        <f>IF((H987)=0,"",(L987/H987))</f>
        <v>0.14563581956904215</v>
      </c>
    </row>
    <row r="988" spans="1:13" hidden="1" x14ac:dyDescent="0.25">
      <c r="A988" s="100" t="str">
        <f t="shared" si="167"/>
        <v>GENERAL SERVICE 1,000 TO 4,999 KW SERVICE CLASSIFICATION</v>
      </c>
      <c r="B988" s="105" t="s">
        <v>117</v>
      </c>
      <c r="C988" s="117"/>
      <c r="D988" s="180" t="s">
        <v>185</v>
      </c>
      <c r="E988" s="158"/>
      <c r="F988" s="174">
        <v>0.08</v>
      </c>
      <c r="G988" s="181"/>
      <c r="H988" s="182">
        <v>0</v>
      </c>
      <c r="I988" s="174">
        <v>0.08</v>
      </c>
      <c r="J988" s="121"/>
      <c r="K988" s="182">
        <v>0</v>
      </c>
      <c r="L988" s="184">
        <f>K988-H988</f>
        <v>0</v>
      </c>
      <c r="M988" s="185"/>
    </row>
    <row r="989" spans="1:13" hidden="1" x14ac:dyDescent="0.25">
      <c r="A989" s="100" t="str">
        <f t="shared" si="167"/>
        <v>GENERAL SERVICE 1,000 TO 4,999 KW SERVICE CLASSIFICATION</v>
      </c>
      <c r="B989" s="105" t="s">
        <v>186</v>
      </c>
      <c r="C989" s="117"/>
      <c r="D989" s="301" t="s">
        <v>187</v>
      </c>
      <c r="E989" s="301"/>
      <c r="F989" s="186"/>
      <c r="G989" s="187"/>
      <c r="H989" s="188">
        <f>H986+H987+H988</f>
        <v>342175.43559999997</v>
      </c>
      <c r="I989" s="189"/>
      <c r="J989" s="189"/>
      <c r="K989" s="190">
        <f>K986+K987+K988</f>
        <v>392008.43559999997</v>
      </c>
      <c r="L989" s="191">
        <f>K989-H989</f>
        <v>49833</v>
      </c>
      <c r="M989" s="192">
        <f>IF((H989)=0,"",(L989/H989))</f>
        <v>0.14563581956904215</v>
      </c>
    </row>
    <row r="990" spans="1:13" ht="15.75" hidden="1" thickBot="1" x14ac:dyDescent="0.3">
      <c r="A990" s="100" t="str">
        <f t="shared" si="167"/>
        <v>GENERAL SERVICE 1,000 TO 4,999 KW SERVICE CLASSIFICATION</v>
      </c>
      <c r="B990" s="100" t="s">
        <v>117</v>
      </c>
      <c r="C990" s="117"/>
      <c r="D990" s="165"/>
      <c r="E990" s="166"/>
      <c r="F990" s="167"/>
      <c r="G990" s="168"/>
      <c r="H990" s="169"/>
      <c r="I990" s="167"/>
      <c r="J990" s="170"/>
      <c r="K990" s="169"/>
      <c r="L990" s="171"/>
      <c r="M990" s="172"/>
    </row>
    <row r="991" spans="1:13" hidden="1" x14ac:dyDescent="0.25">
      <c r="A991" s="100" t="str">
        <f t="shared" si="167"/>
        <v>GENERAL SERVICE 1,000 TO 4,999 KW SERVICE CLASSIFICATION</v>
      </c>
      <c r="B991" s="100" t="s">
        <v>180</v>
      </c>
      <c r="C991" s="117"/>
      <c r="D991" s="173" t="s">
        <v>188</v>
      </c>
      <c r="E991" s="158"/>
      <c r="F991" s="174"/>
      <c r="G991" s="175"/>
      <c r="H991" s="176">
        <f>SUM(H983,H976:H979,H975)</f>
        <v>391862.6</v>
      </c>
      <c r="I991" s="177"/>
      <c r="J991" s="177"/>
      <c r="K991" s="176">
        <f>SUM(K983,K976:K979,K975)</f>
        <v>435962.6</v>
      </c>
      <c r="L991" s="178">
        <f>K991-H991</f>
        <v>44100</v>
      </c>
      <c r="M991" s="179">
        <f>IF((H991)=0,"",(L991/H991))</f>
        <v>0.1125394462242633</v>
      </c>
    </row>
    <row r="992" spans="1:13" hidden="1" x14ac:dyDescent="0.25">
      <c r="A992" s="100" t="str">
        <f t="shared" si="167"/>
        <v>GENERAL SERVICE 1,000 TO 4,999 KW SERVICE CLASSIFICATION</v>
      </c>
      <c r="B992" s="100" t="s">
        <v>180</v>
      </c>
      <c r="C992" s="117"/>
      <c r="D992" s="180" t="s">
        <v>184</v>
      </c>
      <c r="E992" s="158"/>
      <c r="F992" s="174">
        <v>0.13</v>
      </c>
      <c r="G992" s="175"/>
      <c r="H992" s="182">
        <f>H991*F992</f>
        <v>50942.137999999999</v>
      </c>
      <c r="I992" s="174">
        <v>0.13</v>
      </c>
      <c r="J992" s="183"/>
      <c r="K992" s="182">
        <f>K991*I992</f>
        <v>56675.137999999999</v>
      </c>
      <c r="L992" s="184">
        <f>K992-H992</f>
        <v>5733</v>
      </c>
      <c r="M992" s="185">
        <f>IF((H992)=0,"",(L992/H992))</f>
        <v>0.1125394462242633</v>
      </c>
    </row>
    <row r="993" spans="1:13" hidden="1" x14ac:dyDescent="0.25">
      <c r="A993" s="100" t="str">
        <f t="shared" si="167"/>
        <v>GENERAL SERVICE 1,000 TO 4,999 KW SERVICE CLASSIFICATION</v>
      </c>
      <c r="B993" s="100" t="s">
        <v>180</v>
      </c>
      <c r="C993" s="117"/>
      <c r="D993" s="180" t="s">
        <v>185</v>
      </c>
      <c r="E993" s="158"/>
      <c r="F993" s="174">
        <v>0.08</v>
      </c>
      <c r="G993" s="175"/>
      <c r="H993" s="182">
        <v>0</v>
      </c>
      <c r="I993" s="174">
        <v>0.08</v>
      </c>
      <c r="J993" s="183"/>
      <c r="K993" s="182">
        <v>0</v>
      </c>
      <c r="L993" s="184"/>
      <c r="M993" s="185"/>
    </row>
    <row r="994" spans="1:13" hidden="1" x14ac:dyDescent="0.25">
      <c r="A994" s="100" t="str">
        <f t="shared" si="167"/>
        <v>GENERAL SERVICE 1,000 TO 4,999 KW SERVICE CLASSIFICATION</v>
      </c>
      <c r="B994" s="100" t="s">
        <v>189</v>
      </c>
      <c r="C994" s="117"/>
      <c r="D994" s="301" t="s">
        <v>188</v>
      </c>
      <c r="E994" s="301"/>
      <c r="F994" s="193"/>
      <c r="G994" s="194"/>
      <c r="H994" s="188">
        <f>SUM(H991,H992)</f>
        <v>442804.73799999995</v>
      </c>
      <c r="I994" s="195"/>
      <c r="J994" s="195"/>
      <c r="K994" s="188">
        <f>SUM(K991,K992)</f>
        <v>492637.73799999995</v>
      </c>
      <c r="L994" s="196">
        <f>K994-H994</f>
        <v>49833</v>
      </c>
      <c r="M994" s="197">
        <f>IF((H994)=0,"",(L994/H994))</f>
        <v>0.11253944622426332</v>
      </c>
    </row>
    <row r="995" spans="1:13" ht="15.75" hidden="1" thickBot="1" x14ac:dyDescent="0.3">
      <c r="A995" s="100" t="str">
        <f t="shared" si="167"/>
        <v>GENERAL SERVICE 1,000 TO 4,999 KW SERVICE CLASSIFICATION</v>
      </c>
      <c r="B995" s="100" t="s">
        <v>180</v>
      </c>
      <c r="C995" s="117"/>
      <c r="D995" s="165"/>
      <c r="E995" s="166"/>
      <c r="F995" s="198"/>
      <c r="G995" s="199"/>
      <c r="H995" s="200"/>
      <c r="I995" s="198"/>
      <c r="J995" s="168"/>
      <c r="K995" s="200"/>
      <c r="L995" s="201"/>
      <c r="M995" s="172"/>
    </row>
    <row r="996" spans="1:13" x14ac:dyDescent="0.25">
      <c r="A996" s="100" t="str">
        <f t="shared" si="167"/>
        <v>GENERAL SERVICE 1,000 TO 4,999 KW SERVICE CLASSIFICATION</v>
      </c>
      <c r="B996" s="100" t="s">
        <v>121</v>
      </c>
      <c r="C996" s="117"/>
      <c r="D996" s="173" t="s">
        <v>190</v>
      </c>
      <c r="E996" s="158"/>
      <c r="F996" s="174"/>
      <c r="G996" s="175"/>
      <c r="H996" s="176">
        <f>SUM(H984,H976:H979,H975)</f>
        <v>391862.6</v>
      </c>
      <c r="I996" s="177"/>
      <c r="J996" s="177"/>
      <c r="K996" s="176">
        <f>SUM(K984,K976:K979,K975)</f>
        <v>435962.6</v>
      </c>
      <c r="L996" s="178">
        <f>K996-H996</f>
        <v>44100</v>
      </c>
      <c r="M996" s="179">
        <f>IF((H996)=0,"",(L996/H996))</f>
        <v>0.1125394462242633</v>
      </c>
    </row>
    <row r="997" spans="1:13" x14ac:dyDescent="0.25">
      <c r="A997" s="100" t="str">
        <f t="shared" si="167"/>
        <v>GENERAL SERVICE 1,000 TO 4,999 KW SERVICE CLASSIFICATION</v>
      </c>
      <c r="B997" s="100" t="s">
        <v>121</v>
      </c>
      <c r="C997" s="117"/>
      <c r="D997" s="180" t="s">
        <v>184</v>
      </c>
      <c r="E997" s="158"/>
      <c r="F997" s="174">
        <v>0.13</v>
      </c>
      <c r="G997" s="175"/>
      <c r="H997" s="182">
        <f>H996*F997</f>
        <v>50942.137999999999</v>
      </c>
      <c r="I997" s="174">
        <v>0.13</v>
      </c>
      <c r="J997" s="183"/>
      <c r="K997" s="182">
        <f>K996*I997</f>
        <v>56675.137999999999</v>
      </c>
      <c r="L997" s="184">
        <f>K997-H997</f>
        <v>5733</v>
      </c>
      <c r="M997" s="185">
        <f>IF((H997)=0,"",(L997/H997))</f>
        <v>0.1125394462242633</v>
      </c>
    </row>
    <row r="998" spans="1:13" x14ac:dyDescent="0.25">
      <c r="A998" s="100" t="str">
        <f t="shared" si="167"/>
        <v>GENERAL SERVICE 1,000 TO 4,999 KW SERVICE CLASSIFICATION</v>
      </c>
      <c r="B998" s="100" t="s">
        <v>121</v>
      </c>
      <c r="C998" s="117"/>
      <c r="D998" s="180" t="s">
        <v>185</v>
      </c>
      <c r="E998" s="158"/>
      <c r="F998" s="174">
        <v>0.08</v>
      </c>
      <c r="G998" s="175"/>
      <c r="H998" s="182">
        <v>0</v>
      </c>
      <c r="I998" s="174">
        <v>0.08</v>
      </c>
      <c r="J998" s="183"/>
      <c r="K998" s="182">
        <v>0</v>
      </c>
      <c r="L998" s="184"/>
      <c r="M998" s="185"/>
    </row>
    <row r="999" spans="1:13" ht="15.75" thickBot="1" x14ac:dyDescent="0.3">
      <c r="A999" s="100" t="str">
        <f t="shared" si="167"/>
        <v>GENERAL SERVICE 1,000 TO 4,999 KW SERVICE CLASSIFICATION</v>
      </c>
      <c r="B999" s="100" t="s">
        <v>191</v>
      </c>
      <c r="C999" s="117">
        <f>B19</f>
        <v>17</v>
      </c>
      <c r="D999" s="301" t="s">
        <v>190</v>
      </c>
      <c r="E999" s="301"/>
      <c r="F999" s="193"/>
      <c r="G999" s="194"/>
      <c r="H999" s="188">
        <f>SUM(H996,H997)</f>
        <v>442804.73799999995</v>
      </c>
      <c r="I999" s="195"/>
      <c r="J999" s="195"/>
      <c r="K999" s="188">
        <f>SUM(K996,K997)</f>
        <v>492637.73799999995</v>
      </c>
      <c r="L999" s="196">
        <f>K999-H999</f>
        <v>49833</v>
      </c>
      <c r="M999" s="197">
        <f>IF((H999)=0,"",(L999/H999))</f>
        <v>0.11253944622426332</v>
      </c>
    </row>
    <row r="1000" spans="1:13" ht="15.75" thickBot="1" x14ac:dyDescent="0.3">
      <c r="A1000" s="100" t="str">
        <f t="shared" si="167"/>
        <v>GENERAL SERVICE 1,000 TO 4,999 KW SERVICE CLASSIFICATION</v>
      </c>
      <c r="B1000" s="100" t="s">
        <v>121</v>
      </c>
      <c r="C1000" s="117"/>
      <c r="D1000" s="165"/>
      <c r="E1000" s="166"/>
      <c r="F1000" s="202"/>
      <c r="G1000" s="203"/>
      <c r="H1000" s="204"/>
      <c r="I1000" s="202"/>
      <c r="J1000" s="205"/>
      <c r="K1000" s="204"/>
      <c r="L1000" s="206"/>
      <c r="M1000" s="207"/>
    </row>
    <row r="1003" spans="1:13" x14ac:dyDescent="0.25">
      <c r="C1003" s="100"/>
      <c r="D1003" s="101" t="s">
        <v>134</v>
      </c>
      <c r="E1003" s="302" t="str">
        <f>D20</f>
        <v>GENERAL SERVICE 50 TO 999 KW SERVICE CLASSIFICATION</v>
      </c>
      <c r="F1003" s="302"/>
      <c r="G1003" s="302"/>
      <c r="H1003" s="302"/>
      <c r="I1003" s="302"/>
      <c r="J1003" s="302"/>
      <c r="K1003" s="100" t="str">
        <f>IF(N20="DEMAND - INTERVAL","RTSR - INTERVAL METERED","")</f>
        <v/>
      </c>
    </row>
    <row r="1004" spans="1:13" x14ac:dyDescent="0.25">
      <c r="C1004" s="100"/>
      <c r="D1004" s="101" t="s">
        <v>135</v>
      </c>
      <c r="E1004" s="303" t="str">
        <f>H20</f>
        <v>RPP</v>
      </c>
      <c r="F1004" s="303"/>
      <c r="G1004" s="303"/>
      <c r="H1004" s="102"/>
      <c r="I1004" s="102"/>
    </row>
    <row r="1005" spans="1:13" ht="15.75" x14ac:dyDescent="0.25">
      <c r="C1005" s="100"/>
      <c r="D1005" s="101" t="s">
        <v>136</v>
      </c>
      <c r="E1005" s="103">
        <f>K20</f>
        <v>69000</v>
      </c>
      <c r="F1005" s="104" t="s">
        <v>137</v>
      </c>
      <c r="G1005" s="105"/>
      <c r="J1005" s="106"/>
      <c r="K1005" s="106"/>
      <c r="L1005" s="106"/>
      <c r="M1005" s="106"/>
    </row>
    <row r="1006" spans="1:13" ht="15.75" x14ac:dyDescent="0.25">
      <c r="C1006" s="100"/>
      <c r="D1006" s="101" t="s">
        <v>138</v>
      </c>
      <c r="E1006" s="103">
        <f>L20</f>
        <v>160</v>
      </c>
      <c r="F1006" s="107" t="s">
        <v>139</v>
      </c>
      <c r="G1006" s="108"/>
      <c r="H1006" s="109"/>
      <c r="I1006" s="109"/>
      <c r="J1006" s="109"/>
    </row>
    <row r="1007" spans="1:13" x14ac:dyDescent="0.25">
      <c r="C1007" s="100"/>
      <c r="D1007" s="101" t="s">
        <v>140</v>
      </c>
      <c r="E1007" s="110">
        <f>I20</f>
        <v>1.056</v>
      </c>
    </row>
    <row r="1008" spans="1:13" x14ac:dyDescent="0.25">
      <c r="C1008" s="100"/>
      <c r="D1008" s="101" t="s">
        <v>141</v>
      </c>
      <c r="E1008" s="110">
        <f>J20</f>
        <v>1.056</v>
      </c>
    </row>
    <row r="1009" spans="1:13" x14ac:dyDescent="0.25">
      <c r="C1009" s="100"/>
      <c r="D1009" s="105"/>
    </row>
    <row r="1010" spans="1:13" x14ac:dyDescent="0.25">
      <c r="C1010" s="100"/>
      <c r="D1010" s="105"/>
      <c r="E1010" s="111"/>
      <c r="F1010" s="304" t="s">
        <v>142</v>
      </c>
      <c r="G1010" s="305"/>
      <c r="H1010" s="306"/>
      <c r="I1010" s="304" t="s">
        <v>143</v>
      </c>
      <c r="J1010" s="305"/>
      <c r="K1010" s="306"/>
      <c r="L1010" s="304" t="s">
        <v>144</v>
      </c>
      <c r="M1010" s="306"/>
    </row>
    <row r="1011" spans="1:13" x14ac:dyDescent="0.25">
      <c r="C1011" s="100"/>
      <c r="D1011" s="105"/>
      <c r="E1011" s="295"/>
      <c r="F1011" s="112" t="s">
        <v>145</v>
      </c>
      <c r="G1011" s="112" t="s">
        <v>146</v>
      </c>
      <c r="H1011" s="113" t="s">
        <v>147</v>
      </c>
      <c r="I1011" s="112" t="s">
        <v>145</v>
      </c>
      <c r="J1011" s="114" t="s">
        <v>146</v>
      </c>
      <c r="K1011" s="113" t="s">
        <v>147</v>
      </c>
      <c r="L1011" s="297" t="s">
        <v>148</v>
      </c>
      <c r="M1011" s="299" t="s">
        <v>149</v>
      </c>
    </row>
    <row r="1012" spans="1:13" x14ac:dyDescent="0.25">
      <c r="C1012" s="100"/>
      <c r="D1012" s="105"/>
      <c r="E1012" s="296"/>
      <c r="F1012" s="115" t="s">
        <v>150</v>
      </c>
      <c r="G1012" s="115"/>
      <c r="H1012" s="116" t="s">
        <v>150</v>
      </c>
      <c r="I1012" s="115" t="s">
        <v>150</v>
      </c>
      <c r="J1012" s="116"/>
      <c r="K1012" s="116" t="s">
        <v>150</v>
      </c>
      <c r="L1012" s="298"/>
      <c r="M1012" s="300"/>
    </row>
    <row r="1013" spans="1:13" x14ac:dyDescent="0.25">
      <c r="A1013" s="100" t="str">
        <f>$E1003</f>
        <v>GENERAL SERVICE 50 TO 999 KW SERVICE CLASSIFICATION</v>
      </c>
      <c r="C1013" s="117"/>
      <c r="D1013" s="118" t="s">
        <v>151</v>
      </c>
      <c r="E1013" s="119"/>
      <c r="F1013" s="120">
        <v>86.83</v>
      </c>
      <c r="G1013" s="121">
        <v>1</v>
      </c>
      <c r="H1013" s="122">
        <f>G1013*F1013</f>
        <v>86.83</v>
      </c>
      <c r="I1013" s="123">
        <v>87.87</v>
      </c>
      <c r="J1013" s="124">
        <f>G1013</f>
        <v>1</v>
      </c>
      <c r="K1013" s="122">
        <f t="shared" ref="K1013:K1018" si="175">H1013</f>
        <v>86.83</v>
      </c>
      <c r="L1013" s="125">
        <f t="shared" ref="L1013:L1034" si="176">K1013-H1013</f>
        <v>0</v>
      </c>
      <c r="M1013" s="126">
        <f>IF(ISERROR(L1013/H1013), "", L1013/H1013)</f>
        <v>0</v>
      </c>
    </row>
    <row r="1014" spans="1:13" x14ac:dyDescent="0.25">
      <c r="A1014" s="100" t="str">
        <f>A1013</f>
        <v>GENERAL SERVICE 50 TO 999 KW SERVICE CLASSIFICATION</v>
      </c>
      <c r="C1014" s="117"/>
      <c r="D1014" s="118" t="s">
        <v>152</v>
      </c>
      <c r="E1014" s="119"/>
      <c r="F1014" s="127">
        <v>3.8580000000000001</v>
      </c>
      <c r="G1014" s="121">
        <f>IF($E1006&gt;0, $E1006, $E1005)</f>
        <v>160</v>
      </c>
      <c r="H1014" s="122">
        <f t="shared" ref="H1014:H1026" si="177">G1014*F1014</f>
        <v>617.28</v>
      </c>
      <c r="I1014" s="128">
        <v>3.9043000000000001</v>
      </c>
      <c r="J1014" s="124">
        <f>IF($E1006&gt;0, $E1006, $E1005)</f>
        <v>160</v>
      </c>
      <c r="K1014" s="122">
        <f t="shared" si="175"/>
        <v>617.28</v>
      </c>
      <c r="L1014" s="125">
        <f t="shared" si="176"/>
        <v>0</v>
      </c>
      <c r="M1014" s="126">
        <f t="shared" ref="M1014:M1024" si="178">IF(ISERROR(L1014/H1014), "", L1014/H1014)</f>
        <v>0</v>
      </c>
    </row>
    <row r="1015" spans="1:13" x14ac:dyDescent="0.25">
      <c r="A1015" s="100" t="str">
        <f t="shared" ref="A1015:A1056" si="179">A1014</f>
        <v>GENERAL SERVICE 50 TO 999 KW SERVICE CLASSIFICATION</v>
      </c>
      <c r="C1015" s="117"/>
      <c r="D1015" s="118" t="s">
        <v>153</v>
      </c>
      <c r="E1015" s="119"/>
      <c r="F1015" s="127"/>
      <c r="G1015" s="121">
        <f>IF($E1006&gt;0, $E1006, $E1005)</f>
        <v>160</v>
      </c>
      <c r="H1015" s="122">
        <v>0</v>
      </c>
      <c r="I1015" s="128"/>
      <c r="J1015" s="124">
        <f>IF($E1006&gt;0, $E1006, $E1005)</f>
        <v>160</v>
      </c>
      <c r="K1015" s="122">
        <f t="shared" si="175"/>
        <v>0</v>
      </c>
      <c r="L1015" s="125"/>
      <c r="M1015" s="126"/>
    </row>
    <row r="1016" spans="1:13" x14ac:dyDescent="0.25">
      <c r="A1016" s="100" t="str">
        <f t="shared" si="179"/>
        <v>GENERAL SERVICE 50 TO 999 KW SERVICE CLASSIFICATION</v>
      </c>
      <c r="C1016" s="117"/>
      <c r="D1016" s="118" t="s">
        <v>154</v>
      </c>
      <c r="E1016" s="119"/>
      <c r="F1016" s="127"/>
      <c r="G1016" s="121">
        <f>IF($E1006&gt;0, $E1006, $E1005)</f>
        <v>160</v>
      </c>
      <c r="H1016" s="122">
        <v>0</v>
      </c>
      <c r="I1016" s="128"/>
      <c r="J1016" s="121">
        <f>IF($E1006&gt;0, $E1006, $E1005)</f>
        <v>160</v>
      </c>
      <c r="K1016" s="122">
        <f t="shared" si="175"/>
        <v>0</v>
      </c>
      <c r="L1016" s="125">
        <f>K1016-H1016</f>
        <v>0</v>
      </c>
      <c r="M1016" s="126" t="str">
        <f>IF(ISERROR(L1016/H1016), "", L1016/H1016)</f>
        <v/>
      </c>
    </row>
    <row r="1017" spans="1:13" x14ac:dyDescent="0.25">
      <c r="A1017" s="100" t="str">
        <f t="shared" si="179"/>
        <v>GENERAL SERVICE 50 TO 999 KW SERVICE CLASSIFICATION</v>
      </c>
      <c r="C1017" s="117"/>
      <c r="D1017" s="129" t="s">
        <v>155</v>
      </c>
      <c r="E1017" s="119"/>
      <c r="F1017" s="120">
        <v>0</v>
      </c>
      <c r="G1017" s="121">
        <v>1</v>
      </c>
      <c r="H1017" s="122">
        <f t="shared" si="177"/>
        <v>0</v>
      </c>
      <c r="I1017" s="123">
        <v>0</v>
      </c>
      <c r="J1017" s="124">
        <f>G1017</f>
        <v>1</v>
      </c>
      <c r="K1017" s="122">
        <f t="shared" si="175"/>
        <v>0</v>
      </c>
      <c r="L1017" s="125">
        <f t="shared" si="176"/>
        <v>0</v>
      </c>
      <c r="M1017" s="126" t="str">
        <f t="shared" si="178"/>
        <v/>
      </c>
    </row>
    <row r="1018" spans="1:13" x14ac:dyDescent="0.25">
      <c r="A1018" s="100" t="str">
        <f t="shared" si="179"/>
        <v>GENERAL SERVICE 50 TO 999 KW SERVICE CLASSIFICATION</v>
      </c>
      <c r="C1018" s="117"/>
      <c r="D1018" s="118" t="s">
        <v>156</v>
      </c>
      <c r="E1018" s="119"/>
      <c r="F1018" s="127">
        <v>0</v>
      </c>
      <c r="G1018" s="121">
        <f>IF($E1006&gt;0, $E1006, $E1005)</f>
        <v>160</v>
      </c>
      <c r="H1018" s="122">
        <f t="shared" si="177"/>
        <v>0</v>
      </c>
      <c r="I1018" s="128">
        <v>0</v>
      </c>
      <c r="J1018" s="124">
        <f>IF($E1006&gt;0, $E1006, $E1005)</f>
        <v>160</v>
      </c>
      <c r="K1018" s="122">
        <f t="shared" si="175"/>
        <v>0</v>
      </c>
      <c r="L1018" s="125">
        <f t="shared" si="176"/>
        <v>0</v>
      </c>
      <c r="M1018" s="126" t="str">
        <f t="shared" si="178"/>
        <v/>
      </c>
    </row>
    <row r="1019" spans="1:13" x14ac:dyDescent="0.25">
      <c r="A1019" s="100" t="str">
        <f t="shared" si="179"/>
        <v>GENERAL SERVICE 50 TO 999 KW SERVICE CLASSIFICATION</v>
      </c>
      <c r="B1019" s="130" t="s">
        <v>157</v>
      </c>
      <c r="C1019" s="117">
        <f>B20</f>
        <v>18</v>
      </c>
      <c r="D1019" s="131" t="s">
        <v>158</v>
      </c>
      <c r="E1019" s="132"/>
      <c r="F1019" s="133"/>
      <c r="G1019" s="134"/>
      <c r="H1019" s="135">
        <f>SUM(H1013:H1018)</f>
        <v>704.11</v>
      </c>
      <c r="I1019" s="136"/>
      <c r="J1019" s="137"/>
      <c r="K1019" s="135">
        <f>SUM(K1013:K1018)</f>
        <v>704.11</v>
      </c>
      <c r="L1019" s="138">
        <f t="shared" si="176"/>
        <v>0</v>
      </c>
      <c r="M1019" s="139">
        <f>IF((H1019)=0,"",(L1019/H1019))</f>
        <v>0</v>
      </c>
    </row>
    <row r="1020" spans="1:13" x14ac:dyDescent="0.25">
      <c r="A1020" s="100" t="str">
        <f t="shared" si="179"/>
        <v>GENERAL SERVICE 50 TO 999 KW SERVICE CLASSIFICATION</v>
      </c>
      <c r="C1020" s="117"/>
      <c r="D1020" s="140" t="s">
        <v>159</v>
      </c>
      <c r="E1020" s="119"/>
      <c r="F1020" s="127">
        <f>IF((E1005*12&gt;=150000), 0, IF(E1004="RPP",(F1036*0.65+F1037*0.17+F1038*0.18),IF(E1004="Non-RPP (Retailer)",F1039,F1040)))</f>
        <v>0</v>
      </c>
      <c r="G1020" s="141">
        <f>IF(F1020=0, 0, $E1005*E1007-E1005)</f>
        <v>0</v>
      </c>
      <c r="H1020" s="122">
        <f>G1020*F1020</f>
        <v>0</v>
      </c>
      <c r="I1020" s="128">
        <f>IF((E1005*12&gt;=150000), 0, IF(E1004="RPP",(I1036*0.65+I1037*0.17+I1038*0.18),IF(E1004="Non-RPP (Retailer)",I1039,I1040)))</f>
        <v>0</v>
      </c>
      <c r="J1020" s="141">
        <f>IF(I1020=0, 0, E1005*E1008-E1005)</f>
        <v>0</v>
      </c>
      <c r="K1020" s="122">
        <f t="shared" ref="K1020:K1022" si="180">H1020</f>
        <v>0</v>
      </c>
      <c r="L1020" s="125">
        <f>K1020-H1020</f>
        <v>0</v>
      </c>
      <c r="M1020" s="126" t="str">
        <f>IF(ISERROR(L1020/H1020), "", L1020/H1020)</f>
        <v/>
      </c>
    </row>
    <row r="1021" spans="1:13" ht="25.5" x14ac:dyDescent="0.25">
      <c r="A1021" s="100" t="str">
        <f t="shared" si="179"/>
        <v>GENERAL SERVICE 50 TO 999 KW SERVICE CLASSIFICATION</v>
      </c>
      <c r="C1021" s="117"/>
      <c r="D1021" s="140" t="s">
        <v>160</v>
      </c>
      <c r="E1021" s="119"/>
      <c r="F1021" s="127">
        <v>-0.70650000000000002</v>
      </c>
      <c r="G1021" s="142">
        <f>IF($E1006&gt;0, $E1006, $E1005)</f>
        <v>160</v>
      </c>
      <c r="H1021" s="122">
        <f t="shared" si="177"/>
        <v>-113.04</v>
      </c>
      <c r="I1021" s="128">
        <v>-1.7801</v>
      </c>
      <c r="J1021" s="142">
        <f>IF($E1006&gt;0, $E1006, $E1005)</f>
        <v>160</v>
      </c>
      <c r="K1021" s="122">
        <f t="shared" si="180"/>
        <v>-113.04</v>
      </c>
      <c r="L1021" s="125">
        <f t="shared" si="176"/>
        <v>0</v>
      </c>
      <c r="M1021" s="126">
        <f t="shared" si="178"/>
        <v>0</v>
      </c>
    </row>
    <row r="1022" spans="1:13" x14ac:dyDescent="0.25">
      <c r="A1022" s="100" t="str">
        <f t="shared" si="179"/>
        <v>GENERAL SERVICE 50 TO 999 KW SERVICE CLASSIFICATION</v>
      </c>
      <c r="C1022" s="117"/>
      <c r="D1022" s="140" t="s">
        <v>161</v>
      </c>
      <c r="E1022" s="119"/>
      <c r="F1022" s="127">
        <v>-2.76E-2</v>
      </c>
      <c r="G1022" s="142">
        <f>IF($E1006&gt;0, $E1006, $E1005)</f>
        <v>160</v>
      </c>
      <c r="H1022" s="122">
        <f>G1022*F1022</f>
        <v>-4.4160000000000004</v>
      </c>
      <c r="I1022" s="128">
        <v>0</v>
      </c>
      <c r="J1022" s="142">
        <f>IF($E1006&gt;0, $E1006, $E1005)</f>
        <v>160</v>
      </c>
      <c r="K1022" s="122">
        <f t="shared" si="180"/>
        <v>-4.4160000000000004</v>
      </c>
      <c r="L1022" s="125">
        <f t="shared" si="176"/>
        <v>0</v>
      </c>
      <c r="M1022" s="126">
        <f t="shared" si="178"/>
        <v>0</v>
      </c>
    </row>
    <row r="1023" spans="1:13" x14ac:dyDescent="0.25">
      <c r="A1023" s="100" t="str">
        <f t="shared" si="179"/>
        <v>GENERAL SERVICE 50 TO 999 KW SERVICE CLASSIFICATION</v>
      </c>
      <c r="C1023" s="117"/>
      <c r="D1023" s="140" t="s">
        <v>162</v>
      </c>
      <c r="E1023" s="119"/>
      <c r="F1023" s="127">
        <v>0</v>
      </c>
      <c r="G1023" s="142">
        <f>E1005</f>
        <v>69000</v>
      </c>
      <c r="H1023" s="122">
        <f>G1023*F1023</f>
        <v>0</v>
      </c>
      <c r="I1023" s="128">
        <v>0</v>
      </c>
      <c r="J1023" s="142">
        <f>E1005</f>
        <v>69000</v>
      </c>
      <c r="K1023" s="122">
        <f t="shared" ref="K1023" si="181">J1023*I1023</f>
        <v>0</v>
      </c>
      <c r="L1023" s="125">
        <f t="shared" si="176"/>
        <v>0</v>
      </c>
      <c r="M1023" s="126" t="str">
        <f t="shared" si="178"/>
        <v/>
      </c>
    </row>
    <row r="1024" spans="1:13" x14ac:dyDescent="0.25">
      <c r="A1024" s="100" t="str">
        <f t="shared" si="179"/>
        <v>GENERAL SERVICE 50 TO 999 KW SERVICE CLASSIFICATION</v>
      </c>
      <c r="C1024" s="117"/>
      <c r="D1024" s="143" t="s">
        <v>163</v>
      </c>
      <c r="E1024" s="119"/>
      <c r="F1024" s="127">
        <v>1.0483</v>
      </c>
      <c r="G1024" s="142">
        <f>IF($E1006&gt;0, $E1006, $E1005)</f>
        <v>160</v>
      </c>
      <c r="H1024" s="122">
        <f t="shared" si="177"/>
        <v>167.72800000000001</v>
      </c>
      <c r="I1024" s="128">
        <v>1.0483</v>
      </c>
      <c r="J1024" s="142">
        <f>IF($E1006&gt;0, $E1006, $E1005)</f>
        <v>160</v>
      </c>
      <c r="K1024" s="122">
        <f t="shared" ref="K1024:K1027" si="182">H1024</f>
        <v>167.72800000000001</v>
      </c>
      <c r="L1024" s="125">
        <f t="shared" si="176"/>
        <v>0</v>
      </c>
      <c r="M1024" s="126">
        <f t="shared" si="178"/>
        <v>0</v>
      </c>
    </row>
    <row r="1025" spans="1:13" ht="25.5" x14ac:dyDescent="0.25">
      <c r="A1025" s="100" t="str">
        <f t="shared" si="179"/>
        <v>GENERAL SERVICE 50 TO 999 KW SERVICE CLASSIFICATION</v>
      </c>
      <c r="C1025" s="117"/>
      <c r="D1025" s="144" t="s">
        <v>164</v>
      </c>
      <c r="E1025" s="119"/>
      <c r="F1025" s="145">
        <f>IF(OR(ISNUMBER(SEARCH("RESIDENTIAL", E1003))=TRUE, ISNUMBER(SEARCH("GENERAL SERVICE LESS THAN 50", E1003))=TRUE), SME, 0)</f>
        <v>0</v>
      </c>
      <c r="G1025" s="121">
        <v>1</v>
      </c>
      <c r="H1025" s="122">
        <f>G1025*F1025</f>
        <v>0</v>
      </c>
      <c r="I1025" s="146">
        <f>IF(OR(ISNUMBER(SEARCH("RESIDENTIAL", E1003))=TRUE, ISNUMBER(SEARCH("GENERAL SERVICE LESS THAN 50", E1003))=TRUE), SME, 0)</f>
        <v>0</v>
      </c>
      <c r="J1025" s="121">
        <v>1</v>
      </c>
      <c r="K1025" s="122">
        <f t="shared" si="182"/>
        <v>0</v>
      </c>
      <c r="L1025" s="125">
        <f t="shared" si="176"/>
        <v>0</v>
      </c>
      <c r="M1025" s="126" t="str">
        <f>IF(ISERROR(L1025/H1025), "", L1025/H1025)</f>
        <v/>
      </c>
    </row>
    <row r="1026" spans="1:13" x14ac:dyDescent="0.25">
      <c r="A1026" s="100" t="str">
        <f t="shared" si="179"/>
        <v>GENERAL SERVICE 50 TO 999 KW SERVICE CLASSIFICATION</v>
      </c>
      <c r="C1026" s="117"/>
      <c r="D1026" s="143" t="s">
        <v>165</v>
      </c>
      <c r="E1026" s="119"/>
      <c r="F1026" s="120">
        <v>0</v>
      </c>
      <c r="G1026" s="121">
        <v>1</v>
      </c>
      <c r="H1026" s="122">
        <f t="shared" si="177"/>
        <v>0</v>
      </c>
      <c r="I1026" s="123">
        <v>0</v>
      </c>
      <c r="J1026" s="121">
        <v>1</v>
      </c>
      <c r="K1026" s="122">
        <f t="shared" si="182"/>
        <v>0</v>
      </c>
      <c r="L1026" s="125">
        <f>K1026-H1026</f>
        <v>0</v>
      </c>
      <c r="M1026" s="126" t="str">
        <f>IF(ISERROR(L1026/H1026), "", L1026/H1026)</f>
        <v/>
      </c>
    </row>
    <row r="1027" spans="1:13" x14ac:dyDescent="0.25">
      <c r="A1027" s="100" t="str">
        <f t="shared" si="179"/>
        <v>GENERAL SERVICE 50 TO 999 KW SERVICE CLASSIFICATION</v>
      </c>
      <c r="C1027" s="117"/>
      <c r="D1027" s="143" t="s">
        <v>166</v>
      </c>
      <c r="E1027" s="119"/>
      <c r="F1027" s="127"/>
      <c r="G1027" s="142">
        <f>IF($E1006&gt;0, $E1006, $E1005)</f>
        <v>160</v>
      </c>
      <c r="H1027" s="122">
        <f>G1027*F1027</f>
        <v>0</v>
      </c>
      <c r="I1027" s="128">
        <v>0</v>
      </c>
      <c r="J1027" s="142">
        <f>IF($E1006&gt;0, $E1006, $E1005)</f>
        <v>160</v>
      </c>
      <c r="K1027" s="122">
        <f t="shared" si="182"/>
        <v>0</v>
      </c>
      <c r="L1027" s="125">
        <f t="shared" si="176"/>
        <v>0</v>
      </c>
      <c r="M1027" s="126" t="str">
        <f>IF(ISERROR(L1027/H1027), "", L1027/H1027)</f>
        <v/>
      </c>
    </row>
    <row r="1028" spans="1:13" ht="25.5" x14ac:dyDescent="0.25">
      <c r="A1028" s="100" t="str">
        <f t="shared" si="179"/>
        <v>GENERAL SERVICE 50 TO 999 KW SERVICE CLASSIFICATION</v>
      </c>
      <c r="B1028" s="105" t="s">
        <v>167</v>
      </c>
      <c r="C1028" s="117">
        <f>B20</f>
        <v>18</v>
      </c>
      <c r="D1028" s="147" t="s">
        <v>168</v>
      </c>
      <c r="E1028" s="148"/>
      <c r="F1028" s="149"/>
      <c r="G1028" s="150"/>
      <c r="H1028" s="151">
        <f>SUM(H1019:H1027)</f>
        <v>754.38200000000006</v>
      </c>
      <c r="I1028" s="152"/>
      <c r="J1028" s="153"/>
      <c r="K1028" s="151">
        <f>SUM(K1019:K1027)</f>
        <v>754.38200000000006</v>
      </c>
      <c r="L1028" s="138">
        <f t="shared" si="176"/>
        <v>0</v>
      </c>
      <c r="M1028" s="139">
        <f>IF((H1028)=0,"",(L1028/H1028))</f>
        <v>0</v>
      </c>
    </row>
    <row r="1029" spans="1:13" x14ac:dyDescent="0.25">
      <c r="A1029" s="100" t="str">
        <f t="shared" si="179"/>
        <v>GENERAL SERVICE 50 TO 999 KW SERVICE CLASSIFICATION</v>
      </c>
      <c r="C1029" s="117"/>
      <c r="D1029" s="154" t="s">
        <v>169</v>
      </c>
      <c r="E1029" s="119"/>
      <c r="F1029" s="127">
        <v>2.6217000000000001</v>
      </c>
      <c r="G1029" s="141">
        <f>IF($E1006&gt;0, $E1006, $E1005*$E1007)</f>
        <v>160</v>
      </c>
      <c r="H1029" s="122">
        <f>G1029*F1029</f>
        <v>419.47200000000004</v>
      </c>
      <c r="I1029" s="128">
        <v>2.4868999999999999</v>
      </c>
      <c r="J1029" s="141">
        <f>IF($E1006&gt;0, $E1006, $E1005*$E1008)</f>
        <v>160</v>
      </c>
      <c r="K1029" s="122">
        <f t="shared" ref="K1029:K1030" si="183">H1029</f>
        <v>419.47200000000004</v>
      </c>
      <c r="L1029" s="125">
        <f t="shared" si="176"/>
        <v>0</v>
      </c>
      <c r="M1029" s="126">
        <f>IF(ISERROR(L1029/H1029), "", L1029/H1029)</f>
        <v>0</v>
      </c>
    </row>
    <row r="1030" spans="1:13" ht="25.5" x14ac:dyDescent="0.25">
      <c r="A1030" s="100" t="str">
        <f t="shared" si="179"/>
        <v>GENERAL SERVICE 50 TO 999 KW SERVICE CLASSIFICATION</v>
      </c>
      <c r="C1030" s="117"/>
      <c r="D1030" s="155" t="s">
        <v>170</v>
      </c>
      <c r="E1030" s="119"/>
      <c r="F1030" s="127">
        <v>2.2145999999999999</v>
      </c>
      <c r="G1030" s="141">
        <f>IF($E1006&gt;0, $E1006, $E1005*$E1007)</f>
        <v>160</v>
      </c>
      <c r="H1030" s="122">
        <f>G1030*F1030</f>
        <v>354.33600000000001</v>
      </c>
      <c r="I1030" s="128">
        <v>2.0933000000000002</v>
      </c>
      <c r="J1030" s="141">
        <f>IF($E1006&gt;0, $E1006, $E1005*$E1008)</f>
        <v>160</v>
      </c>
      <c r="K1030" s="122">
        <f t="shared" si="183"/>
        <v>354.33600000000001</v>
      </c>
      <c r="L1030" s="125">
        <f t="shared" si="176"/>
        <v>0</v>
      </c>
      <c r="M1030" s="126">
        <f>IF(ISERROR(L1030/H1030), "", L1030/H1030)</f>
        <v>0</v>
      </c>
    </row>
    <row r="1031" spans="1:13" ht="25.5" x14ac:dyDescent="0.25">
      <c r="A1031" s="100" t="str">
        <f t="shared" si="179"/>
        <v>GENERAL SERVICE 50 TO 999 KW SERVICE CLASSIFICATION</v>
      </c>
      <c r="B1031" s="105" t="s">
        <v>171</v>
      </c>
      <c r="C1031" s="117">
        <f>B20</f>
        <v>18</v>
      </c>
      <c r="D1031" s="147" t="s">
        <v>172</v>
      </c>
      <c r="E1031" s="132"/>
      <c r="F1031" s="149"/>
      <c r="G1031" s="150"/>
      <c r="H1031" s="151">
        <f>SUM(H1028:H1030)</f>
        <v>1528.19</v>
      </c>
      <c r="I1031" s="152"/>
      <c r="J1031" s="137"/>
      <c r="K1031" s="151">
        <f>SUM(K1028:K1030)</f>
        <v>1528.19</v>
      </c>
      <c r="L1031" s="138">
        <f t="shared" si="176"/>
        <v>0</v>
      </c>
      <c r="M1031" s="139">
        <f>IF((H1031)=0,"",(L1031/H1031))</f>
        <v>0</v>
      </c>
    </row>
    <row r="1032" spans="1:13" ht="25.5" x14ac:dyDescent="0.25">
      <c r="A1032" s="100" t="str">
        <f t="shared" si="179"/>
        <v>GENERAL SERVICE 50 TO 999 KW SERVICE CLASSIFICATION</v>
      </c>
      <c r="C1032" s="117"/>
      <c r="D1032" s="156" t="s">
        <v>173</v>
      </c>
      <c r="E1032" s="119"/>
      <c r="F1032" s="127">
        <v>3.6000000000000003E-3</v>
      </c>
      <c r="G1032" s="141">
        <f>E1005*E1007</f>
        <v>72864</v>
      </c>
      <c r="H1032" s="157">
        <f t="shared" ref="H1032:H1038" si="184">G1032*F1032</f>
        <v>262.31040000000002</v>
      </c>
      <c r="I1032" s="128">
        <v>3.6000000000000003E-3</v>
      </c>
      <c r="J1032" s="141">
        <f>E1005*E1008</f>
        <v>72864</v>
      </c>
      <c r="K1032" s="157">
        <f t="shared" ref="K1032:K1038" si="185">H1032</f>
        <v>262.31040000000002</v>
      </c>
      <c r="L1032" s="125">
        <f t="shared" si="176"/>
        <v>0</v>
      </c>
      <c r="M1032" s="126">
        <f t="shared" ref="M1032:M1040" si="186">IF(ISERROR(L1032/H1032), "", L1032/H1032)</f>
        <v>0</v>
      </c>
    </row>
    <row r="1033" spans="1:13" ht="25.5" x14ac:dyDescent="0.25">
      <c r="A1033" s="100" t="str">
        <f t="shared" si="179"/>
        <v>GENERAL SERVICE 50 TO 999 KW SERVICE CLASSIFICATION</v>
      </c>
      <c r="C1033" s="117"/>
      <c r="D1033" s="156" t="s">
        <v>174</v>
      </c>
      <c r="E1033" s="119"/>
      <c r="F1033" s="127">
        <f>'[1]17. Regulatory Charges'!$D$16</f>
        <v>2.9999999999999997E-4</v>
      </c>
      <c r="G1033" s="141">
        <f>E1005*E1007</f>
        <v>72864</v>
      </c>
      <c r="H1033" s="157">
        <f t="shared" si="184"/>
        <v>21.859199999999998</v>
      </c>
      <c r="I1033" s="128">
        <v>2.9999999999999997E-4</v>
      </c>
      <c r="J1033" s="141">
        <f>E1005*E1008</f>
        <v>72864</v>
      </c>
      <c r="K1033" s="157">
        <f t="shared" si="185"/>
        <v>21.859199999999998</v>
      </c>
      <c r="L1033" s="125">
        <f t="shared" si="176"/>
        <v>0</v>
      </c>
      <c r="M1033" s="126">
        <f t="shared" si="186"/>
        <v>0</v>
      </c>
    </row>
    <row r="1034" spans="1:13" x14ac:dyDescent="0.25">
      <c r="A1034" s="100" t="str">
        <f t="shared" si="179"/>
        <v>GENERAL SERVICE 50 TO 999 KW SERVICE CLASSIFICATION</v>
      </c>
      <c r="C1034" s="117"/>
      <c r="D1034" s="158" t="s">
        <v>175</v>
      </c>
      <c r="E1034" s="119"/>
      <c r="F1034" s="145">
        <v>0.25</v>
      </c>
      <c r="G1034" s="121">
        <v>1</v>
      </c>
      <c r="H1034" s="157">
        <f t="shared" si="184"/>
        <v>0.25</v>
      </c>
      <c r="I1034" s="146">
        <f>'[1]17. Regulatory Charges'!$D$17</f>
        <v>0.25</v>
      </c>
      <c r="J1034" s="124">
        <v>1</v>
      </c>
      <c r="K1034" s="157">
        <f t="shared" si="185"/>
        <v>0.25</v>
      </c>
      <c r="L1034" s="125">
        <f t="shared" si="176"/>
        <v>0</v>
      </c>
      <c r="M1034" s="126">
        <f t="shared" si="186"/>
        <v>0</v>
      </c>
    </row>
    <row r="1035" spans="1:13" ht="25.5" x14ac:dyDescent="0.25">
      <c r="A1035" s="100" t="str">
        <f t="shared" si="179"/>
        <v>GENERAL SERVICE 50 TO 999 KW SERVICE CLASSIFICATION</v>
      </c>
      <c r="C1035" s="117"/>
      <c r="D1035" s="156" t="s">
        <v>176</v>
      </c>
      <c r="E1035" s="119"/>
      <c r="F1035" s="127"/>
      <c r="G1035" s="141"/>
      <c r="H1035" s="157"/>
      <c r="I1035" s="128"/>
      <c r="J1035" s="141"/>
      <c r="K1035" s="157">
        <f t="shared" si="185"/>
        <v>0</v>
      </c>
      <c r="L1035" s="125"/>
      <c r="M1035" s="126"/>
    </row>
    <row r="1036" spans="1:13" x14ac:dyDescent="0.25">
      <c r="A1036" s="100" t="str">
        <f t="shared" si="179"/>
        <v>GENERAL SERVICE 50 TO 999 KW SERVICE CLASSIFICATION</v>
      </c>
      <c r="B1036" s="105" t="s">
        <v>117</v>
      </c>
      <c r="C1036" s="117"/>
      <c r="D1036" s="159" t="s">
        <v>177</v>
      </c>
      <c r="E1036" s="119"/>
      <c r="F1036" s="160">
        <f>OffPeak</f>
        <v>6.5000000000000002E-2</v>
      </c>
      <c r="G1036" s="161">
        <f>IF(AND(E1005*12&gt;=150000),0.65*E1005*E1007,0.65*E1005)</f>
        <v>47361.600000000006</v>
      </c>
      <c r="H1036" s="157">
        <f t="shared" si="184"/>
        <v>3078.5040000000004</v>
      </c>
      <c r="I1036" s="162">
        <f>OffPeak</f>
        <v>6.5000000000000002E-2</v>
      </c>
      <c r="J1036" s="161">
        <f>IF(AND(E1005*12&gt;=150000),0.65*E1005*E1008,0.65*E1005)</f>
        <v>47361.600000000006</v>
      </c>
      <c r="K1036" s="157">
        <f t="shared" si="185"/>
        <v>3078.5040000000004</v>
      </c>
      <c r="L1036" s="125">
        <f>K1036-H1036</f>
        <v>0</v>
      </c>
      <c r="M1036" s="126">
        <f t="shared" si="186"/>
        <v>0</v>
      </c>
    </row>
    <row r="1037" spans="1:13" x14ac:dyDescent="0.25">
      <c r="A1037" s="100" t="str">
        <f t="shared" si="179"/>
        <v>GENERAL SERVICE 50 TO 999 KW SERVICE CLASSIFICATION</v>
      </c>
      <c r="B1037" s="105" t="s">
        <v>117</v>
      </c>
      <c r="C1037" s="117"/>
      <c r="D1037" s="159" t="s">
        <v>178</v>
      </c>
      <c r="E1037" s="119"/>
      <c r="F1037" s="160">
        <f>MidPeak</f>
        <v>9.4E-2</v>
      </c>
      <c r="G1037" s="161">
        <f>IF(AND(E1005*12&gt;=150000),0.17*E1005*E1007,0.17*E1005)</f>
        <v>12386.880000000001</v>
      </c>
      <c r="H1037" s="157">
        <f t="shared" si="184"/>
        <v>1164.36672</v>
      </c>
      <c r="I1037" s="162">
        <f>MidPeak</f>
        <v>9.4E-2</v>
      </c>
      <c r="J1037" s="161">
        <f>IF(AND(E1005*12&gt;=150000),0.17*E1005*E1008,0.17*E1005)</f>
        <v>12386.880000000001</v>
      </c>
      <c r="K1037" s="157">
        <f t="shared" si="185"/>
        <v>1164.36672</v>
      </c>
      <c r="L1037" s="125">
        <f>K1037-H1037</f>
        <v>0</v>
      </c>
      <c r="M1037" s="126">
        <f t="shared" si="186"/>
        <v>0</v>
      </c>
    </row>
    <row r="1038" spans="1:13" ht="15.75" thickBot="1" x14ac:dyDescent="0.3">
      <c r="A1038" s="100" t="str">
        <f t="shared" si="179"/>
        <v>GENERAL SERVICE 50 TO 999 KW SERVICE CLASSIFICATION</v>
      </c>
      <c r="B1038" s="105" t="s">
        <v>117</v>
      </c>
      <c r="C1038" s="117"/>
      <c r="D1038" s="105" t="s">
        <v>179</v>
      </c>
      <c r="E1038" s="119"/>
      <c r="F1038" s="160">
        <f>OnPeak</f>
        <v>0.13200000000000001</v>
      </c>
      <c r="G1038" s="161">
        <f>IF(AND(E1005*12&gt;=150000),0.18*E1005*E1007,0.18*E1005)</f>
        <v>13115.52</v>
      </c>
      <c r="H1038" s="157">
        <f t="shared" si="184"/>
        <v>1731.2486400000003</v>
      </c>
      <c r="I1038" s="162">
        <f>OnPeak</f>
        <v>0.13200000000000001</v>
      </c>
      <c r="J1038" s="161">
        <f>IF(AND(E1005*12&gt;=150000),0.18*E1005*E1008,0.18*E1005)</f>
        <v>13115.52</v>
      </c>
      <c r="K1038" s="157">
        <f t="shared" si="185"/>
        <v>1731.2486400000003</v>
      </c>
      <c r="L1038" s="125">
        <f>K1038-H1038</f>
        <v>0</v>
      </c>
      <c r="M1038" s="126">
        <f t="shared" si="186"/>
        <v>0</v>
      </c>
    </row>
    <row r="1039" spans="1:13" ht="15.75" hidden="1" thickBot="1" x14ac:dyDescent="0.3">
      <c r="A1039" s="100" t="str">
        <f t="shared" si="179"/>
        <v>GENERAL SERVICE 50 TO 999 KW SERVICE CLASSIFICATION</v>
      </c>
      <c r="B1039" s="100" t="s">
        <v>180</v>
      </c>
      <c r="C1039" s="117"/>
      <c r="D1039" s="159" t="s">
        <v>181</v>
      </c>
      <c r="E1039" s="119"/>
      <c r="F1039" s="163">
        <v>0.1101</v>
      </c>
      <c r="G1039" s="161">
        <f>IF(AND(E1005*12&gt;=150000),E1005*E1007,E1005)</f>
        <v>72864</v>
      </c>
      <c r="H1039" s="157">
        <f>G1039*F1039</f>
        <v>8022.3263999999999</v>
      </c>
      <c r="I1039" s="164">
        <f>F1039</f>
        <v>0.1101</v>
      </c>
      <c r="J1039" s="161">
        <f>IF(AND(E1005*12&gt;=150000),E1005*E1008,E1005)</f>
        <v>72864</v>
      </c>
      <c r="K1039" s="157">
        <f>J1039*I1039</f>
        <v>8022.3263999999999</v>
      </c>
      <c r="L1039" s="125">
        <f>K1039-H1039</f>
        <v>0</v>
      </c>
      <c r="M1039" s="126">
        <f t="shared" si="186"/>
        <v>0</v>
      </c>
    </row>
    <row r="1040" spans="1:13" ht="15.75" hidden="1" thickBot="1" x14ac:dyDescent="0.3">
      <c r="A1040" s="100" t="str">
        <f t="shared" si="179"/>
        <v>GENERAL SERVICE 50 TO 999 KW SERVICE CLASSIFICATION</v>
      </c>
      <c r="B1040" s="100" t="s">
        <v>121</v>
      </c>
      <c r="C1040" s="117"/>
      <c r="D1040" s="159" t="s">
        <v>182</v>
      </c>
      <c r="E1040" s="119"/>
      <c r="F1040" s="163">
        <v>0.1101</v>
      </c>
      <c r="G1040" s="161">
        <f>IF(AND(E1005*12&gt;=150000),E1005*E1007,E1005)</f>
        <v>72864</v>
      </c>
      <c r="H1040" s="157">
        <f>G1040*F1040</f>
        <v>8022.3263999999999</v>
      </c>
      <c r="I1040" s="164">
        <f>F1040</f>
        <v>0.1101</v>
      </c>
      <c r="J1040" s="161">
        <f>IF(AND(E1005*12&gt;=150000),E1005*E1008,E1005)</f>
        <v>72864</v>
      </c>
      <c r="K1040" s="157">
        <f>J1040*I1040</f>
        <v>8022.3263999999999</v>
      </c>
      <c r="L1040" s="125">
        <f>K1040-H1040</f>
        <v>0</v>
      </c>
      <c r="M1040" s="126">
        <f t="shared" si="186"/>
        <v>0</v>
      </c>
    </row>
    <row r="1041" spans="1:13" ht="15.75" thickBot="1" x14ac:dyDescent="0.3">
      <c r="A1041" s="100" t="str">
        <f t="shared" si="179"/>
        <v>GENERAL SERVICE 50 TO 999 KW SERVICE CLASSIFICATION</v>
      </c>
      <c r="B1041" s="105"/>
      <c r="C1041" s="117"/>
      <c r="D1041" s="165"/>
      <c r="E1041" s="166"/>
      <c r="F1041" s="167"/>
      <c r="G1041" s="168"/>
      <c r="H1041" s="169"/>
      <c r="I1041" s="167"/>
      <c r="J1041" s="170"/>
      <c r="K1041" s="169"/>
      <c r="L1041" s="171"/>
      <c r="M1041" s="172"/>
    </row>
    <row r="1042" spans="1:13" x14ac:dyDescent="0.25">
      <c r="A1042" s="100" t="str">
        <f t="shared" si="179"/>
        <v>GENERAL SERVICE 50 TO 999 KW SERVICE CLASSIFICATION</v>
      </c>
      <c r="B1042" s="105" t="s">
        <v>117</v>
      </c>
      <c r="C1042" s="117"/>
      <c r="D1042" s="173" t="s">
        <v>183</v>
      </c>
      <c r="E1042" s="158"/>
      <c r="F1042" s="174"/>
      <c r="G1042" s="175"/>
      <c r="H1042" s="176">
        <f>SUM(H1032:H1038,H1031)</f>
        <v>7786.7289600000004</v>
      </c>
      <c r="I1042" s="177"/>
      <c r="J1042" s="177"/>
      <c r="K1042" s="176">
        <f>SUM(K1032:K1038,K1031)</f>
        <v>7786.7289600000004</v>
      </c>
      <c r="L1042" s="178">
        <f>K1042-H1042</f>
        <v>0</v>
      </c>
      <c r="M1042" s="179">
        <f>IF((H1042)=0,"",(L1042/H1042))</f>
        <v>0</v>
      </c>
    </row>
    <row r="1043" spans="1:13" x14ac:dyDescent="0.25">
      <c r="A1043" s="100" t="str">
        <f t="shared" si="179"/>
        <v>GENERAL SERVICE 50 TO 999 KW SERVICE CLASSIFICATION</v>
      </c>
      <c r="B1043" s="105" t="s">
        <v>117</v>
      </c>
      <c r="C1043" s="117"/>
      <c r="D1043" s="180" t="s">
        <v>184</v>
      </c>
      <c r="E1043" s="158"/>
      <c r="F1043" s="174">
        <v>0.13</v>
      </c>
      <c r="G1043" s="181"/>
      <c r="H1043" s="182">
        <f>H1042*F1043</f>
        <v>1012.2747648000001</v>
      </c>
      <c r="I1043" s="183">
        <v>0.13</v>
      </c>
      <c r="J1043" s="121"/>
      <c r="K1043" s="182">
        <f>K1042*I1043</f>
        <v>1012.2747648000001</v>
      </c>
      <c r="L1043" s="184">
        <f>K1043-H1043</f>
        <v>0</v>
      </c>
      <c r="M1043" s="185">
        <f>IF((H1043)=0,"",(L1043/H1043))</f>
        <v>0</v>
      </c>
    </row>
    <row r="1044" spans="1:13" x14ac:dyDescent="0.25">
      <c r="A1044" s="100" t="str">
        <f t="shared" si="179"/>
        <v>GENERAL SERVICE 50 TO 999 KW SERVICE CLASSIFICATION</v>
      </c>
      <c r="B1044" s="105" t="s">
        <v>117</v>
      </c>
      <c r="C1044" s="117"/>
      <c r="D1044" s="180" t="s">
        <v>185</v>
      </c>
      <c r="E1044" s="158"/>
      <c r="F1044" s="174">
        <v>0.08</v>
      </c>
      <c r="G1044" s="181"/>
      <c r="H1044" s="182">
        <v>0</v>
      </c>
      <c r="I1044" s="174">
        <v>0.08</v>
      </c>
      <c r="J1044" s="121"/>
      <c r="K1044" s="182">
        <v>0</v>
      </c>
      <c r="L1044" s="184">
        <f>K1044-H1044</f>
        <v>0</v>
      </c>
      <c r="M1044" s="185"/>
    </row>
    <row r="1045" spans="1:13" ht="15.75" thickBot="1" x14ac:dyDescent="0.3">
      <c r="A1045" s="100" t="str">
        <f t="shared" si="179"/>
        <v>GENERAL SERVICE 50 TO 999 KW SERVICE CLASSIFICATION</v>
      </c>
      <c r="B1045" s="105" t="s">
        <v>186</v>
      </c>
      <c r="C1045" s="117">
        <f>B20</f>
        <v>18</v>
      </c>
      <c r="D1045" s="301" t="s">
        <v>187</v>
      </c>
      <c r="E1045" s="301"/>
      <c r="F1045" s="186"/>
      <c r="G1045" s="187"/>
      <c r="H1045" s="188">
        <f>H1042+H1043+H1044</f>
        <v>8799.0037248000008</v>
      </c>
      <c r="I1045" s="189"/>
      <c r="J1045" s="189"/>
      <c r="K1045" s="190">
        <f>K1042+K1043+K1044</f>
        <v>8799.0037248000008</v>
      </c>
      <c r="L1045" s="191">
        <f>K1045-H1045</f>
        <v>0</v>
      </c>
      <c r="M1045" s="192">
        <f>IF((H1045)=0,"",(L1045/H1045))</f>
        <v>0</v>
      </c>
    </row>
    <row r="1046" spans="1:13" ht="15.75" hidden="1" thickBot="1" x14ac:dyDescent="0.3">
      <c r="A1046" s="100" t="str">
        <f t="shared" si="179"/>
        <v>GENERAL SERVICE 50 TO 999 KW SERVICE CLASSIFICATION</v>
      </c>
      <c r="B1046" s="100" t="s">
        <v>117</v>
      </c>
      <c r="C1046" s="117"/>
      <c r="D1046" s="165"/>
      <c r="E1046" s="166"/>
      <c r="F1046" s="167"/>
      <c r="G1046" s="168"/>
      <c r="H1046" s="169"/>
      <c r="I1046" s="167"/>
      <c r="J1046" s="170"/>
      <c r="K1046" s="169"/>
      <c r="L1046" s="171"/>
      <c r="M1046" s="172"/>
    </row>
    <row r="1047" spans="1:13" ht="15.75" hidden="1" thickBot="1" x14ac:dyDescent="0.3">
      <c r="A1047" s="100" t="str">
        <f t="shared" si="179"/>
        <v>GENERAL SERVICE 50 TO 999 KW SERVICE CLASSIFICATION</v>
      </c>
      <c r="B1047" s="100" t="s">
        <v>180</v>
      </c>
      <c r="C1047" s="117"/>
      <c r="D1047" s="173" t="s">
        <v>188</v>
      </c>
      <c r="E1047" s="158"/>
      <c r="F1047" s="174"/>
      <c r="G1047" s="175"/>
      <c r="H1047" s="176">
        <f>SUM(H1039,H1032:H1035,H1031)</f>
        <v>9834.9360000000015</v>
      </c>
      <c r="I1047" s="177"/>
      <c r="J1047" s="177"/>
      <c r="K1047" s="176">
        <f>SUM(K1039,K1032:K1035,K1031)</f>
        <v>9834.9360000000015</v>
      </c>
      <c r="L1047" s="178">
        <f>K1047-H1047</f>
        <v>0</v>
      </c>
      <c r="M1047" s="179">
        <f>IF((H1047)=0,"",(L1047/H1047))</f>
        <v>0</v>
      </c>
    </row>
    <row r="1048" spans="1:13" ht="15.75" hidden="1" thickBot="1" x14ac:dyDescent="0.3">
      <c r="A1048" s="100" t="str">
        <f t="shared" si="179"/>
        <v>GENERAL SERVICE 50 TO 999 KW SERVICE CLASSIFICATION</v>
      </c>
      <c r="B1048" s="100" t="s">
        <v>180</v>
      </c>
      <c r="C1048" s="117"/>
      <c r="D1048" s="180" t="s">
        <v>184</v>
      </c>
      <c r="E1048" s="158"/>
      <c r="F1048" s="174">
        <v>0.13</v>
      </c>
      <c r="G1048" s="175"/>
      <c r="H1048" s="182">
        <f>H1047*F1048</f>
        <v>1278.5416800000003</v>
      </c>
      <c r="I1048" s="174">
        <v>0.13</v>
      </c>
      <c r="J1048" s="183"/>
      <c r="K1048" s="182">
        <f>K1047*I1048</f>
        <v>1278.5416800000003</v>
      </c>
      <c r="L1048" s="184">
        <f>K1048-H1048</f>
        <v>0</v>
      </c>
      <c r="M1048" s="185">
        <f>IF((H1048)=0,"",(L1048/H1048))</f>
        <v>0</v>
      </c>
    </row>
    <row r="1049" spans="1:13" ht="15.75" hidden="1" thickBot="1" x14ac:dyDescent="0.3">
      <c r="A1049" s="100" t="str">
        <f t="shared" si="179"/>
        <v>GENERAL SERVICE 50 TO 999 KW SERVICE CLASSIFICATION</v>
      </c>
      <c r="B1049" s="100" t="s">
        <v>180</v>
      </c>
      <c r="C1049" s="117"/>
      <c r="D1049" s="180" t="s">
        <v>185</v>
      </c>
      <c r="E1049" s="158"/>
      <c r="F1049" s="174">
        <v>0.08</v>
      </c>
      <c r="G1049" s="175"/>
      <c r="H1049" s="182">
        <v>0</v>
      </c>
      <c r="I1049" s="174">
        <v>0.08</v>
      </c>
      <c r="J1049" s="183"/>
      <c r="K1049" s="182">
        <v>0</v>
      </c>
      <c r="L1049" s="184"/>
      <c r="M1049" s="185"/>
    </row>
    <row r="1050" spans="1:13" ht="15.75" hidden="1" thickBot="1" x14ac:dyDescent="0.3">
      <c r="A1050" s="100" t="str">
        <f t="shared" si="179"/>
        <v>GENERAL SERVICE 50 TO 999 KW SERVICE CLASSIFICATION</v>
      </c>
      <c r="B1050" s="100" t="s">
        <v>189</v>
      </c>
      <c r="C1050" s="117"/>
      <c r="D1050" s="301" t="s">
        <v>188</v>
      </c>
      <c r="E1050" s="301"/>
      <c r="F1050" s="193"/>
      <c r="G1050" s="194"/>
      <c r="H1050" s="188">
        <f>SUM(H1047,H1048)</f>
        <v>11113.477680000002</v>
      </c>
      <c r="I1050" s="195"/>
      <c r="J1050" s="195"/>
      <c r="K1050" s="188">
        <f>SUM(K1047,K1048)</f>
        <v>11113.477680000002</v>
      </c>
      <c r="L1050" s="196">
        <f>K1050-H1050</f>
        <v>0</v>
      </c>
      <c r="M1050" s="197">
        <f>IF((H1050)=0,"",(L1050/H1050))</f>
        <v>0</v>
      </c>
    </row>
    <row r="1051" spans="1:13" ht="15.75" hidden="1" thickBot="1" x14ac:dyDescent="0.3">
      <c r="A1051" s="100" t="str">
        <f t="shared" si="179"/>
        <v>GENERAL SERVICE 50 TO 999 KW SERVICE CLASSIFICATION</v>
      </c>
      <c r="B1051" s="100" t="s">
        <v>180</v>
      </c>
      <c r="C1051" s="117"/>
      <c r="D1051" s="165"/>
      <c r="E1051" s="166"/>
      <c r="F1051" s="198"/>
      <c r="G1051" s="199"/>
      <c r="H1051" s="200"/>
      <c r="I1051" s="198"/>
      <c r="J1051" s="168"/>
      <c r="K1051" s="200"/>
      <c r="L1051" s="201"/>
      <c r="M1051" s="172"/>
    </row>
    <row r="1052" spans="1:13" ht="15.75" hidden="1" thickBot="1" x14ac:dyDescent="0.3">
      <c r="A1052" s="100" t="str">
        <f t="shared" si="179"/>
        <v>GENERAL SERVICE 50 TO 999 KW SERVICE CLASSIFICATION</v>
      </c>
      <c r="B1052" s="100" t="s">
        <v>121</v>
      </c>
      <c r="C1052" s="117"/>
      <c r="D1052" s="173" t="s">
        <v>190</v>
      </c>
      <c r="E1052" s="158"/>
      <c r="F1052" s="174"/>
      <c r="G1052" s="175"/>
      <c r="H1052" s="176">
        <f>SUM(H1040,H1032:H1035,H1031)</f>
        <v>9834.9360000000015</v>
      </c>
      <c r="I1052" s="177"/>
      <c r="J1052" s="177"/>
      <c r="K1052" s="176">
        <f>SUM(K1040,K1032:K1035,K1031)</f>
        <v>9834.9360000000015</v>
      </c>
      <c r="L1052" s="178">
        <f>K1052-H1052</f>
        <v>0</v>
      </c>
      <c r="M1052" s="179">
        <f>IF((H1052)=0,"",(L1052/H1052))</f>
        <v>0</v>
      </c>
    </row>
    <row r="1053" spans="1:13" ht="15.75" hidden="1" thickBot="1" x14ac:dyDescent="0.3">
      <c r="A1053" s="100" t="str">
        <f t="shared" si="179"/>
        <v>GENERAL SERVICE 50 TO 999 KW SERVICE CLASSIFICATION</v>
      </c>
      <c r="B1053" s="100" t="s">
        <v>121</v>
      </c>
      <c r="C1053" s="117"/>
      <c r="D1053" s="180" t="s">
        <v>184</v>
      </c>
      <c r="E1053" s="158"/>
      <c r="F1053" s="174">
        <v>0.13</v>
      </c>
      <c r="G1053" s="175"/>
      <c r="H1053" s="182">
        <f>H1052*F1053</f>
        <v>1278.5416800000003</v>
      </c>
      <c r="I1053" s="174">
        <v>0.13</v>
      </c>
      <c r="J1053" s="183"/>
      <c r="K1053" s="182">
        <f>K1052*I1053</f>
        <v>1278.5416800000003</v>
      </c>
      <c r="L1053" s="184">
        <f>K1053-H1053</f>
        <v>0</v>
      </c>
      <c r="M1053" s="185">
        <f>IF((H1053)=0,"",(L1053/H1053))</f>
        <v>0</v>
      </c>
    </row>
    <row r="1054" spans="1:13" ht="15.75" hidden="1" thickBot="1" x14ac:dyDescent="0.3">
      <c r="A1054" s="100" t="str">
        <f t="shared" si="179"/>
        <v>GENERAL SERVICE 50 TO 999 KW SERVICE CLASSIFICATION</v>
      </c>
      <c r="B1054" s="100" t="s">
        <v>121</v>
      </c>
      <c r="C1054" s="117"/>
      <c r="D1054" s="180" t="s">
        <v>185</v>
      </c>
      <c r="E1054" s="158"/>
      <c r="F1054" s="174">
        <v>0.08</v>
      </c>
      <c r="G1054" s="175"/>
      <c r="H1054" s="182">
        <v>0</v>
      </c>
      <c r="I1054" s="174">
        <v>0.08</v>
      </c>
      <c r="J1054" s="183"/>
      <c r="K1054" s="182">
        <v>0</v>
      </c>
      <c r="L1054" s="184"/>
      <c r="M1054" s="185"/>
    </row>
    <row r="1055" spans="1:13" ht="15.75" hidden="1" thickBot="1" x14ac:dyDescent="0.3">
      <c r="A1055" s="100" t="str">
        <f t="shared" si="179"/>
        <v>GENERAL SERVICE 50 TO 999 KW SERVICE CLASSIFICATION</v>
      </c>
      <c r="B1055" s="100" t="s">
        <v>191</v>
      </c>
      <c r="C1055" s="117"/>
      <c r="D1055" s="301" t="s">
        <v>190</v>
      </c>
      <c r="E1055" s="301"/>
      <c r="F1055" s="193"/>
      <c r="G1055" s="194"/>
      <c r="H1055" s="188">
        <f>SUM(H1052,H1053)</f>
        <v>11113.477680000002</v>
      </c>
      <c r="I1055" s="195"/>
      <c r="J1055" s="195"/>
      <c r="K1055" s="188">
        <f>SUM(K1052,K1053)</f>
        <v>11113.477680000002</v>
      </c>
      <c r="L1055" s="196">
        <f>K1055-H1055</f>
        <v>0</v>
      </c>
      <c r="M1055" s="197">
        <f>IF((H1055)=0,"",(L1055/H1055))</f>
        <v>0</v>
      </c>
    </row>
    <row r="1056" spans="1:13" ht="15.75" thickBot="1" x14ac:dyDescent="0.3">
      <c r="A1056" s="100" t="str">
        <f t="shared" si="179"/>
        <v>GENERAL SERVICE 50 TO 999 KW SERVICE CLASSIFICATION</v>
      </c>
      <c r="B1056" s="100" t="s">
        <v>121</v>
      </c>
      <c r="C1056" s="117"/>
      <c r="D1056" s="165"/>
      <c r="E1056" s="166"/>
      <c r="F1056" s="202"/>
      <c r="G1056" s="203"/>
      <c r="H1056" s="204"/>
      <c r="I1056" s="202"/>
      <c r="J1056" s="205"/>
      <c r="K1056" s="204"/>
      <c r="L1056" s="206"/>
      <c r="M1056" s="207"/>
    </row>
  </sheetData>
  <sheetProtection password="CC7B" sheet="1" objects="1" scenarios="1"/>
  <mergeCells count="227">
    <mergeCell ref="D1045:E1045"/>
    <mergeCell ref="D1050:E1050"/>
    <mergeCell ref="D1055:E1055"/>
    <mergeCell ref="E1003:J1003"/>
    <mergeCell ref="E1004:G1004"/>
    <mergeCell ref="F1010:H1010"/>
    <mergeCell ref="I1010:K1010"/>
    <mergeCell ref="L1010:M1010"/>
    <mergeCell ref="E1011:E1012"/>
    <mergeCell ref="L1011:L1012"/>
    <mergeCell ref="M1011:M1012"/>
    <mergeCell ref="E955:E956"/>
    <mergeCell ref="L955:L956"/>
    <mergeCell ref="M955:M956"/>
    <mergeCell ref="D989:E989"/>
    <mergeCell ref="D994:E994"/>
    <mergeCell ref="D999:E999"/>
    <mergeCell ref="D943:E943"/>
    <mergeCell ref="E947:J947"/>
    <mergeCell ref="E948:G948"/>
    <mergeCell ref="F954:H954"/>
    <mergeCell ref="I954:K954"/>
    <mergeCell ref="L954:M954"/>
    <mergeCell ref="L898:M898"/>
    <mergeCell ref="E899:E900"/>
    <mergeCell ref="L899:L900"/>
    <mergeCell ref="M899:M900"/>
    <mergeCell ref="D933:E933"/>
    <mergeCell ref="D938:E938"/>
    <mergeCell ref="D877:E877"/>
    <mergeCell ref="D882:E882"/>
    <mergeCell ref="D887:E887"/>
    <mergeCell ref="E891:J891"/>
    <mergeCell ref="E892:G892"/>
    <mergeCell ref="F898:H898"/>
    <mergeCell ref="I898:K898"/>
    <mergeCell ref="E835:J835"/>
    <mergeCell ref="E836:G836"/>
    <mergeCell ref="F842:H842"/>
    <mergeCell ref="I842:K842"/>
    <mergeCell ref="L842:M842"/>
    <mergeCell ref="E843:E844"/>
    <mergeCell ref="L843:L844"/>
    <mergeCell ref="M843:M844"/>
    <mergeCell ref="E787:E788"/>
    <mergeCell ref="L787:L788"/>
    <mergeCell ref="M787:M788"/>
    <mergeCell ref="D821:E821"/>
    <mergeCell ref="D826:E826"/>
    <mergeCell ref="D831:E831"/>
    <mergeCell ref="D775:E775"/>
    <mergeCell ref="E779:J779"/>
    <mergeCell ref="E780:G780"/>
    <mergeCell ref="F786:H786"/>
    <mergeCell ref="I786:K786"/>
    <mergeCell ref="L786:M786"/>
    <mergeCell ref="L730:M730"/>
    <mergeCell ref="E731:E732"/>
    <mergeCell ref="L731:L732"/>
    <mergeCell ref="M731:M732"/>
    <mergeCell ref="D765:E765"/>
    <mergeCell ref="D770:E770"/>
    <mergeCell ref="D709:E709"/>
    <mergeCell ref="D714:E714"/>
    <mergeCell ref="D719:E719"/>
    <mergeCell ref="E723:J723"/>
    <mergeCell ref="E724:G724"/>
    <mergeCell ref="F730:H730"/>
    <mergeCell ref="I730:K730"/>
    <mergeCell ref="E667:J667"/>
    <mergeCell ref="E668:G668"/>
    <mergeCell ref="F674:H674"/>
    <mergeCell ref="I674:K674"/>
    <mergeCell ref="L674:M674"/>
    <mergeCell ref="E675:E676"/>
    <mergeCell ref="L675:L676"/>
    <mergeCell ref="M675:M676"/>
    <mergeCell ref="E619:E620"/>
    <mergeCell ref="L619:L620"/>
    <mergeCell ref="M619:M620"/>
    <mergeCell ref="D653:E653"/>
    <mergeCell ref="D658:E658"/>
    <mergeCell ref="D663:E663"/>
    <mergeCell ref="D607:E607"/>
    <mergeCell ref="E611:J611"/>
    <mergeCell ref="E612:G612"/>
    <mergeCell ref="F618:H618"/>
    <mergeCell ref="I618:K618"/>
    <mergeCell ref="L618:M618"/>
    <mergeCell ref="L562:M562"/>
    <mergeCell ref="E563:E564"/>
    <mergeCell ref="L563:L564"/>
    <mergeCell ref="M563:M564"/>
    <mergeCell ref="D597:E597"/>
    <mergeCell ref="D602:E602"/>
    <mergeCell ref="D541:E541"/>
    <mergeCell ref="D546:E546"/>
    <mergeCell ref="D551:E551"/>
    <mergeCell ref="E555:J555"/>
    <mergeCell ref="E556:G556"/>
    <mergeCell ref="F562:H562"/>
    <mergeCell ref="I562:K562"/>
    <mergeCell ref="E499:J499"/>
    <mergeCell ref="E500:G500"/>
    <mergeCell ref="F506:H506"/>
    <mergeCell ref="I506:K506"/>
    <mergeCell ref="L506:M506"/>
    <mergeCell ref="E507:E508"/>
    <mergeCell ref="L507:L508"/>
    <mergeCell ref="M507:M508"/>
    <mergeCell ref="E451:E452"/>
    <mergeCell ref="L451:L452"/>
    <mergeCell ref="M451:M452"/>
    <mergeCell ref="D485:E485"/>
    <mergeCell ref="D490:E490"/>
    <mergeCell ref="D495:E495"/>
    <mergeCell ref="D439:E439"/>
    <mergeCell ref="E443:J443"/>
    <mergeCell ref="E444:G444"/>
    <mergeCell ref="F450:H450"/>
    <mergeCell ref="I450:K450"/>
    <mergeCell ref="L450:M450"/>
    <mergeCell ref="L394:M394"/>
    <mergeCell ref="E395:E396"/>
    <mergeCell ref="L395:L396"/>
    <mergeCell ref="M395:M396"/>
    <mergeCell ref="D429:E429"/>
    <mergeCell ref="D434:E434"/>
    <mergeCell ref="D373:E373"/>
    <mergeCell ref="D378:E378"/>
    <mergeCell ref="D383:E383"/>
    <mergeCell ref="E387:J387"/>
    <mergeCell ref="E388:G388"/>
    <mergeCell ref="F394:H394"/>
    <mergeCell ref="I394:K394"/>
    <mergeCell ref="E331:J331"/>
    <mergeCell ref="E332:G332"/>
    <mergeCell ref="F338:H338"/>
    <mergeCell ref="I338:K338"/>
    <mergeCell ref="L338:M338"/>
    <mergeCell ref="E339:E340"/>
    <mergeCell ref="L339:L340"/>
    <mergeCell ref="M339:M340"/>
    <mergeCell ref="E283:E284"/>
    <mergeCell ref="L283:L284"/>
    <mergeCell ref="M283:M284"/>
    <mergeCell ref="D317:E317"/>
    <mergeCell ref="D322:E322"/>
    <mergeCell ref="D327:E327"/>
    <mergeCell ref="D271:E271"/>
    <mergeCell ref="E275:J275"/>
    <mergeCell ref="E276:G276"/>
    <mergeCell ref="F282:H282"/>
    <mergeCell ref="I282:K282"/>
    <mergeCell ref="L282:M282"/>
    <mergeCell ref="L226:M226"/>
    <mergeCell ref="E227:E228"/>
    <mergeCell ref="L227:L228"/>
    <mergeCell ref="M227:M228"/>
    <mergeCell ref="D261:E261"/>
    <mergeCell ref="D266:E266"/>
    <mergeCell ref="D205:E205"/>
    <mergeCell ref="D210:E210"/>
    <mergeCell ref="D215:E215"/>
    <mergeCell ref="E219:J219"/>
    <mergeCell ref="E220:G220"/>
    <mergeCell ref="F226:H226"/>
    <mergeCell ref="I226:K226"/>
    <mergeCell ref="E163:J163"/>
    <mergeCell ref="E164:G164"/>
    <mergeCell ref="F170:H170"/>
    <mergeCell ref="I170:K170"/>
    <mergeCell ref="L170:M170"/>
    <mergeCell ref="E171:E172"/>
    <mergeCell ref="L171:L172"/>
    <mergeCell ref="M171:M172"/>
    <mergeCell ref="E115:E116"/>
    <mergeCell ref="L115:L116"/>
    <mergeCell ref="M115:M116"/>
    <mergeCell ref="D149:E149"/>
    <mergeCell ref="D154:E154"/>
    <mergeCell ref="D159:E159"/>
    <mergeCell ref="D103:E103"/>
    <mergeCell ref="E107:J107"/>
    <mergeCell ref="E108:G108"/>
    <mergeCell ref="F114:H114"/>
    <mergeCell ref="I114:K114"/>
    <mergeCell ref="L114:M114"/>
    <mergeCell ref="L58:M58"/>
    <mergeCell ref="E59:E60"/>
    <mergeCell ref="L59:L60"/>
    <mergeCell ref="M59:M60"/>
    <mergeCell ref="D93:E93"/>
    <mergeCell ref="D98:E98"/>
    <mergeCell ref="D46:F46"/>
    <mergeCell ref="D47:F47"/>
    <mergeCell ref="E51:J51"/>
    <mergeCell ref="E52:G52"/>
    <mergeCell ref="F58:H58"/>
    <mergeCell ref="I58:K58"/>
    <mergeCell ref="D40:F40"/>
    <mergeCell ref="D41:F41"/>
    <mergeCell ref="D42:F42"/>
    <mergeCell ref="D43:F43"/>
    <mergeCell ref="D44:F44"/>
    <mergeCell ref="D45:F45"/>
    <mergeCell ref="D34:F34"/>
    <mergeCell ref="D35:F35"/>
    <mergeCell ref="D36:F36"/>
    <mergeCell ref="D37:F37"/>
    <mergeCell ref="D38:F38"/>
    <mergeCell ref="D39:F39"/>
    <mergeCell ref="D28:F28"/>
    <mergeCell ref="D29:F29"/>
    <mergeCell ref="D30:F30"/>
    <mergeCell ref="D31:F31"/>
    <mergeCell ref="D32:F32"/>
    <mergeCell ref="D33:F33"/>
    <mergeCell ref="D2:F2"/>
    <mergeCell ref="D25:F27"/>
    <mergeCell ref="G25:G27"/>
    <mergeCell ref="H25:M25"/>
    <mergeCell ref="N25:O25"/>
    <mergeCell ref="H26:I26"/>
    <mergeCell ref="J26:K26"/>
    <mergeCell ref="L26:M26"/>
    <mergeCell ref="N26:O26"/>
  </mergeCells>
  <conditionalFormatting sqref="L12:L22">
    <cfRule type="expression" dxfId="23" priority="8">
      <formula>$G12="kW"</formula>
    </cfRule>
  </conditionalFormatting>
  <conditionalFormatting sqref="K12:K22">
    <cfRule type="expression" dxfId="22" priority="5">
      <formula>$G12="kW"</formula>
    </cfRule>
    <cfRule type="expression" dxfId="21" priority="6">
      <formula>$G12="kVa"</formula>
    </cfRule>
    <cfRule type="expression" dxfId="20" priority="7">
      <formula>$G12="kWh"</formula>
    </cfRule>
  </conditionalFormatting>
  <conditionalFormatting sqref="L3:L11">
    <cfRule type="expression" dxfId="19" priority="4">
      <formula>$G3="kW"</formula>
    </cfRule>
  </conditionalFormatting>
  <conditionalFormatting sqref="K3:K11">
    <cfRule type="expression" dxfId="18" priority="1">
      <formula>$G3="kW"</formula>
    </cfRule>
    <cfRule type="expression" dxfId="17" priority="2">
      <formula>$G3="kVa"</formula>
    </cfRule>
    <cfRule type="expression" dxfId="16" priority="3">
      <formula>$G3="kWh"</formula>
    </cfRule>
  </conditionalFormatting>
  <dataValidations count="4">
    <dataValidation type="list" allowBlank="1" showInputMessage="1" showErrorMessage="1" sqref="H3:H22">
      <formula1>"RPP, Non-RPP (Retailer), Non-RPP (Other)"</formula1>
    </dataValidation>
    <dataValidation type="list" allowBlank="1" showInputMessage="1" showErrorMessage="1" sqref="M3:M22">
      <formula1>"N/A, DEMAND, DEMAND - INTERVAL"</formula1>
    </dataValidation>
    <dataValidation allowBlank="1" showInputMessage="1" showErrorMessage="1" sqref="D3:D9"/>
    <dataValidation type="list" allowBlank="1" showInputMessage="1" showErrorMessage="1" prompt="Select Charge Unit - monthly, per kWh, per kW" sqref="E94 E99 E104 E89 E150 E155 E160 E145 E206 E211 E216 E201 E262 E267 E272 E257 E318 E323 E328 E313 E374 E379 E384 E369 E430 E435 E440 E425 E486 E491 E496 E481 E542 E547 E552 E537 E598 E603 E608 E593 E654 E659 E664 E649 E710 E715 E720 E705 E766 E771 E776 E761 E822 E827 E832 E817 E878 E883 E888 E873 E934 E939 E944 E929 E990 E995 E1000 E985 E1046 E1051 E1056 E1041">
      <formula1>"Monthly, per kWh, per kW"</formula1>
    </dataValidation>
  </dataValidations>
  <pageMargins left="0.11811023622047245" right="0.11811023622047245" top="0.35433070866141736" bottom="0.35433070866141736" header="0.11811023622047245" footer="0.11811023622047245"/>
  <pageSetup scale="63" orientation="landscape" verticalDpi="0" r:id="rId1"/>
  <headerFooter>
    <oddFooter>&amp;L&amp;9&amp;Z&amp;F  &amp;A  &amp;D  &amp;T&amp;R&amp;P</oddFooter>
  </headerFooter>
  <rowBreaks count="18" manualBreakCount="18">
    <brk id="49" max="16383" man="1"/>
    <brk id="106" max="16383" man="1"/>
    <brk id="162" max="16383" man="1"/>
    <brk id="218" max="16383" man="1"/>
    <brk id="274" max="16383" man="1"/>
    <brk id="330" max="16383" man="1"/>
    <brk id="386" max="16383" man="1"/>
    <brk id="442" max="16383" man="1"/>
    <brk id="498" max="16383" man="1"/>
    <brk id="554" max="16383" man="1"/>
    <brk id="610" max="16383" man="1"/>
    <brk id="666" max="16383" man="1"/>
    <brk id="722" max="16383" man="1"/>
    <brk id="778" max="16383" man="1"/>
    <brk id="834" max="16383" man="1"/>
    <brk id="890" max="16383" man="1"/>
    <brk id="946" max="16383" man="1"/>
    <brk id="1002" max="16383" man="1"/>
  </rowBreaks>
  <extLst>
    <ext xmlns:x14="http://schemas.microsoft.com/office/spreadsheetml/2009/9/main" uri="{CCE6A557-97BC-4b89-ADB6-D9C93CAAB3DF}">
      <x14:dataValidations xmlns:xm="http://schemas.microsoft.com/office/excel/2006/main" count="1">
        <x14:dataValidation type="list" operator="equal" allowBlank="1" showInputMessage="1" showErrorMessage="1">
          <x14:formula1>
            <xm:f>'[1]2016 List'!#REF!</xm:f>
          </x14:formula1>
          <xm:sqref>D10:D22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1083"/>
  <sheetViews>
    <sheetView topLeftCell="C73" zoomScale="80" zoomScaleNormal="80" workbookViewId="0">
      <selection activeCell="G19" sqref="G19"/>
    </sheetView>
  </sheetViews>
  <sheetFormatPr defaultRowHeight="15" x14ac:dyDescent="0.25"/>
  <cols>
    <col min="1" max="1" width="9" style="100" hidden="1" customWidth="1"/>
    <col min="2" max="2" width="4.7109375" style="100" hidden="1" customWidth="1"/>
    <col min="3" max="3" width="3.42578125" style="208" customWidth="1"/>
    <col min="4" max="4" width="34.7109375" style="100" customWidth="1"/>
    <col min="5" max="5" width="13.140625" style="100" customWidth="1"/>
    <col min="6" max="6" width="26.85546875" style="100" customWidth="1"/>
    <col min="7" max="7" width="11.28515625" style="100" bestFit="1" customWidth="1"/>
    <col min="8" max="8" width="18.140625" style="100" customWidth="1"/>
    <col min="9" max="9" width="12.85546875" style="100" customWidth="1"/>
    <col min="10" max="10" width="14.28515625" style="100" bestFit="1" customWidth="1"/>
    <col min="11" max="11" width="18.85546875" style="100" bestFit="1" customWidth="1"/>
    <col min="12" max="12" width="15.28515625" style="100" bestFit="1" customWidth="1"/>
    <col min="13" max="13" width="15.85546875" style="100" customWidth="1"/>
    <col min="14" max="14" width="22.140625" style="100" customWidth="1"/>
    <col min="15" max="15" width="14.42578125" style="100" customWidth="1"/>
  </cols>
  <sheetData>
    <row r="1" spans="1:15" ht="21.75" x14ac:dyDescent="0.25">
      <c r="A1" s="61"/>
      <c r="B1" s="61"/>
      <c r="C1" s="62"/>
      <c r="D1" s="63"/>
      <c r="E1" s="63"/>
      <c r="F1" s="63"/>
      <c r="G1" s="63"/>
      <c r="H1" s="63"/>
      <c r="I1" s="63"/>
      <c r="J1" s="63"/>
      <c r="K1" s="63"/>
      <c r="L1" s="64"/>
      <c r="M1" s="65"/>
      <c r="N1" s="61"/>
      <c r="O1" s="61"/>
    </row>
    <row r="2" spans="1:15" ht="18" x14ac:dyDescent="0.25">
      <c r="A2" s="61"/>
      <c r="B2" s="61"/>
      <c r="C2" s="66"/>
      <c r="D2" s="67"/>
      <c r="E2" s="67"/>
      <c r="F2" s="67"/>
      <c r="G2" s="67"/>
      <c r="H2" s="67"/>
      <c r="I2" s="67"/>
      <c r="J2" s="67"/>
      <c r="K2" s="67"/>
      <c r="L2" s="64"/>
      <c r="M2" s="65"/>
      <c r="N2" s="61"/>
      <c r="O2" s="61"/>
    </row>
    <row r="3" spans="1:15" ht="18" x14ac:dyDescent="0.25">
      <c r="A3" s="61"/>
      <c r="B3" s="61"/>
      <c r="C3" s="307"/>
      <c r="D3" s="307"/>
      <c r="E3" s="307"/>
      <c r="F3" s="307"/>
      <c r="G3" s="307"/>
      <c r="H3" s="307"/>
      <c r="I3" s="307"/>
      <c r="J3" s="307"/>
      <c r="K3" s="307"/>
      <c r="L3" s="64"/>
      <c r="M3" s="65"/>
      <c r="N3" s="61"/>
      <c r="O3" s="61"/>
    </row>
    <row r="4" spans="1:15" ht="18" x14ac:dyDescent="0.25">
      <c r="A4" s="61"/>
      <c r="B4" s="61"/>
      <c r="C4" s="66"/>
      <c r="D4" s="67"/>
      <c r="E4" s="67"/>
      <c r="F4" s="67"/>
      <c r="G4" s="67"/>
      <c r="H4" s="67"/>
      <c r="I4" s="68"/>
      <c r="J4" s="68"/>
      <c r="K4" s="68"/>
      <c r="L4" s="64"/>
      <c r="M4" s="65"/>
      <c r="N4" s="61"/>
      <c r="O4" s="61"/>
    </row>
    <row r="5" spans="1:15" ht="15.75" x14ac:dyDescent="0.25">
      <c r="A5" s="61"/>
      <c r="B5" s="61"/>
      <c r="C5" s="69"/>
      <c r="D5" s="61"/>
      <c r="E5" s="70"/>
      <c r="F5" s="61"/>
      <c r="G5" s="61"/>
      <c r="H5" s="61"/>
      <c r="I5" s="61"/>
      <c r="J5" s="61"/>
      <c r="K5" s="61"/>
      <c r="L5" s="64"/>
      <c r="M5" s="65"/>
      <c r="N5" s="61"/>
      <c r="O5" s="61"/>
    </row>
    <row r="6" spans="1:15" x14ac:dyDescent="0.25">
      <c r="A6" s="61"/>
      <c r="B6" s="61"/>
      <c r="C6" s="69"/>
      <c r="D6" s="61"/>
      <c r="E6" s="61"/>
      <c r="F6" s="61"/>
      <c r="G6" s="61"/>
      <c r="H6" s="61"/>
      <c r="I6" s="61"/>
      <c r="J6" s="61"/>
      <c r="K6" s="61"/>
      <c r="L6" s="64"/>
      <c r="M6" s="65"/>
      <c r="N6" s="61"/>
      <c r="O6" s="61"/>
    </row>
    <row r="7" spans="1:15" x14ac:dyDescent="0.25">
      <c r="A7" s="61"/>
      <c r="B7" s="61"/>
      <c r="C7" s="69"/>
      <c r="D7" s="61"/>
      <c r="E7" s="61"/>
      <c r="F7" s="61"/>
      <c r="G7" s="61"/>
      <c r="H7" s="61"/>
      <c r="I7" s="61"/>
      <c r="J7" s="61"/>
      <c r="K7" s="61"/>
      <c r="L7" s="64"/>
      <c r="M7" s="65"/>
      <c r="N7" s="61"/>
      <c r="O7" s="61"/>
    </row>
    <row r="8" spans="1:15" x14ac:dyDescent="0.25">
      <c r="A8" s="61"/>
      <c r="B8" s="61"/>
      <c r="C8" s="69"/>
      <c r="D8" s="61"/>
      <c r="E8" s="61"/>
      <c r="F8" s="61"/>
      <c r="G8" s="61"/>
      <c r="H8" s="61"/>
      <c r="I8" s="61"/>
      <c r="J8" s="61"/>
      <c r="K8" s="61"/>
      <c r="L8" s="61"/>
      <c r="M8" s="65"/>
      <c r="N8" s="71"/>
      <c r="O8" s="71"/>
    </row>
    <row r="9" spans="1:15" hidden="1" x14ac:dyDescent="0.25">
      <c r="A9" s="71"/>
      <c r="B9" s="71"/>
      <c r="C9" s="72"/>
      <c r="D9" s="71"/>
      <c r="E9" s="71"/>
      <c r="F9" s="71"/>
      <c r="G9" s="71"/>
      <c r="H9" s="71"/>
      <c r="I9" s="71"/>
      <c r="J9" s="71"/>
      <c r="K9" s="71"/>
      <c r="L9" s="71"/>
      <c r="M9" s="71"/>
      <c r="N9" s="71"/>
      <c r="O9" s="71"/>
    </row>
    <row r="10" spans="1:15" ht="18" hidden="1" x14ac:dyDescent="0.25">
      <c r="A10" s="71"/>
      <c r="B10" s="71"/>
      <c r="C10" s="72"/>
      <c r="D10" s="308"/>
      <c r="E10" s="308"/>
      <c r="F10" s="308"/>
      <c r="G10" s="308"/>
      <c r="H10" s="308"/>
      <c r="I10" s="308"/>
      <c r="J10" s="308"/>
      <c r="K10" s="308"/>
      <c r="L10" s="308"/>
      <c r="M10" s="308"/>
      <c r="N10" s="73"/>
      <c r="O10" s="73"/>
    </row>
    <row r="11" spans="1:15" ht="18" hidden="1" x14ac:dyDescent="0.25">
      <c r="A11" s="71"/>
      <c r="B11" s="71"/>
      <c r="C11" s="72"/>
      <c r="D11" s="308"/>
      <c r="E11" s="308"/>
      <c r="F11" s="308"/>
      <c r="G11" s="308"/>
      <c r="H11" s="308"/>
      <c r="I11" s="308"/>
      <c r="J11" s="308"/>
      <c r="K11" s="308"/>
      <c r="L11" s="308"/>
      <c r="M11" s="308"/>
      <c r="N11" s="308"/>
      <c r="O11" s="308"/>
    </row>
    <row r="12" spans="1:15" hidden="1" x14ac:dyDescent="0.25">
      <c r="A12" s="71"/>
      <c r="B12" s="71"/>
      <c r="C12" s="72"/>
      <c r="D12" s="309" t="s">
        <v>104</v>
      </c>
      <c r="E12" s="309"/>
      <c r="F12" s="309"/>
      <c r="G12" s="309"/>
      <c r="H12" s="309"/>
      <c r="I12" s="309"/>
      <c r="J12" s="309"/>
      <c r="K12" s="309"/>
      <c r="L12" s="309"/>
      <c r="M12" s="309"/>
      <c r="N12" s="309"/>
      <c r="O12" s="71"/>
    </row>
    <row r="13" spans="1:15" hidden="1" x14ac:dyDescent="0.25">
      <c r="A13" s="71"/>
      <c r="B13" s="71"/>
      <c r="C13" s="74"/>
      <c r="D13" s="71" t="s">
        <v>105</v>
      </c>
      <c r="E13" s="71"/>
      <c r="F13" s="71"/>
      <c r="G13" s="71"/>
      <c r="H13" s="71"/>
      <c r="I13" s="71"/>
      <c r="J13" s="71"/>
      <c r="K13" s="71"/>
      <c r="L13" s="71"/>
      <c r="M13" s="71"/>
      <c r="N13" s="71"/>
      <c r="O13" s="71"/>
    </row>
    <row r="14" spans="1:15" hidden="1" x14ac:dyDescent="0.25">
      <c r="A14" s="71"/>
      <c r="B14" s="71"/>
      <c r="C14" s="72"/>
      <c r="D14" s="71"/>
      <c r="E14" s="71"/>
      <c r="F14" s="71"/>
      <c r="G14" s="71"/>
      <c r="H14" s="71"/>
      <c r="I14" s="71"/>
      <c r="J14" s="71"/>
      <c r="K14" s="71"/>
      <c r="L14" s="71"/>
      <c r="M14" s="71"/>
      <c r="N14" s="71"/>
      <c r="O14" s="71"/>
    </row>
    <row r="15" spans="1:15" hidden="1" x14ac:dyDescent="0.25">
      <c r="A15" s="71"/>
      <c r="B15" s="71"/>
      <c r="C15" s="72"/>
      <c r="D15" s="71"/>
      <c r="E15" s="71"/>
      <c r="F15" s="71"/>
      <c r="G15" s="71"/>
      <c r="H15" s="71"/>
      <c r="I15" s="71"/>
      <c r="J15" s="71"/>
      <c r="K15" s="71"/>
      <c r="L15" s="71"/>
      <c r="M15" s="71"/>
      <c r="N15" s="71"/>
      <c r="O15" s="71"/>
    </row>
    <row r="16" spans="1:15" hidden="1" x14ac:dyDescent="0.25">
      <c r="A16" s="71"/>
      <c r="B16" s="71"/>
      <c r="C16" s="72"/>
      <c r="D16" s="71"/>
      <c r="E16" s="71"/>
      <c r="F16" s="71"/>
      <c r="G16" s="71"/>
      <c r="H16" s="71"/>
      <c r="I16" s="71"/>
      <c r="J16" s="71"/>
      <c r="K16" s="71"/>
      <c r="L16" s="71"/>
      <c r="M16" s="71"/>
      <c r="N16" s="71"/>
      <c r="O16" s="71"/>
    </row>
    <row r="17" spans="1:15" hidden="1" x14ac:dyDescent="0.25">
      <c r="A17" s="71"/>
      <c r="B17" s="71"/>
      <c r="C17" s="72"/>
      <c r="D17" s="71"/>
      <c r="E17" s="71"/>
      <c r="F17" s="71"/>
      <c r="G17" s="71"/>
      <c r="H17" s="71"/>
      <c r="I17" s="71"/>
      <c r="J17" s="71"/>
      <c r="K17" s="71"/>
      <c r="L17" s="71"/>
      <c r="M17" s="71"/>
      <c r="N17" s="71"/>
      <c r="O17" s="71"/>
    </row>
    <row r="18" spans="1:15" hidden="1" x14ac:dyDescent="0.25">
      <c r="A18" s="71"/>
      <c r="B18" s="71"/>
      <c r="C18" s="72"/>
      <c r="D18" s="71"/>
      <c r="E18" s="71"/>
      <c r="F18" s="71"/>
      <c r="G18" s="71"/>
      <c r="H18" s="71"/>
      <c r="I18" s="71"/>
      <c r="J18" s="71"/>
      <c r="K18" s="71"/>
      <c r="L18" s="71"/>
      <c r="M18" s="71"/>
      <c r="N18" s="71"/>
      <c r="O18" s="71"/>
    </row>
    <row r="19" spans="1:15" hidden="1" x14ac:dyDescent="0.25">
      <c r="A19" s="71"/>
      <c r="B19" s="71"/>
      <c r="C19" s="72"/>
      <c r="D19" s="71"/>
      <c r="E19" s="71"/>
      <c r="F19" s="71"/>
      <c r="G19" s="71"/>
      <c r="H19" s="71"/>
      <c r="I19" s="71"/>
      <c r="J19" s="71"/>
      <c r="K19" s="71"/>
      <c r="L19" s="71"/>
      <c r="M19" s="71"/>
      <c r="N19" s="71"/>
      <c r="O19" s="71"/>
    </row>
    <row r="20" spans="1:15" hidden="1" x14ac:dyDescent="0.25">
      <c r="A20" s="71"/>
      <c r="B20" s="71"/>
      <c r="C20" s="72"/>
      <c r="D20" s="71"/>
      <c r="E20" s="71"/>
      <c r="F20" s="71"/>
      <c r="G20" s="71"/>
      <c r="H20" s="71"/>
      <c r="I20" s="71"/>
      <c r="J20" s="71"/>
      <c r="K20" s="71"/>
      <c r="L20" s="71"/>
      <c r="M20" s="71"/>
      <c r="N20" s="71"/>
      <c r="O20" s="71"/>
    </row>
    <row r="21" spans="1:15" hidden="1" x14ac:dyDescent="0.25">
      <c r="A21" s="71"/>
      <c r="B21" s="71"/>
      <c r="C21" s="72"/>
      <c r="D21" s="71"/>
      <c r="E21" s="71"/>
      <c r="F21" s="71"/>
      <c r="G21" s="71"/>
      <c r="H21" s="71"/>
      <c r="I21" s="71"/>
      <c r="J21" s="71"/>
      <c r="K21" s="71"/>
      <c r="L21" s="71"/>
      <c r="M21" s="71"/>
      <c r="N21" s="71"/>
      <c r="O21" s="71"/>
    </row>
    <row r="22" spans="1:15" hidden="1" x14ac:dyDescent="0.25">
      <c r="A22" s="71"/>
      <c r="B22" s="71"/>
      <c r="C22" s="72"/>
      <c r="D22" s="71"/>
      <c r="E22" s="71"/>
      <c r="F22" s="71"/>
      <c r="G22" s="71"/>
      <c r="H22" s="71"/>
      <c r="I22" s="71"/>
      <c r="J22" s="71"/>
      <c r="K22" s="71"/>
      <c r="L22" s="71"/>
      <c r="M22" s="71"/>
      <c r="N22" s="71"/>
      <c r="O22" s="71"/>
    </row>
    <row r="23" spans="1:15" hidden="1" x14ac:dyDescent="0.25">
      <c r="A23" s="71"/>
      <c r="B23" s="71"/>
      <c r="C23" s="72"/>
      <c r="D23" s="71"/>
      <c r="E23" s="71"/>
      <c r="F23" s="71"/>
      <c r="G23" s="71"/>
      <c r="H23" s="71"/>
      <c r="I23" s="71"/>
      <c r="J23" s="71"/>
      <c r="K23" s="71"/>
      <c r="L23" s="71"/>
      <c r="M23" s="71"/>
      <c r="N23" s="71"/>
      <c r="O23" s="71"/>
    </row>
    <row r="24" spans="1:15" hidden="1" x14ac:dyDescent="0.25">
      <c r="A24" s="71"/>
      <c r="B24" s="71"/>
      <c r="C24" s="72"/>
      <c r="D24" s="71"/>
      <c r="E24" s="71"/>
      <c r="F24" s="71"/>
      <c r="G24" s="71"/>
      <c r="H24" s="71"/>
      <c r="I24" s="71"/>
      <c r="J24" s="71"/>
      <c r="K24" s="71"/>
      <c r="L24" s="71"/>
      <c r="M24" s="71"/>
      <c r="N24" s="71"/>
      <c r="O24" s="71"/>
    </row>
    <row r="25" spans="1:15" hidden="1" x14ac:dyDescent="0.25">
      <c r="A25" s="71"/>
      <c r="B25" s="71"/>
      <c r="C25" s="72"/>
      <c r="D25" s="71"/>
      <c r="E25" s="71"/>
      <c r="F25" s="71"/>
      <c r="G25" s="71"/>
      <c r="H25" s="71"/>
      <c r="I25" s="71"/>
      <c r="J25" s="71"/>
      <c r="K25" s="71"/>
      <c r="L25" s="71"/>
      <c r="M25" s="71"/>
      <c r="N25" s="71"/>
      <c r="O25" s="71"/>
    </row>
    <row r="26" spans="1:15" hidden="1" x14ac:dyDescent="0.25">
      <c r="A26" s="71"/>
      <c r="B26" s="71"/>
      <c r="C26" s="72"/>
      <c r="D26" s="71"/>
      <c r="E26" s="71"/>
      <c r="F26" s="71"/>
      <c r="G26" s="71"/>
      <c r="H26" s="71"/>
      <c r="I26" s="71"/>
      <c r="J26" s="71"/>
      <c r="K26" s="71"/>
      <c r="L26" s="71"/>
      <c r="M26" s="71"/>
      <c r="N26" s="71"/>
      <c r="O26" s="71"/>
    </row>
    <row r="27" spans="1:15" hidden="1" x14ac:dyDescent="0.25">
      <c r="A27" s="71"/>
      <c r="B27" s="71"/>
      <c r="C27" s="72"/>
      <c r="D27" s="71"/>
      <c r="E27" s="71"/>
      <c r="F27" s="71"/>
      <c r="G27" s="71"/>
      <c r="H27" s="71"/>
      <c r="I27" s="71"/>
      <c r="J27" s="71"/>
      <c r="K27" s="71"/>
      <c r="L27" s="71"/>
      <c r="M27" s="71"/>
      <c r="N27" s="71"/>
      <c r="O27" s="71"/>
    </row>
    <row r="28" spans="1:15" ht="15.75" x14ac:dyDescent="0.25">
      <c r="A28" s="71"/>
      <c r="B28" s="71"/>
      <c r="C28" s="72"/>
      <c r="D28" s="75" t="s">
        <v>106</v>
      </c>
      <c r="E28" s="71"/>
      <c r="F28" s="71"/>
      <c r="G28" s="71"/>
      <c r="H28" s="71"/>
      <c r="I28" s="71"/>
      <c r="J28" s="71"/>
      <c r="K28" s="71"/>
      <c r="L28" s="71"/>
      <c r="M28" s="71"/>
      <c r="N28" s="71"/>
      <c r="O28" s="71"/>
    </row>
    <row r="29" spans="1:15" ht="64.5" x14ac:dyDescent="0.25">
      <c r="A29" s="71"/>
      <c r="B29" s="71"/>
      <c r="C29" s="72"/>
      <c r="D29" s="278" t="s">
        <v>107</v>
      </c>
      <c r="E29" s="279"/>
      <c r="F29" s="280"/>
      <c r="G29" s="76" t="s">
        <v>108</v>
      </c>
      <c r="H29" s="77" t="s">
        <v>109</v>
      </c>
      <c r="I29" s="77" t="s">
        <v>110</v>
      </c>
      <c r="J29" s="77" t="s">
        <v>111</v>
      </c>
      <c r="K29" s="77" t="s">
        <v>112</v>
      </c>
      <c r="L29" s="77" t="s">
        <v>113</v>
      </c>
      <c r="M29" s="78" t="s">
        <v>114</v>
      </c>
      <c r="N29" s="79" t="s">
        <v>115</v>
      </c>
      <c r="O29" s="71"/>
    </row>
    <row r="30" spans="1:15" x14ac:dyDescent="0.25">
      <c r="A30" s="71"/>
      <c r="B30" s="71">
        <v>1</v>
      </c>
      <c r="C30" s="80">
        <v>1</v>
      </c>
      <c r="D30" s="81" t="s">
        <v>116</v>
      </c>
      <c r="E30" s="82"/>
      <c r="F30" s="83"/>
      <c r="G30" s="84" t="str">
        <f>IF(ISERROR(VLOOKUP(D30, '[1]4. Billing Det. for Def-Var'!$A$16:$B$16, 2, FALSE)),"", VLOOKUP(D30,'[1]4. Billing Det. for Def-Var'!$A$16:$B$16, 2, FALSE))</f>
        <v/>
      </c>
      <c r="H30" s="85" t="s">
        <v>117</v>
      </c>
      <c r="I30" s="86">
        <v>1.056</v>
      </c>
      <c r="J30" s="87">
        <f t="shared" ref="J30:J49" si="0">IF(ISBLANK(I30),"", I30)</f>
        <v>1.056</v>
      </c>
      <c r="K30" s="88">
        <v>750</v>
      </c>
      <c r="L30" s="88"/>
      <c r="M30" s="85" t="s">
        <v>118</v>
      </c>
      <c r="N30" s="89"/>
      <c r="O30" s="71"/>
    </row>
    <row r="31" spans="1:15" x14ac:dyDescent="0.25">
      <c r="A31" s="71"/>
      <c r="B31" s="71">
        <v>2</v>
      </c>
      <c r="C31" s="80">
        <v>2</v>
      </c>
      <c r="D31" s="81" t="s">
        <v>119</v>
      </c>
      <c r="E31" s="82"/>
      <c r="F31" s="83"/>
      <c r="G31" s="84" t="str">
        <f>IF(ISERROR(VLOOKUP(D31, '[1]4. Billing Det. for Def-Var'!$A$16:$B$16, 2, FALSE)),"", VLOOKUP(D31,'[1]4. Billing Det. for Def-Var'!$A$16:$B$16, 2, FALSE))</f>
        <v/>
      </c>
      <c r="H31" s="85" t="s">
        <v>117</v>
      </c>
      <c r="I31" s="86">
        <v>1.056</v>
      </c>
      <c r="J31" s="87">
        <f t="shared" si="0"/>
        <v>1.056</v>
      </c>
      <c r="K31" s="88">
        <v>2000</v>
      </c>
      <c r="L31" s="88"/>
      <c r="M31" s="85" t="s">
        <v>118</v>
      </c>
      <c r="N31" s="89"/>
      <c r="O31" s="71"/>
    </row>
    <row r="32" spans="1:15" x14ac:dyDescent="0.25">
      <c r="A32" s="71"/>
      <c r="B32" s="71">
        <v>3</v>
      </c>
      <c r="C32" s="80">
        <v>3</v>
      </c>
      <c r="D32" s="81" t="s">
        <v>120</v>
      </c>
      <c r="E32" s="82"/>
      <c r="F32" s="83"/>
      <c r="G32" s="84" t="str">
        <f>IF(ISERROR(VLOOKUP(D32, '[1]4. Billing Det. for Def-Var'!$A$16:$B$16, 2, FALSE)),"", VLOOKUP(D32,'[1]4. Billing Det. for Def-Var'!$A$16:$B$16, 2, FALSE))</f>
        <v/>
      </c>
      <c r="H32" s="85" t="s">
        <v>121</v>
      </c>
      <c r="I32" s="86">
        <v>1.056</v>
      </c>
      <c r="J32" s="87">
        <f t="shared" si="0"/>
        <v>1.056</v>
      </c>
      <c r="K32" s="88">
        <v>328500</v>
      </c>
      <c r="L32" s="88">
        <v>500</v>
      </c>
      <c r="M32" s="85" t="s">
        <v>122</v>
      </c>
      <c r="N32" s="89"/>
      <c r="O32" s="71"/>
    </row>
    <row r="33" spans="1:15" x14ac:dyDescent="0.25">
      <c r="A33" s="71"/>
      <c r="B33" s="71">
        <v>4</v>
      </c>
      <c r="C33" s="80">
        <v>4</v>
      </c>
      <c r="D33" s="81" t="s">
        <v>123</v>
      </c>
      <c r="E33" s="82"/>
      <c r="F33" s="83"/>
      <c r="G33" s="84" t="str">
        <f>IF(ISERROR(VLOOKUP(D33, '[1]4. Billing Det. for Def-Var'!$A$16:$B$16, 2, FALSE)),"", VLOOKUP(D33,'[1]4. Billing Det. for Def-Var'!$A$16:$B$16, 2, FALSE))</f>
        <v/>
      </c>
      <c r="H33" s="85" t="s">
        <v>121</v>
      </c>
      <c r="I33" s="86">
        <v>1.056</v>
      </c>
      <c r="J33" s="87">
        <f t="shared" si="0"/>
        <v>1.056</v>
      </c>
      <c r="K33" s="88">
        <v>1600000</v>
      </c>
      <c r="L33" s="88">
        <v>2500</v>
      </c>
      <c r="M33" s="85" t="s">
        <v>124</v>
      </c>
      <c r="N33" s="89"/>
      <c r="O33" s="71"/>
    </row>
    <row r="34" spans="1:15" x14ac:dyDescent="0.25">
      <c r="A34" s="71"/>
      <c r="B34" s="71">
        <v>5</v>
      </c>
      <c r="C34" s="80">
        <v>5</v>
      </c>
      <c r="D34" s="81" t="s">
        <v>125</v>
      </c>
      <c r="E34" s="82"/>
      <c r="F34" s="83"/>
      <c r="G34" s="84" t="str">
        <f>IF(ISERROR(VLOOKUP(D34, '[1]4. Billing Det. for Def-Var'!$A$16:$B$16, 2, FALSE)),"", VLOOKUP(D34,'[1]4. Billing Det. for Def-Var'!$A$16:$B$16, 2, FALSE))</f>
        <v/>
      </c>
      <c r="H34" s="85" t="s">
        <v>117</v>
      </c>
      <c r="I34" s="86">
        <v>1.056</v>
      </c>
      <c r="J34" s="87">
        <f t="shared" si="0"/>
        <v>1.056</v>
      </c>
      <c r="K34" s="88">
        <v>150</v>
      </c>
      <c r="L34" s="88"/>
      <c r="M34" s="85" t="s">
        <v>118</v>
      </c>
      <c r="N34" s="90"/>
      <c r="O34" s="71"/>
    </row>
    <row r="35" spans="1:15" x14ac:dyDescent="0.25">
      <c r="A35" s="71"/>
      <c r="B35" s="71">
        <v>6</v>
      </c>
      <c r="C35" s="80">
        <v>6</v>
      </c>
      <c r="D35" s="81" t="s">
        <v>126</v>
      </c>
      <c r="E35" s="82"/>
      <c r="F35" s="83"/>
      <c r="G35" s="84" t="str">
        <f>IF(ISERROR(VLOOKUP(D35, '[1]4. Billing Det. for Def-Var'!$A$16:$B$16, 2, FALSE)),"", VLOOKUP(D35,'[1]4. Billing Det. for Def-Var'!$A$16:$B$16, 2, FALSE))</f>
        <v/>
      </c>
      <c r="H35" s="85" t="s">
        <v>117</v>
      </c>
      <c r="I35" s="86">
        <v>1.056</v>
      </c>
      <c r="J35" s="87">
        <f t="shared" si="0"/>
        <v>1.056</v>
      </c>
      <c r="K35" s="88">
        <v>650</v>
      </c>
      <c r="L35" s="88">
        <v>1</v>
      </c>
      <c r="M35" s="85" t="s">
        <v>122</v>
      </c>
      <c r="N35" s="90"/>
      <c r="O35" s="71"/>
    </row>
    <row r="36" spans="1:15" x14ac:dyDescent="0.25">
      <c r="A36" s="71"/>
      <c r="B36" s="71">
        <v>7</v>
      </c>
      <c r="C36" s="80">
        <v>7</v>
      </c>
      <c r="D36" s="81" t="s">
        <v>127</v>
      </c>
      <c r="E36" s="82"/>
      <c r="F36" s="83"/>
      <c r="G36" s="84" t="str">
        <f>IF(ISERROR(VLOOKUP(D36, '[1]4. Billing Det. for Def-Var'!$A$16:$B$16, 2, FALSE)),"", VLOOKUP(D36,'[1]4. Billing Det. for Def-Var'!$A$16:$B$16, 2, FALSE))</f>
        <v/>
      </c>
      <c r="H36" s="85" t="s">
        <v>121</v>
      </c>
      <c r="I36" s="86">
        <v>1.056</v>
      </c>
      <c r="J36" s="87">
        <f t="shared" si="0"/>
        <v>1.056</v>
      </c>
      <c r="K36" s="88">
        <v>94033.37</v>
      </c>
      <c r="L36" s="88">
        <v>251</v>
      </c>
      <c r="M36" s="85" t="s">
        <v>122</v>
      </c>
      <c r="N36" s="90"/>
      <c r="O36" s="71"/>
    </row>
    <row r="37" spans="1:15" x14ac:dyDescent="0.25">
      <c r="A37" s="71"/>
      <c r="B37" s="71">
        <v>8</v>
      </c>
      <c r="C37" s="80">
        <f>IF(ISERROR(VLOOKUP(D37, D30:AS49, 42, FALSE)),"", VLOOKUP(D37, D30:AS49, 42, FALSE))</f>
        <v>0</v>
      </c>
      <c r="D37" s="91" t="s">
        <v>116</v>
      </c>
      <c r="E37" s="92"/>
      <c r="F37" s="93"/>
      <c r="G37" s="84" t="str">
        <f>IF(ISERROR(VLOOKUP(D37, '[1]4. Billing Det. for Def-Var'!$A$16:$B$16, 2, FALSE)),"", VLOOKUP(D37,'[1]4. Billing Det. for Def-Var'!$A$16:$B$16, 2, FALSE))</f>
        <v/>
      </c>
      <c r="H37" s="85" t="s">
        <v>117</v>
      </c>
      <c r="I37" s="86">
        <v>1.056</v>
      </c>
      <c r="J37" s="87">
        <f t="shared" si="0"/>
        <v>1.056</v>
      </c>
      <c r="K37" s="88">
        <v>342</v>
      </c>
      <c r="L37" s="88"/>
      <c r="M37" s="85" t="s">
        <v>118</v>
      </c>
      <c r="N37" s="89"/>
      <c r="O37" s="71"/>
    </row>
    <row r="38" spans="1:15" x14ac:dyDescent="0.25">
      <c r="A38" s="71"/>
      <c r="B38" s="71">
        <v>9</v>
      </c>
      <c r="C38" s="80">
        <f>IF(ISERROR(VLOOKUP(D38, D30:AS49, 42, FALSE)),"", VLOOKUP(D38, D30:AS49, 42, FALSE))</f>
        <v>0</v>
      </c>
      <c r="D38" s="91" t="s">
        <v>116</v>
      </c>
      <c r="E38" s="92"/>
      <c r="F38" s="93"/>
      <c r="G38" s="84" t="str">
        <f>IF(ISERROR(VLOOKUP(D38, '[1]4. Billing Det. for Def-Var'!$A$16:$B$16, 2, FALSE)),"", VLOOKUP(D38,'[1]4. Billing Det. for Def-Var'!$A$16:$B$16, 2, FALSE))</f>
        <v/>
      </c>
      <c r="H38" s="85" t="s">
        <v>117</v>
      </c>
      <c r="I38" s="86">
        <v>1.056</v>
      </c>
      <c r="J38" s="87">
        <f t="shared" si="0"/>
        <v>1.056</v>
      </c>
      <c r="K38" s="88">
        <v>1000</v>
      </c>
      <c r="L38" s="88"/>
      <c r="M38" s="85" t="s">
        <v>118</v>
      </c>
      <c r="N38" s="89"/>
      <c r="O38" s="71"/>
    </row>
    <row r="39" spans="1:15" x14ac:dyDescent="0.25">
      <c r="A39" s="71"/>
      <c r="B39" s="71">
        <v>10</v>
      </c>
      <c r="C39" s="80">
        <f>IF(ISERROR(VLOOKUP(D39, D30:AS49, 42, FALSE)),"", VLOOKUP(D39, D30:AS49, 42, FALSE))</f>
        <v>0</v>
      </c>
      <c r="D39" s="91" t="s">
        <v>116</v>
      </c>
      <c r="E39" s="92"/>
      <c r="F39" s="93"/>
      <c r="G39" s="84" t="str">
        <f>IF(ISERROR(VLOOKUP(D39, '[1]4. Billing Det. for Def-Var'!$A$16:$B$16, 2, FALSE)),"", VLOOKUP(D39,'[1]4. Billing Det. for Def-Var'!$A$16:$B$16, 2, FALSE))</f>
        <v/>
      </c>
      <c r="H39" s="85" t="s">
        <v>117</v>
      </c>
      <c r="I39" s="86">
        <v>1.056</v>
      </c>
      <c r="J39" s="87">
        <f t="shared" si="0"/>
        <v>1.056</v>
      </c>
      <c r="K39" s="88">
        <v>2500</v>
      </c>
      <c r="L39" s="88"/>
      <c r="M39" s="85" t="s">
        <v>118</v>
      </c>
      <c r="N39" s="89"/>
      <c r="O39" s="71"/>
    </row>
    <row r="40" spans="1:15" x14ac:dyDescent="0.25">
      <c r="A40" s="71"/>
      <c r="B40" s="71">
        <v>11</v>
      </c>
      <c r="C40" s="80">
        <f>IF(ISERROR(VLOOKUP(D40, D30:AS49, 42, FALSE)),"", VLOOKUP(D40, D30:AS49, 42, FALSE))</f>
        <v>0</v>
      </c>
      <c r="D40" s="91" t="s">
        <v>119</v>
      </c>
      <c r="E40" s="92"/>
      <c r="F40" s="93"/>
      <c r="G40" s="84" t="str">
        <f>IF(ISERROR(VLOOKUP(D40, '[1]4. Billing Det. for Def-Var'!$A$16:$B$16, 2, FALSE)),"", VLOOKUP(D40,'[1]4. Billing Det. for Def-Var'!$A$16:$B$16, 2, FALSE))</f>
        <v/>
      </c>
      <c r="H40" s="85" t="s">
        <v>117</v>
      </c>
      <c r="I40" s="86">
        <v>1.056</v>
      </c>
      <c r="J40" s="87">
        <f t="shared" si="0"/>
        <v>1.056</v>
      </c>
      <c r="K40" s="88">
        <v>500</v>
      </c>
      <c r="L40" s="88"/>
      <c r="M40" s="85" t="s">
        <v>118</v>
      </c>
      <c r="N40" s="89"/>
      <c r="O40" s="71"/>
    </row>
    <row r="41" spans="1:15" x14ac:dyDescent="0.25">
      <c r="A41" s="71"/>
      <c r="B41" s="71">
        <v>12</v>
      </c>
      <c r="C41" s="80">
        <f>IF(ISERROR(VLOOKUP(D41, D30:AS49, 42, FALSE)),"", VLOOKUP(D41, D30:AS49, 42, FALSE))</f>
        <v>0</v>
      </c>
      <c r="D41" s="91" t="s">
        <v>119</v>
      </c>
      <c r="E41" s="92"/>
      <c r="F41" s="93"/>
      <c r="G41" s="84" t="str">
        <f>IF(ISERROR(VLOOKUP(D41, '[1]4. Billing Det. for Def-Var'!$A$16:$B$16, 2, FALSE)),"", VLOOKUP(D41,'[1]4. Billing Det. for Def-Var'!$A$16:$B$16, 2, FALSE))</f>
        <v/>
      </c>
      <c r="H41" s="85" t="s">
        <v>117</v>
      </c>
      <c r="I41" s="86">
        <v>1.056</v>
      </c>
      <c r="J41" s="87">
        <f t="shared" si="0"/>
        <v>1.056</v>
      </c>
      <c r="K41" s="88">
        <v>5000</v>
      </c>
      <c r="L41" s="88"/>
      <c r="M41" s="85" t="s">
        <v>118</v>
      </c>
      <c r="N41" s="89"/>
      <c r="O41" s="71"/>
    </row>
    <row r="42" spans="1:15" x14ac:dyDescent="0.25">
      <c r="A42" s="71"/>
      <c r="B42" s="71">
        <v>13</v>
      </c>
      <c r="C42" s="80">
        <f>IF(ISERROR(VLOOKUP(D42, D30:AS49, 42, FALSE)),"", VLOOKUP(D42, D30:AS49, 42, FALSE))</f>
        <v>0</v>
      </c>
      <c r="D42" s="91" t="s">
        <v>119</v>
      </c>
      <c r="E42" s="92"/>
      <c r="F42" s="93"/>
      <c r="G42" s="84" t="str">
        <f>IF(ISERROR(VLOOKUP(D42, '[1]4. Billing Det. for Def-Var'!$A$16:$B$16, 2, FALSE)),"", VLOOKUP(D42,'[1]4. Billing Det. for Def-Var'!$A$16:$B$16, 2, FALSE))</f>
        <v/>
      </c>
      <c r="H42" s="85" t="s">
        <v>117</v>
      </c>
      <c r="I42" s="86">
        <v>1.056</v>
      </c>
      <c r="J42" s="87">
        <f t="shared" si="0"/>
        <v>1.056</v>
      </c>
      <c r="K42" s="88">
        <v>15000</v>
      </c>
      <c r="L42" s="88"/>
      <c r="M42" s="85" t="s">
        <v>118</v>
      </c>
      <c r="N42" s="89"/>
      <c r="O42" s="71"/>
    </row>
    <row r="43" spans="1:15" x14ac:dyDescent="0.25">
      <c r="A43" s="71"/>
      <c r="B43" s="71">
        <v>14</v>
      </c>
      <c r="C43" s="80">
        <f>IF(ISERROR(VLOOKUP(D43, D30:AS49, 42, FALSE)),"", VLOOKUP(D43, D30:AS49, 42, FALSE))</f>
        <v>0</v>
      </c>
      <c r="D43" s="91" t="s">
        <v>120</v>
      </c>
      <c r="E43" s="92"/>
      <c r="F43" s="93"/>
      <c r="G43" s="84" t="str">
        <f>IF(ISERROR(VLOOKUP(D43, '[1]4. Billing Det. for Def-Var'!$A$16:$B$16, 2, FALSE)),"", VLOOKUP(D43,'[1]4. Billing Det. for Def-Var'!$A$16:$B$16, 2, FALSE))</f>
        <v/>
      </c>
      <c r="H43" s="85" t="s">
        <v>121</v>
      </c>
      <c r="I43" s="86">
        <v>1.056</v>
      </c>
      <c r="J43" s="87">
        <f t="shared" si="0"/>
        <v>1.056</v>
      </c>
      <c r="K43" s="88">
        <v>20000</v>
      </c>
      <c r="L43" s="88">
        <v>60</v>
      </c>
      <c r="M43" s="85" t="s">
        <v>122</v>
      </c>
      <c r="N43" s="89"/>
      <c r="O43" s="71"/>
    </row>
    <row r="44" spans="1:15" x14ac:dyDescent="0.25">
      <c r="A44" s="71"/>
      <c r="B44" s="71">
        <v>15</v>
      </c>
      <c r="C44" s="80">
        <f>IF(ISERROR(VLOOKUP(D44, D30:AS49, 42, FALSE)),"", VLOOKUP(D44, D30:AS49, 42, FALSE))</f>
        <v>0</v>
      </c>
      <c r="D44" s="91" t="s">
        <v>120</v>
      </c>
      <c r="E44" s="92"/>
      <c r="F44" s="93"/>
      <c r="G44" s="84" t="str">
        <f>IF(ISERROR(VLOOKUP(D44, '[1]4. Billing Det. for Def-Var'!$A$16:$B$16, 2, FALSE)),"", VLOOKUP(D44,'[1]4. Billing Det. for Def-Var'!$A$16:$B$16, 2, FALSE))</f>
        <v/>
      </c>
      <c r="H44" s="85" t="s">
        <v>121</v>
      </c>
      <c r="I44" s="86">
        <v>1.056</v>
      </c>
      <c r="J44" s="87">
        <f t="shared" si="0"/>
        <v>1.056</v>
      </c>
      <c r="K44" s="88">
        <v>500000</v>
      </c>
      <c r="L44" s="88">
        <v>750</v>
      </c>
      <c r="M44" s="85" t="s">
        <v>122</v>
      </c>
      <c r="N44" s="89"/>
      <c r="O44" s="71"/>
    </row>
    <row r="45" spans="1:15" x14ac:dyDescent="0.25">
      <c r="A45" s="71"/>
      <c r="B45" s="71">
        <v>16</v>
      </c>
      <c r="C45" s="80">
        <f>IF(ISERROR(VLOOKUP(D45, D30:AS49, 42, FALSE)),"", VLOOKUP(D45, D30:AS49, 42, FALSE))</f>
        <v>0</v>
      </c>
      <c r="D45" s="91" t="s">
        <v>123</v>
      </c>
      <c r="E45" s="92"/>
      <c r="F45" s="93"/>
      <c r="G45" s="84" t="str">
        <f>IF(ISERROR(VLOOKUP(D45, '[1]4. Billing Det. for Def-Var'!$A$16:$B$16, 2, FALSE)),"", VLOOKUP(D45,'[1]4. Billing Det. for Def-Var'!$A$16:$B$16, 2, FALSE))</f>
        <v/>
      </c>
      <c r="H45" s="85" t="s">
        <v>121</v>
      </c>
      <c r="I45" s="86">
        <v>1.056</v>
      </c>
      <c r="J45" s="87">
        <f t="shared" si="0"/>
        <v>1.056</v>
      </c>
      <c r="K45" s="88">
        <v>1000000</v>
      </c>
      <c r="L45" s="88">
        <v>2000</v>
      </c>
      <c r="M45" s="85" t="s">
        <v>124</v>
      </c>
      <c r="N45" s="89"/>
      <c r="O45" s="71"/>
    </row>
    <row r="46" spans="1:15" x14ac:dyDescent="0.25">
      <c r="A46" s="71"/>
      <c r="B46" s="71">
        <v>17</v>
      </c>
      <c r="C46" s="80">
        <f>IF(ISERROR(VLOOKUP(D46, D30:AS49, 42, FALSE)),"", VLOOKUP(D46, D30:AS49, 42, FALSE))</f>
        <v>0</v>
      </c>
      <c r="D46" s="91" t="s">
        <v>123</v>
      </c>
      <c r="E46" s="92"/>
      <c r="F46" s="93"/>
      <c r="G46" s="84" t="str">
        <f>IF(ISERROR(VLOOKUP(D46, '[1]4. Billing Det. for Def-Var'!$A$16:$B$16, 2, FALSE)),"", VLOOKUP(D46,'[1]4. Billing Det. for Def-Var'!$A$16:$B$16, 2, FALSE))</f>
        <v/>
      </c>
      <c r="H46" s="85" t="s">
        <v>121</v>
      </c>
      <c r="I46" s="86">
        <v>1.056</v>
      </c>
      <c r="J46" s="87">
        <f t="shared" si="0"/>
        <v>1.056</v>
      </c>
      <c r="K46" s="88">
        <v>3000000</v>
      </c>
      <c r="L46" s="88">
        <v>4000</v>
      </c>
      <c r="M46" s="85" t="s">
        <v>124</v>
      </c>
      <c r="N46" s="89"/>
      <c r="O46" s="71"/>
    </row>
    <row r="47" spans="1:15" x14ac:dyDescent="0.25">
      <c r="A47" s="71"/>
      <c r="B47" s="71">
        <v>18</v>
      </c>
      <c r="C47" s="80">
        <f>IF(ISERROR(VLOOKUP(D47, D30:AS49, 42, FALSE)),"", VLOOKUP(D47, D30:AS49, 42, FALSE))</f>
        <v>0</v>
      </c>
      <c r="D47" s="91" t="s">
        <v>120</v>
      </c>
      <c r="E47" s="92"/>
      <c r="F47" s="93"/>
      <c r="G47" s="84" t="str">
        <f>IF(ISERROR(VLOOKUP(D47, '[1]4. Billing Det. for Def-Var'!$A$16:$B$16, 2, FALSE)),"", VLOOKUP(D47,'[1]4. Billing Det. for Def-Var'!$A$16:$B$16, 2, FALSE))</f>
        <v/>
      </c>
      <c r="H47" s="85" t="s">
        <v>117</v>
      </c>
      <c r="I47" s="86">
        <v>1.056</v>
      </c>
      <c r="J47" s="87">
        <f t="shared" si="0"/>
        <v>1.056</v>
      </c>
      <c r="K47" s="88">
        <v>69000</v>
      </c>
      <c r="L47" s="88">
        <v>160</v>
      </c>
      <c r="M47" s="85" t="s">
        <v>122</v>
      </c>
      <c r="N47" s="89"/>
      <c r="O47" s="71"/>
    </row>
    <row r="48" spans="1:15" x14ac:dyDescent="0.25">
      <c r="A48" s="71"/>
      <c r="B48" s="71">
        <v>19</v>
      </c>
      <c r="C48" s="80">
        <f>IF(ISERROR(VLOOKUP(D37, D30:AS49, 42, FALSE)),"", VLOOKUP(D37, D30:AS49, 42, FALSE))</f>
        <v>0</v>
      </c>
      <c r="D48" s="91" t="s">
        <v>128</v>
      </c>
      <c r="E48" s="92"/>
      <c r="F48" s="93"/>
      <c r="G48" s="84" t="str">
        <f>IF(ISERROR(VLOOKUP(D48, '[1]4. Billing Det. for Def-Var'!$A$16:$B$16, 2, FALSE)),"", VLOOKUP(D48,'[1]4. Billing Det. for Def-Var'!$A$16:$B$16, 2, FALSE))</f>
        <v/>
      </c>
      <c r="H48" s="85"/>
      <c r="I48" s="86"/>
      <c r="J48" s="87" t="str">
        <f t="shared" si="0"/>
        <v/>
      </c>
      <c r="K48" s="88"/>
      <c r="L48" s="88"/>
      <c r="M48" s="85"/>
      <c r="N48" s="89"/>
      <c r="O48" s="71"/>
    </row>
    <row r="49" spans="1:15" x14ac:dyDescent="0.25">
      <c r="A49" s="71"/>
      <c r="B49" s="71">
        <v>20</v>
      </c>
      <c r="C49" s="80">
        <f>IF(ISERROR(VLOOKUP(D38, D30:AS49, 42, FALSE)),"", VLOOKUP(D38, D30:AS49, 42, FALSE))</f>
        <v>0</v>
      </c>
      <c r="D49" s="91" t="s">
        <v>128</v>
      </c>
      <c r="E49" s="92"/>
      <c r="F49" s="93"/>
      <c r="G49" s="84" t="str">
        <f>IF(ISERROR(VLOOKUP(D49, '[1]4. Billing Det. for Def-Var'!$A$16:$B$16, 2, FALSE)),"", VLOOKUP(D49,'[1]4. Billing Det. for Def-Var'!$A$16:$B$16, 2, FALSE))</f>
        <v/>
      </c>
      <c r="H49" s="85"/>
      <c r="I49" s="86"/>
      <c r="J49" s="87" t="str">
        <f t="shared" si="0"/>
        <v/>
      </c>
      <c r="K49" s="88"/>
      <c r="L49" s="88"/>
      <c r="M49" s="85"/>
      <c r="N49" s="89"/>
      <c r="O49" s="71"/>
    </row>
    <row r="50" spans="1:15" x14ac:dyDescent="0.25">
      <c r="A50" s="71"/>
      <c r="B50" s="71"/>
      <c r="C50" s="72"/>
      <c r="D50" s="71"/>
      <c r="E50" s="71"/>
      <c r="F50" s="71"/>
      <c r="G50" s="71"/>
      <c r="H50" s="71"/>
      <c r="I50" s="71"/>
      <c r="J50" s="71"/>
      <c r="K50" s="71"/>
      <c r="L50" s="71"/>
      <c r="M50" s="71"/>
      <c r="N50" s="71"/>
      <c r="O50" s="71"/>
    </row>
    <row r="51" spans="1:15" ht="15.75" x14ac:dyDescent="0.25">
      <c r="A51" s="71"/>
      <c r="B51" s="71"/>
      <c r="C51" s="72"/>
      <c r="D51" s="75" t="s">
        <v>129</v>
      </c>
      <c r="E51" s="71"/>
      <c r="F51" s="71"/>
      <c r="G51" s="71"/>
      <c r="H51" s="71"/>
      <c r="I51" s="71"/>
      <c r="J51" s="71"/>
      <c r="K51" s="71"/>
      <c r="L51" s="71"/>
      <c r="M51" s="71"/>
      <c r="N51" s="71"/>
      <c r="O51" s="71"/>
    </row>
    <row r="52" spans="1:15" x14ac:dyDescent="0.25">
      <c r="A52" s="71"/>
      <c r="B52" s="71"/>
      <c r="C52" s="72"/>
      <c r="D52" s="281" t="s">
        <v>107</v>
      </c>
      <c r="E52" s="282"/>
      <c r="F52" s="283"/>
      <c r="G52" s="290" t="s">
        <v>108</v>
      </c>
      <c r="H52" s="291" t="s">
        <v>130</v>
      </c>
      <c r="I52" s="291"/>
      <c r="J52" s="291"/>
      <c r="K52" s="291"/>
      <c r="L52" s="291"/>
      <c r="M52" s="291"/>
      <c r="N52" s="291" t="s">
        <v>93</v>
      </c>
      <c r="O52" s="291"/>
    </row>
    <row r="53" spans="1:15" x14ac:dyDescent="0.25">
      <c r="A53" s="71"/>
      <c r="B53" s="71"/>
      <c r="C53" s="72"/>
      <c r="D53" s="284"/>
      <c r="E53" s="285"/>
      <c r="F53" s="286"/>
      <c r="G53" s="290"/>
      <c r="H53" s="292" t="s">
        <v>3</v>
      </c>
      <c r="I53" s="292"/>
      <c r="J53" s="292" t="s">
        <v>6</v>
      </c>
      <c r="K53" s="292"/>
      <c r="L53" s="292" t="s">
        <v>8</v>
      </c>
      <c r="M53" s="292"/>
      <c r="N53" s="292" t="s">
        <v>131</v>
      </c>
      <c r="O53" s="292"/>
    </row>
    <row r="54" spans="1:15" x14ac:dyDescent="0.25">
      <c r="A54" s="71"/>
      <c r="B54" s="71"/>
      <c r="C54" s="72"/>
      <c r="D54" s="287"/>
      <c r="E54" s="288"/>
      <c r="F54" s="289"/>
      <c r="G54" s="290"/>
      <c r="H54" s="94" t="s">
        <v>132</v>
      </c>
      <c r="I54" s="94" t="s">
        <v>133</v>
      </c>
      <c r="J54" s="94" t="s">
        <v>132</v>
      </c>
      <c r="K54" s="94" t="s">
        <v>133</v>
      </c>
      <c r="L54" s="94" t="s">
        <v>132</v>
      </c>
      <c r="M54" s="94" t="s">
        <v>133</v>
      </c>
      <c r="N54" s="94" t="s">
        <v>132</v>
      </c>
      <c r="O54" s="94" t="s">
        <v>133</v>
      </c>
    </row>
    <row r="55" spans="1:15" x14ac:dyDescent="0.25">
      <c r="A55" s="71"/>
      <c r="B55" s="71" t="str">
        <f>H30</f>
        <v>RPP</v>
      </c>
      <c r="C55" s="72">
        <v>1</v>
      </c>
      <c r="D55" s="293" t="str">
        <f t="shared" ref="D55:D74" si="1">IF(ISBLANK(D30), "", IF(D30 = "Add additional scenarios if required", "", IF(M30="YES", D30 &amp; " - " &amp; H30 &amp; " - Interval Customers", D30 &amp; " - " &amp;H30)))</f>
        <v>RESIDENTIAL SERVICE CLASSIFICATION - RPP</v>
      </c>
      <c r="E55" s="294"/>
      <c r="F55" s="294"/>
      <c r="G55" s="95" t="str">
        <f t="shared" ref="G55:G69" si="2">IF(ISBLANK(G30), "", G30)</f>
        <v/>
      </c>
      <c r="H55" s="96" t="str">
        <f>IF(LEN($G55)&gt;1, (SUMPRODUCT(--($C$78:$C$2000=$B30), --($A$78:$A$2000=$D30), --($B$78:$B$2000="ST_A"), $L$78:$L$2000)), "")</f>
        <v/>
      </c>
      <c r="I55" s="97" t="str">
        <f>IF(LEN($G55)&gt;1, (SUMPRODUCT(--($C$78:$C$2000=$B30), --($A$78:$A$2000=$D30), --($B$78:$B$2000="ST_A"), $M$78:$M$2000)), "")</f>
        <v/>
      </c>
      <c r="J55" s="96" t="str">
        <f>IF(LEN($G55)&gt;1, (SUMPRODUCT(--($C$78:$C$2000=$B30), --($A$78:$A$2000=$D30), --($B$78:$B$2000="ST_B"), $L$78:$L$2000)), "")</f>
        <v/>
      </c>
      <c r="K55" s="97" t="str">
        <f>IF(LEN($G55)&gt;1, (SUMPRODUCT(--($C$78:$C$2000=$B30), --($A$78:$A$2000=$D30), --($B$78:$B$2000="ST_B"), $M$78:$M$2000)), "")</f>
        <v/>
      </c>
      <c r="L55" s="96" t="str">
        <f>IF(LEN($G55)&gt;1, (SUMPRODUCT(--($C$78:$C$2000=$B30), --($A$78:$A$2000=$D30), --($B$78:$B$2000="ST_C"), $L$78:$L$2000)), "")</f>
        <v/>
      </c>
      <c r="M55" s="97" t="str">
        <f>IF(LEN($G55)&gt;1, (SUMPRODUCT(--($C$78:$C$2000=$B30), --($A$78:$A$2000=$D30), --($B$78:$B$2000="ST_C"), $M$78:$M$2000)), "")</f>
        <v/>
      </c>
      <c r="N55" s="96" t="str">
        <f>IF(LEN($G55)&gt;1, (SUMPRODUCT(--($C$78:$C$2000=$B30), --($A$78:$A$2000=$D30), --($B$78:$B$2000=$B55&amp;"_TOTAL"), $L$78:$L$2000)), "")</f>
        <v/>
      </c>
      <c r="O55" s="97" t="str">
        <f>IF(LEN($G55)&gt;1, (SUMPRODUCT(--($C$78:$C$2000=$B30), --($A$78:$A$2000=$D30), --($B$78:$B$2000=$B55&amp;"_TOTAL"), $M$78:$M$2000)), "")</f>
        <v/>
      </c>
    </row>
    <row r="56" spans="1:15" x14ac:dyDescent="0.25">
      <c r="A56" s="71"/>
      <c r="B56" s="71" t="str">
        <f t="shared" ref="B56:B74" si="3">H31</f>
        <v>RPP</v>
      </c>
      <c r="C56" s="72">
        <v>2</v>
      </c>
      <c r="D56" s="293" t="str">
        <f t="shared" si="1"/>
        <v>GENERAL SERVICE LESS THAN 50 KW SERVICE CLASSIFICATION - RPP</v>
      </c>
      <c r="E56" s="294"/>
      <c r="F56" s="294"/>
      <c r="G56" s="95" t="str">
        <f t="shared" si="2"/>
        <v/>
      </c>
      <c r="H56" s="96" t="str">
        <f t="shared" ref="H56:H74" si="4">IF(LEN($G56)&gt;1, (SUMPRODUCT(--($C$78:$C$2000=$B31), --($A$78:$A$2000=$D31), --($B$78:$B$2000="ST_A"), $L$78:$L$2000)), "")</f>
        <v/>
      </c>
      <c r="I56" s="97" t="str">
        <f t="shared" ref="I56:I74" si="5">IF(LEN($G56)&gt;1, (SUMPRODUCT(--($C$78:$C$2000=$B31), --($A$78:$A$2000=$D31), --($B$78:$B$2000="ST_A"), $M$78:$M$2000)), "")</f>
        <v/>
      </c>
      <c r="J56" s="96" t="str">
        <f t="shared" ref="J56:J74" si="6">IF(LEN($G56)&gt;1, (SUMPRODUCT(--($C$78:$C$2000=$B31), --($A$78:$A$2000=$D31), --($B$78:$B$2000="ST_B"), $L$78:$L$2000)), "")</f>
        <v/>
      </c>
      <c r="K56" s="97" t="str">
        <f t="shared" ref="K56:K74" si="7">IF(LEN($G56)&gt;1, (SUMPRODUCT(--($C$78:$C$2000=$B31), --($A$78:$A$2000=$D31), --($B$78:$B$2000="ST_B"), $M$78:$M$2000)), "")</f>
        <v/>
      </c>
      <c r="L56" s="96" t="str">
        <f t="shared" ref="L56:L74" si="8">IF(LEN($G56)&gt;1, (SUMPRODUCT(--($C$78:$C$2000=$B31), --($A$78:$A$2000=$D31), --($B$78:$B$2000="ST_C"), $L$78:$L$2000)), "")</f>
        <v/>
      </c>
      <c r="M56" s="97" t="str">
        <f t="shared" ref="M56:M74" si="9">IF(LEN($G56)&gt;1, (SUMPRODUCT(--($C$78:$C$2000=$B31), --($A$78:$A$2000=$D31), --($B$78:$B$2000="ST_C"), $M$78:$M$2000)), "")</f>
        <v/>
      </c>
      <c r="N56" s="96" t="str">
        <f t="shared" ref="N56:N74" si="10">IF(LEN($G56)&gt;1, (SUMPRODUCT(--($C$78:$C$2000=$B31), --($A$78:$A$2000=$D31), --($B$78:$B$2000=$B56&amp;"_TOTAL"), $L$78:$L$2000)), "")</f>
        <v/>
      </c>
      <c r="O56" s="97" t="str">
        <f t="shared" ref="O56:O74" si="11">IF(LEN($G56)&gt;1, (SUMPRODUCT(--($C$78:$C$2000=$B31), --($A$78:$A$2000=$D31), --($B$78:$B$2000=$B56&amp;"_TOTAL"), $M$78:$M$2000)), "")</f>
        <v/>
      </c>
    </row>
    <row r="57" spans="1:15" x14ac:dyDescent="0.25">
      <c r="A57" s="71"/>
      <c r="B57" s="71" t="str">
        <f t="shared" si="3"/>
        <v>Non-RPP (Other)</v>
      </c>
      <c r="C57" s="72">
        <v>3</v>
      </c>
      <c r="D57" s="293" t="str">
        <f t="shared" si="1"/>
        <v>GENERAL SERVICE 50 TO 999 KW SERVICE CLASSIFICATION - Non-RPP (Other)</v>
      </c>
      <c r="E57" s="294"/>
      <c r="F57" s="294"/>
      <c r="G57" s="95" t="str">
        <f t="shared" si="2"/>
        <v/>
      </c>
      <c r="H57" s="96" t="str">
        <f t="shared" si="4"/>
        <v/>
      </c>
      <c r="I57" s="97" t="str">
        <f t="shared" si="5"/>
        <v/>
      </c>
      <c r="J57" s="96" t="str">
        <f t="shared" si="6"/>
        <v/>
      </c>
      <c r="K57" s="97" t="str">
        <f t="shared" si="7"/>
        <v/>
      </c>
      <c r="L57" s="96" t="str">
        <f t="shared" si="8"/>
        <v/>
      </c>
      <c r="M57" s="97" t="str">
        <f t="shared" si="9"/>
        <v/>
      </c>
      <c r="N57" s="96" t="str">
        <f t="shared" si="10"/>
        <v/>
      </c>
      <c r="O57" s="97" t="str">
        <f t="shared" si="11"/>
        <v/>
      </c>
    </row>
    <row r="58" spans="1:15" x14ac:dyDescent="0.25">
      <c r="A58" s="71"/>
      <c r="B58" s="71" t="str">
        <f t="shared" si="3"/>
        <v>Non-RPP (Other)</v>
      </c>
      <c r="C58" s="72">
        <v>4</v>
      </c>
      <c r="D58" s="293" t="str">
        <f t="shared" si="1"/>
        <v>GENERAL SERVICE 1,000 TO 4,999 KW SERVICE CLASSIFICATION - Non-RPP (Other)</v>
      </c>
      <c r="E58" s="294"/>
      <c r="F58" s="294"/>
      <c r="G58" s="95" t="str">
        <f t="shared" si="2"/>
        <v/>
      </c>
      <c r="H58" s="96" t="str">
        <f t="shared" si="4"/>
        <v/>
      </c>
      <c r="I58" s="97" t="str">
        <f t="shared" si="5"/>
        <v/>
      </c>
      <c r="J58" s="96" t="str">
        <f t="shared" si="6"/>
        <v/>
      </c>
      <c r="K58" s="97" t="str">
        <f t="shared" si="7"/>
        <v/>
      </c>
      <c r="L58" s="96" t="str">
        <f t="shared" si="8"/>
        <v/>
      </c>
      <c r="M58" s="97" t="str">
        <f t="shared" si="9"/>
        <v/>
      </c>
      <c r="N58" s="96" t="str">
        <f t="shared" si="10"/>
        <v/>
      </c>
      <c r="O58" s="97" t="str">
        <f t="shared" si="11"/>
        <v/>
      </c>
    </row>
    <row r="59" spans="1:15" x14ac:dyDescent="0.25">
      <c r="A59" s="71"/>
      <c r="B59" s="71" t="str">
        <f t="shared" si="3"/>
        <v>RPP</v>
      </c>
      <c r="C59" s="72">
        <v>5</v>
      </c>
      <c r="D59" s="293" t="str">
        <f t="shared" si="1"/>
        <v>UNMETERED SCATTERED LOAD SERVICE CLASSIFICATION - RPP</v>
      </c>
      <c r="E59" s="294"/>
      <c r="F59" s="294"/>
      <c r="G59" s="95" t="str">
        <f t="shared" si="2"/>
        <v/>
      </c>
      <c r="H59" s="96" t="str">
        <f t="shared" si="4"/>
        <v/>
      </c>
      <c r="I59" s="97" t="str">
        <f t="shared" si="5"/>
        <v/>
      </c>
      <c r="J59" s="96" t="str">
        <f t="shared" si="6"/>
        <v/>
      </c>
      <c r="K59" s="97" t="str">
        <f t="shared" si="7"/>
        <v/>
      </c>
      <c r="L59" s="96" t="str">
        <f t="shared" si="8"/>
        <v/>
      </c>
      <c r="M59" s="97" t="str">
        <f t="shared" si="9"/>
        <v/>
      </c>
      <c r="N59" s="96" t="str">
        <f t="shared" si="10"/>
        <v/>
      </c>
      <c r="O59" s="97" t="str">
        <f t="shared" si="11"/>
        <v/>
      </c>
    </row>
    <row r="60" spans="1:15" x14ac:dyDescent="0.25">
      <c r="A60" s="71"/>
      <c r="B60" s="71" t="str">
        <f t="shared" si="3"/>
        <v>RPP</v>
      </c>
      <c r="C60" s="72">
        <v>6</v>
      </c>
      <c r="D60" s="293" t="str">
        <f t="shared" si="1"/>
        <v>SENTINEL LIGHTING SERVICE CLASSIFICATION - RPP</v>
      </c>
      <c r="E60" s="294"/>
      <c r="F60" s="294"/>
      <c r="G60" s="95" t="str">
        <f t="shared" si="2"/>
        <v/>
      </c>
      <c r="H60" s="96" t="str">
        <f t="shared" si="4"/>
        <v/>
      </c>
      <c r="I60" s="97" t="str">
        <f t="shared" si="5"/>
        <v/>
      </c>
      <c r="J60" s="96" t="str">
        <f t="shared" si="6"/>
        <v/>
      </c>
      <c r="K60" s="97" t="str">
        <f t="shared" si="7"/>
        <v/>
      </c>
      <c r="L60" s="96" t="str">
        <f t="shared" si="8"/>
        <v/>
      </c>
      <c r="M60" s="97" t="str">
        <f t="shared" si="9"/>
        <v/>
      </c>
      <c r="N60" s="96" t="str">
        <f t="shared" si="10"/>
        <v/>
      </c>
      <c r="O60" s="97" t="str">
        <f t="shared" si="11"/>
        <v/>
      </c>
    </row>
    <row r="61" spans="1:15" x14ac:dyDescent="0.25">
      <c r="A61" s="71"/>
      <c r="B61" s="71" t="str">
        <f t="shared" si="3"/>
        <v>Non-RPP (Other)</v>
      </c>
      <c r="C61" s="72">
        <v>7</v>
      </c>
      <c r="D61" s="293" t="str">
        <f t="shared" si="1"/>
        <v>STREET LIGHTING SERVICE CLASSIFICATION - Non-RPP (Other)</v>
      </c>
      <c r="E61" s="294"/>
      <c r="F61" s="294"/>
      <c r="G61" s="95" t="str">
        <f t="shared" si="2"/>
        <v/>
      </c>
      <c r="H61" s="96" t="str">
        <f t="shared" si="4"/>
        <v/>
      </c>
      <c r="I61" s="97" t="str">
        <f t="shared" si="5"/>
        <v/>
      </c>
      <c r="J61" s="96" t="str">
        <f t="shared" si="6"/>
        <v/>
      </c>
      <c r="K61" s="97" t="str">
        <f t="shared" si="7"/>
        <v/>
      </c>
      <c r="L61" s="96" t="str">
        <f t="shared" si="8"/>
        <v/>
      </c>
      <c r="M61" s="97" t="str">
        <f t="shared" si="9"/>
        <v/>
      </c>
      <c r="N61" s="96" t="str">
        <f t="shared" si="10"/>
        <v/>
      </c>
      <c r="O61" s="97" t="str">
        <f t="shared" si="11"/>
        <v/>
      </c>
    </row>
    <row r="62" spans="1:15" x14ac:dyDescent="0.25">
      <c r="A62" s="71"/>
      <c r="B62" s="71" t="str">
        <f t="shared" si="3"/>
        <v>RPP</v>
      </c>
      <c r="C62" s="72">
        <v>8</v>
      </c>
      <c r="D62" s="293" t="str">
        <f t="shared" si="1"/>
        <v>RESIDENTIAL SERVICE CLASSIFICATION - RPP</v>
      </c>
      <c r="E62" s="294"/>
      <c r="F62" s="294"/>
      <c r="G62" s="95" t="str">
        <f t="shared" si="2"/>
        <v/>
      </c>
      <c r="H62" s="96" t="str">
        <f t="shared" si="4"/>
        <v/>
      </c>
      <c r="I62" s="97" t="str">
        <f t="shared" si="5"/>
        <v/>
      </c>
      <c r="J62" s="96" t="str">
        <f t="shared" si="6"/>
        <v/>
      </c>
      <c r="K62" s="97" t="str">
        <f t="shared" si="7"/>
        <v/>
      </c>
      <c r="L62" s="96" t="str">
        <f t="shared" si="8"/>
        <v/>
      </c>
      <c r="M62" s="97" t="str">
        <f t="shared" si="9"/>
        <v/>
      </c>
      <c r="N62" s="96" t="str">
        <f t="shared" si="10"/>
        <v/>
      </c>
      <c r="O62" s="97" t="str">
        <f t="shared" si="11"/>
        <v/>
      </c>
    </row>
    <row r="63" spans="1:15" x14ac:dyDescent="0.25">
      <c r="A63" s="71"/>
      <c r="B63" s="71" t="str">
        <f t="shared" si="3"/>
        <v>RPP</v>
      </c>
      <c r="C63" s="72">
        <v>9</v>
      </c>
      <c r="D63" s="293" t="str">
        <f t="shared" si="1"/>
        <v>RESIDENTIAL SERVICE CLASSIFICATION - RPP</v>
      </c>
      <c r="E63" s="294"/>
      <c r="F63" s="294"/>
      <c r="G63" s="95" t="str">
        <f t="shared" si="2"/>
        <v/>
      </c>
      <c r="H63" s="96" t="str">
        <f t="shared" si="4"/>
        <v/>
      </c>
      <c r="I63" s="97" t="str">
        <f t="shared" si="5"/>
        <v/>
      </c>
      <c r="J63" s="96" t="str">
        <f t="shared" si="6"/>
        <v/>
      </c>
      <c r="K63" s="97" t="str">
        <f t="shared" si="7"/>
        <v/>
      </c>
      <c r="L63" s="96" t="str">
        <f t="shared" si="8"/>
        <v/>
      </c>
      <c r="M63" s="97" t="str">
        <f t="shared" si="9"/>
        <v/>
      </c>
      <c r="N63" s="96" t="str">
        <f t="shared" si="10"/>
        <v/>
      </c>
      <c r="O63" s="97" t="str">
        <f t="shared" si="11"/>
        <v/>
      </c>
    </row>
    <row r="64" spans="1:15" x14ac:dyDescent="0.25">
      <c r="A64" s="71"/>
      <c r="B64" s="71" t="str">
        <f t="shared" si="3"/>
        <v>RPP</v>
      </c>
      <c r="C64" s="72">
        <v>10</v>
      </c>
      <c r="D64" s="293" t="str">
        <f t="shared" si="1"/>
        <v>RESIDENTIAL SERVICE CLASSIFICATION - RPP</v>
      </c>
      <c r="E64" s="294"/>
      <c r="F64" s="294"/>
      <c r="G64" s="95" t="str">
        <f t="shared" si="2"/>
        <v/>
      </c>
      <c r="H64" s="96" t="str">
        <f t="shared" si="4"/>
        <v/>
      </c>
      <c r="I64" s="97" t="str">
        <f t="shared" si="5"/>
        <v/>
      </c>
      <c r="J64" s="96" t="str">
        <f t="shared" si="6"/>
        <v/>
      </c>
      <c r="K64" s="97" t="str">
        <f t="shared" si="7"/>
        <v/>
      </c>
      <c r="L64" s="96" t="str">
        <f t="shared" si="8"/>
        <v/>
      </c>
      <c r="M64" s="97" t="str">
        <f t="shared" si="9"/>
        <v/>
      </c>
      <c r="N64" s="96" t="str">
        <f t="shared" si="10"/>
        <v/>
      </c>
      <c r="O64" s="97" t="str">
        <f t="shared" si="11"/>
        <v/>
      </c>
    </row>
    <row r="65" spans="1:15" x14ac:dyDescent="0.25">
      <c r="A65" s="71"/>
      <c r="B65" s="71" t="str">
        <f t="shared" si="3"/>
        <v>RPP</v>
      </c>
      <c r="C65" s="72">
        <v>11</v>
      </c>
      <c r="D65" s="293" t="str">
        <f t="shared" si="1"/>
        <v>GENERAL SERVICE LESS THAN 50 KW SERVICE CLASSIFICATION - RPP</v>
      </c>
      <c r="E65" s="294"/>
      <c r="F65" s="294"/>
      <c r="G65" s="95" t="str">
        <f t="shared" si="2"/>
        <v/>
      </c>
      <c r="H65" s="96" t="str">
        <f t="shared" si="4"/>
        <v/>
      </c>
      <c r="I65" s="97" t="str">
        <f t="shared" si="5"/>
        <v/>
      </c>
      <c r="J65" s="96" t="str">
        <f t="shared" si="6"/>
        <v/>
      </c>
      <c r="K65" s="97" t="str">
        <f t="shared" si="7"/>
        <v/>
      </c>
      <c r="L65" s="96" t="str">
        <f t="shared" si="8"/>
        <v/>
      </c>
      <c r="M65" s="97" t="str">
        <f t="shared" si="9"/>
        <v/>
      </c>
      <c r="N65" s="96" t="str">
        <f t="shared" si="10"/>
        <v/>
      </c>
      <c r="O65" s="97" t="str">
        <f t="shared" si="11"/>
        <v/>
      </c>
    </row>
    <row r="66" spans="1:15" x14ac:dyDescent="0.25">
      <c r="A66" s="71"/>
      <c r="B66" s="71" t="str">
        <f t="shared" si="3"/>
        <v>RPP</v>
      </c>
      <c r="C66" s="72">
        <v>12</v>
      </c>
      <c r="D66" s="293" t="str">
        <f t="shared" si="1"/>
        <v>GENERAL SERVICE LESS THAN 50 KW SERVICE CLASSIFICATION - RPP</v>
      </c>
      <c r="E66" s="294"/>
      <c r="F66" s="294"/>
      <c r="G66" s="95" t="str">
        <f t="shared" si="2"/>
        <v/>
      </c>
      <c r="H66" s="96" t="str">
        <f t="shared" si="4"/>
        <v/>
      </c>
      <c r="I66" s="97" t="str">
        <f t="shared" si="5"/>
        <v/>
      </c>
      <c r="J66" s="96" t="str">
        <f t="shared" si="6"/>
        <v/>
      </c>
      <c r="K66" s="97" t="str">
        <f t="shared" si="7"/>
        <v/>
      </c>
      <c r="L66" s="96" t="str">
        <f t="shared" si="8"/>
        <v/>
      </c>
      <c r="M66" s="97" t="str">
        <f t="shared" si="9"/>
        <v/>
      </c>
      <c r="N66" s="96" t="str">
        <f t="shared" si="10"/>
        <v/>
      </c>
      <c r="O66" s="97" t="str">
        <f t="shared" si="11"/>
        <v/>
      </c>
    </row>
    <row r="67" spans="1:15" x14ac:dyDescent="0.25">
      <c r="A67" s="71"/>
      <c r="B67" s="71" t="str">
        <f t="shared" si="3"/>
        <v>RPP</v>
      </c>
      <c r="C67" s="72">
        <v>13</v>
      </c>
      <c r="D67" s="293" t="str">
        <f t="shared" si="1"/>
        <v>GENERAL SERVICE LESS THAN 50 KW SERVICE CLASSIFICATION - RPP</v>
      </c>
      <c r="E67" s="294"/>
      <c r="F67" s="294"/>
      <c r="G67" s="95" t="str">
        <f t="shared" si="2"/>
        <v/>
      </c>
      <c r="H67" s="96" t="str">
        <f t="shared" si="4"/>
        <v/>
      </c>
      <c r="I67" s="97" t="str">
        <f t="shared" si="5"/>
        <v/>
      </c>
      <c r="J67" s="96" t="str">
        <f t="shared" si="6"/>
        <v/>
      </c>
      <c r="K67" s="97" t="str">
        <f t="shared" si="7"/>
        <v/>
      </c>
      <c r="L67" s="96" t="str">
        <f t="shared" si="8"/>
        <v/>
      </c>
      <c r="M67" s="97" t="str">
        <f t="shared" si="9"/>
        <v/>
      </c>
      <c r="N67" s="96" t="str">
        <f t="shared" si="10"/>
        <v/>
      </c>
      <c r="O67" s="97" t="str">
        <f t="shared" si="11"/>
        <v/>
      </c>
    </row>
    <row r="68" spans="1:15" x14ac:dyDescent="0.25">
      <c r="A68" s="71"/>
      <c r="B68" s="71" t="str">
        <f t="shared" si="3"/>
        <v>Non-RPP (Other)</v>
      </c>
      <c r="C68" s="72">
        <v>14</v>
      </c>
      <c r="D68" s="293" t="str">
        <f t="shared" si="1"/>
        <v>GENERAL SERVICE 50 TO 999 KW SERVICE CLASSIFICATION - Non-RPP (Other)</v>
      </c>
      <c r="E68" s="294"/>
      <c r="F68" s="294"/>
      <c r="G68" s="95" t="str">
        <f t="shared" si="2"/>
        <v/>
      </c>
      <c r="H68" s="96" t="str">
        <f t="shared" si="4"/>
        <v/>
      </c>
      <c r="I68" s="97" t="str">
        <f t="shared" si="5"/>
        <v/>
      </c>
      <c r="J68" s="96" t="str">
        <f t="shared" si="6"/>
        <v/>
      </c>
      <c r="K68" s="97" t="str">
        <f t="shared" si="7"/>
        <v/>
      </c>
      <c r="L68" s="96" t="str">
        <f t="shared" si="8"/>
        <v/>
      </c>
      <c r="M68" s="97" t="str">
        <f t="shared" si="9"/>
        <v/>
      </c>
      <c r="N68" s="96" t="str">
        <f t="shared" si="10"/>
        <v/>
      </c>
      <c r="O68" s="97" t="str">
        <f t="shared" si="11"/>
        <v/>
      </c>
    </row>
    <row r="69" spans="1:15" x14ac:dyDescent="0.25">
      <c r="A69" s="71"/>
      <c r="B69" s="71" t="str">
        <f t="shared" si="3"/>
        <v>Non-RPP (Other)</v>
      </c>
      <c r="C69" s="72">
        <v>15</v>
      </c>
      <c r="D69" s="293" t="str">
        <f t="shared" si="1"/>
        <v>GENERAL SERVICE 50 TO 999 KW SERVICE CLASSIFICATION - Non-RPP (Other)</v>
      </c>
      <c r="E69" s="294"/>
      <c r="F69" s="294"/>
      <c r="G69" s="95" t="str">
        <f t="shared" si="2"/>
        <v/>
      </c>
      <c r="H69" s="96" t="str">
        <f t="shared" si="4"/>
        <v/>
      </c>
      <c r="I69" s="97" t="str">
        <f t="shared" si="5"/>
        <v/>
      </c>
      <c r="J69" s="96" t="str">
        <f t="shared" si="6"/>
        <v/>
      </c>
      <c r="K69" s="97" t="str">
        <f t="shared" si="7"/>
        <v/>
      </c>
      <c r="L69" s="96" t="str">
        <f t="shared" si="8"/>
        <v/>
      </c>
      <c r="M69" s="97" t="str">
        <f t="shared" si="9"/>
        <v/>
      </c>
      <c r="N69" s="96" t="str">
        <f t="shared" si="10"/>
        <v/>
      </c>
      <c r="O69" s="97" t="str">
        <f t="shared" si="11"/>
        <v/>
      </c>
    </row>
    <row r="70" spans="1:15" x14ac:dyDescent="0.25">
      <c r="A70" s="71"/>
      <c r="B70" s="71" t="str">
        <f t="shared" si="3"/>
        <v>Non-RPP (Other)</v>
      </c>
      <c r="C70" s="72">
        <v>16</v>
      </c>
      <c r="D70" s="293" t="str">
        <f t="shared" si="1"/>
        <v>GENERAL SERVICE 1,000 TO 4,999 KW SERVICE CLASSIFICATION - Non-RPP (Other)</v>
      </c>
      <c r="E70" s="294"/>
      <c r="F70" s="294"/>
      <c r="G70" s="95" t="str">
        <f>IF(ISBLANK(G45), "", G45)</f>
        <v/>
      </c>
      <c r="H70" s="96" t="str">
        <f t="shared" si="4"/>
        <v/>
      </c>
      <c r="I70" s="97" t="str">
        <f t="shared" si="5"/>
        <v/>
      </c>
      <c r="J70" s="96" t="str">
        <f t="shared" si="6"/>
        <v/>
      </c>
      <c r="K70" s="97" t="str">
        <f t="shared" si="7"/>
        <v/>
      </c>
      <c r="L70" s="96" t="str">
        <f t="shared" si="8"/>
        <v/>
      </c>
      <c r="M70" s="97" t="str">
        <f t="shared" si="9"/>
        <v/>
      </c>
      <c r="N70" s="96" t="str">
        <f t="shared" si="10"/>
        <v/>
      </c>
      <c r="O70" s="97" t="str">
        <f t="shared" si="11"/>
        <v/>
      </c>
    </row>
    <row r="71" spans="1:15" x14ac:dyDescent="0.25">
      <c r="A71" s="71"/>
      <c r="B71" s="71" t="str">
        <f t="shared" si="3"/>
        <v>Non-RPP (Other)</v>
      </c>
      <c r="C71" s="72">
        <v>17</v>
      </c>
      <c r="D71" s="293" t="str">
        <f t="shared" si="1"/>
        <v>GENERAL SERVICE 1,000 TO 4,999 KW SERVICE CLASSIFICATION - Non-RPP (Other)</v>
      </c>
      <c r="E71" s="294"/>
      <c r="F71" s="294"/>
      <c r="G71" s="95" t="str">
        <f>IF(ISBLANK(G46), "", G46)</f>
        <v/>
      </c>
      <c r="H71" s="96" t="str">
        <f t="shared" si="4"/>
        <v/>
      </c>
      <c r="I71" s="97" t="str">
        <f t="shared" si="5"/>
        <v/>
      </c>
      <c r="J71" s="96" t="str">
        <f t="shared" si="6"/>
        <v/>
      </c>
      <c r="K71" s="97" t="str">
        <f t="shared" si="7"/>
        <v/>
      </c>
      <c r="L71" s="96" t="str">
        <f t="shared" si="8"/>
        <v/>
      </c>
      <c r="M71" s="97" t="str">
        <f t="shared" si="9"/>
        <v/>
      </c>
      <c r="N71" s="96" t="str">
        <f t="shared" si="10"/>
        <v/>
      </c>
      <c r="O71" s="97" t="str">
        <f t="shared" si="11"/>
        <v/>
      </c>
    </row>
    <row r="72" spans="1:15" x14ac:dyDescent="0.25">
      <c r="A72" s="71"/>
      <c r="B72" s="71" t="str">
        <f t="shared" si="3"/>
        <v>RPP</v>
      </c>
      <c r="C72" s="72">
        <v>18</v>
      </c>
      <c r="D72" s="293" t="str">
        <f t="shared" si="1"/>
        <v>GENERAL SERVICE 50 TO 999 KW SERVICE CLASSIFICATION - RPP</v>
      </c>
      <c r="E72" s="294"/>
      <c r="F72" s="294"/>
      <c r="G72" s="95" t="str">
        <f>IF(ISBLANK(G47), "", G47)</f>
        <v/>
      </c>
      <c r="H72" s="96" t="str">
        <f t="shared" si="4"/>
        <v/>
      </c>
      <c r="I72" s="97" t="str">
        <f t="shared" si="5"/>
        <v/>
      </c>
      <c r="J72" s="96" t="str">
        <f t="shared" si="6"/>
        <v/>
      </c>
      <c r="K72" s="97" t="str">
        <f t="shared" si="7"/>
        <v/>
      </c>
      <c r="L72" s="96" t="str">
        <f t="shared" si="8"/>
        <v/>
      </c>
      <c r="M72" s="97" t="str">
        <f t="shared" si="9"/>
        <v/>
      </c>
      <c r="N72" s="96" t="str">
        <f t="shared" si="10"/>
        <v/>
      </c>
      <c r="O72" s="97" t="str">
        <f t="shared" si="11"/>
        <v/>
      </c>
    </row>
    <row r="73" spans="1:15" x14ac:dyDescent="0.25">
      <c r="A73" s="71"/>
      <c r="B73" s="71">
        <f t="shared" si="3"/>
        <v>0</v>
      </c>
      <c r="C73" s="72">
        <v>19</v>
      </c>
      <c r="D73" s="293" t="str">
        <f t="shared" si="1"/>
        <v/>
      </c>
      <c r="E73" s="294"/>
      <c r="F73" s="294"/>
      <c r="G73" s="95" t="str">
        <f>IF(ISBLANK(G48), "", G48)</f>
        <v/>
      </c>
      <c r="H73" s="96" t="str">
        <f t="shared" si="4"/>
        <v/>
      </c>
      <c r="I73" s="97" t="str">
        <f t="shared" si="5"/>
        <v/>
      </c>
      <c r="J73" s="96" t="str">
        <f t="shared" si="6"/>
        <v/>
      </c>
      <c r="K73" s="97" t="str">
        <f t="shared" si="7"/>
        <v/>
      </c>
      <c r="L73" s="96" t="str">
        <f t="shared" si="8"/>
        <v/>
      </c>
      <c r="M73" s="97" t="str">
        <f t="shared" si="9"/>
        <v/>
      </c>
      <c r="N73" s="96" t="str">
        <f t="shared" si="10"/>
        <v/>
      </c>
      <c r="O73" s="97" t="str">
        <f t="shared" si="11"/>
        <v/>
      </c>
    </row>
    <row r="74" spans="1:15" x14ac:dyDescent="0.25">
      <c r="A74" s="71"/>
      <c r="B74" s="71">
        <f t="shared" si="3"/>
        <v>0</v>
      </c>
      <c r="C74" s="72">
        <v>20</v>
      </c>
      <c r="D74" s="293" t="str">
        <f t="shared" si="1"/>
        <v/>
      </c>
      <c r="E74" s="294"/>
      <c r="F74" s="294"/>
      <c r="G74" s="95" t="str">
        <f>IF(ISBLANK(G49), "", G49)</f>
        <v/>
      </c>
      <c r="H74" s="96" t="str">
        <f t="shared" si="4"/>
        <v/>
      </c>
      <c r="I74" s="97" t="str">
        <f t="shared" si="5"/>
        <v/>
      </c>
      <c r="J74" s="96" t="str">
        <f t="shared" si="6"/>
        <v/>
      </c>
      <c r="K74" s="97" t="str">
        <f t="shared" si="7"/>
        <v/>
      </c>
      <c r="L74" s="96" t="str">
        <f t="shared" si="8"/>
        <v/>
      </c>
      <c r="M74" s="97" t="str">
        <f t="shared" si="9"/>
        <v/>
      </c>
      <c r="N74" s="96" t="str">
        <f t="shared" si="10"/>
        <v/>
      </c>
      <c r="O74" s="97" t="str">
        <f t="shared" si="11"/>
        <v/>
      </c>
    </row>
    <row r="75" spans="1:15" x14ac:dyDescent="0.25">
      <c r="A75" s="71"/>
      <c r="B75" s="71"/>
      <c r="C75" s="72"/>
      <c r="D75" s="71"/>
      <c r="E75" s="71"/>
      <c r="F75" s="71"/>
      <c r="G75" s="71"/>
      <c r="H75" s="71"/>
      <c r="I75" s="71"/>
      <c r="J75" s="71"/>
      <c r="K75" s="71"/>
      <c r="L75" s="71"/>
      <c r="M75" s="71"/>
      <c r="N75" s="71"/>
      <c r="O75" s="71"/>
    </row>
    <row r="76" spans="1:15" x14ac:dyDescent="0.25">
      <c r="A76" s="98"/>
      <c r="B76" s="98"/>
      <c r="C76" s="99"/>
      <c r="D76" s="98"/>
      <c r="E76" s="98"/>
      <c r="F76" s="98"/>
      <c r="G76" s="98"/>
      <c r="H76" s="98"/>
      <c r="I76" s="98"/>
      <c r="J76" s="98"/>
      <c r="K76" s="98"/>
      <c r="L76" s="98"/>
      <c r="M76" s="98"/>
      <c r="N76" s="98"/>
      <c r="O76" s="98"/>
    </row>
    <row r="77" spans="1:15" x14ac:dyDescent="0.25">
      <c r="A77" s="71"/>
      <c r="B77" s="71"/>
      <c r="C77" s="72"/>
      <c r="D77" s="71"/>
      <c r="E77" s="71"/>
      <c r="F77" s="71"/>
      <c r="G77" s="71"/>
      <c r="H77" s="71"/>
      <c r="I77" s="71"/>
      <c r="J77" s="71"/>
      <c r="K77" s="71"/>
      <c r="L77" s="71"/>
      <c r="M77" s="71"/>
      <c r="N77" s="71"/>
      <c r="O77" s="71"/>
    </row>
    <row r="78" spans="1:15" x14ac:dyDescent="0.25">
      <c r="C78" s="100"/>
      <c r="D78" s="101" t="s">
        <v>134</v>
      </c>
      <c r="E78" s="302" t="str">
        <f>D30</f>
        <v>RESIDENTIAL SERVICE CLASSIFICATION</v>
      </c>
      <c r="F78" s="302"/>
      <c r="G78" s="302"/>
      <c r="H78" s="302"/>
      <c r="I78" s="302"/>
      <c r="J78" s="302"/>
      <c r="K78" s="100" t="str">
        <f>IF(N30="DEMAND - INTERVAL","RTSR - INTERVAL METERED","")</f>
        <v/>
      </c>
    </row>
    <row r="79" spans="1:15" x14ac:dyDescent="0.25">
      <c r="C79" s="100"/>
      <c r="D79" s="101" t="s">
        <v>135</v>
      </c>
      <c r="E79" s="303" t="str">
        <f>H30</f>
        <v>RPP</v>
      </c>
      <c r="F79" s="303"/>
      <c r="G79" s="303"/>
      <c r="H79" s="102"/>
      <c r="I79" s="102"/>
    </row>
    <row r="80" spans="1:15" ht="15.75" x14ac:dyDescent="0.25">
      <c r="C80" s="100"/>
      <c r="D80" s="101" t="s">
        <v>136</v>
      </c>
      <c r="E80" s="103">
        <f>K30</f>
        <v>750</v>
      </c>
      <c r="F80" s="104" t="s">
        <v>137</v>
      </c>
      <c r="G80" s="105"/>
      <c r="J80" s="106"/>
      <c r="K80" s="106"/>
      <c r="L80" s="106"/>
      <c r="M80" s="106"/>
    </row>
    <row r="81" spans="1:13" ht="15.75" x14ac:dyDescent="0.25">
      <c r="C81" s="100"/>
      <c r="D81" s="101" t="s">
        <v>138</v>
      </c>
      <c r="E81" s="103">
        <f>L30</f>
        <v>0</v>
      </c>
      <c r="F81" s="107" t="s">
        <v>139</v>
      </c>
      <c r="G81" s="108"/>
      <c r="H81" s="109"/>
      <c r="I81" s="109"/>
      <c r="J81" s="109"/>
    </row>
    <row r="82" spans="1:13" x14ac:dyDescent="0.25">
      <c r="C82" s="100"/>
      <c r="D82" s="101" t="s">
        <v>140</v>
      </c>
      <c r="E82" s="110">
        <f>I30</f>
        <v>1.056</v>
      </c>
    </row>
    <row r="83" spans="1:13" x14ac:dyDescent="0.25">
      <c r="C83" s="100"/>
      <c r="D83" s="101" t="s">
        <v>141</v>
      </c>
      <c r="E83" s="110">
        <f>J30</f>
        <v>1.056</v>
      </c>
    </row>
    <row r="84" spans="1:13" x14ac:dyDescent="0.25">
      <c r="C84" s="100"/>
      <c r="D84" s="105"/>
    </row>
    <row r="85" spans="1:13" x14ac:dyDescent="0.25">
      <c r="C85" s="100"/>
      <c r="D85" s="105"/>
      <c r="E85" s="111"/>
      <c r="F85" s="304" t="s">
        <v>142</v>
      </c>
      <c r="G85" s="305"/>
      <c r="H85" s="306"/>
      <c r="I85" s="304" t="s">
        <v>143</v>
      </c>
      <c r="J85" s="305"/>
      <c r="K85" s="306"/>
      <c r="L85" s="304" t="s">
        <v>144</v>
      </c>
      <c r="M85" s="306"/>
    </row>
    <row r="86" spans="1:13" x14ac:dyDescent="0.25">
      <c r="C86" s="100"/>
      <c r="D86" s="105"/>
      <c r="E86" s="295"/>
      <c r="F86" s="112" t="s">
        <v>145</v>
      </c>
      <c r="G86" s="112" t="s">
        <v>146</v>
      </c>
      <c r="H86" s="113" t="s">
        <v>147</v>
      </c>
      <c r="I86" s="112" t="s">
        <v>145</v>
      </c>
      <c r="J86" s="114" t="s">
        <v>146</v>
      </c>
      <c r="K86" s="113" t="s">
        <v>147</v>
      </c>
      <c r="L86" s="297" t="s">
        <v>148</v>
      </c>
      <c r="M86" s="299" t="s">
        <v>149</v>
      </c>
    </row>
    <row r="87" spans="1:13" x14ac:dyDescent="0.25">
      <c r="C87" s="100"/>
      <c r="D87" s="105"/>
      <c r="E87" s="296"/>
      <c r="F87" s="115" t="s">
        <v>150</v>
      </c>
      <c r="G87" s="115"/>
      <c r="H87" s="116" t="s">
        <v>150</v>
      </c>
      <c r="I87" s="115" t="s">
        <v>150</v>
      </c>
      <c r="J87" s="116"/>
      <c r="K87" s="116" t="s">
        <v>150</v>
      </c>
      <c r="L87" s="298"/>
      <c r="M87" s="300"/>
    </row>
    <row r="88" spans="1:13" x14ac:dyDescent="0.25">
      <c r="A88" s="100" t="str">
        <f>$E78</f>
        <v>RESIDENTIAL SERVICE CLASSIFICATION</v>
      </c>
      <c r="C88" s="117"/>
      <c r="D88" s="118" t="s">
        <v>151</v>
      </c>
      <c r="E88" s="119"/>
      <c r="F88" s="120">
        <v>23.48</v>
      </c>
      <c r="G88" s="121">
        <v>1</v>
      </c>
      <c r="H88" s="122">
        <f>G88*F88</f>
        <v>23.48</v>
      </c>
      <c r="I88" s="123">
        <v>26.72</v>
      </c>
      <c r="J88" s="124">
        <f>G88</f>
        <v>1</v>
      </c>
      <c r="K88" s="122">
        <f>J88*I88</f>
        <v>26.72</v>
      </c>
      <c r="L88" s="125">
        <f t="shared" ref="L88:L109" si="12">K88-H88</f>
        <v>3.2399999999999984</v>
      </c>
      <c r="M88" s="126">
        <f>IF(ISERROR(L88/H88), "", L88/H88)</f>
        <v>0.13798977853492328</v>
      </c>
    </row>
    <row r="89" spans="1:13" x14ac:dyDescent="0.25">
      <c r="A89" s="100" t="str">
        <f>A88</f>
        <v>RESIDENTIAL SERVICE CLASSIFICATION</v>
      </c>
      <c r="C89" s="117"/>
      <c r="D89" s="118" t="s">
        <v>152</v>
      </c>
      <c r="E89" s="119"/>
      <c r="F89" s="127">
        <v>3.3999999999999998E-3</v>
      </c>
      <c r="G89" s="121">
        <f>IF($E81&gt;0, $E81, $E80)</f>
        <v>750</v>
      </c>
      <c r="H89" s="122">
        <f t="shared" ref="H89:H101" si="13">G89*F89</f>
        <v>2.5499999999999998</v>
      </c>
      <c r="I89" s="128">
        <v>0</v>
      </c>
      <c r="J89" s="124">
        <f>IF($E81&gt;0, $E81, $E80)</f>
        <v>750</v>
      </c>
      <c r="K89" s="122">
        <f>J89*I89</f>
        <v>0</v>
      </c>
      <c r="L89" s="125">
        <f t="shared" si="12"/>
        <v>-2.5499999999999998</v>
      </c>
      <c r="M89" s="126">
        <f t="shared" ref="M89:M99" si="14">IF(ISERROR(L89/H89), "", L89/H89)</f>
        <v>-1</v>
      </c>
    </row>
    <row r="90" spans="1:13" x14ac:dyDescent="0.25">
      <c r="A90" s="100" t="str">
        <f t="shared" ref="A90:A131" si="15">A89</f>
        <v>RESIDENTIAL SERVICE CLASSIFICATION</v>
      </c>
      <c r="C90" s="117"/>
      <c r="D90" s="118" t="s">
        <v>153</v>
      </c>
      <c r="E90" s="119"/>
      <c r="F90" s="127"/>
      <c r="G90" s="121">
        <f>IF($E81&gt;0, $E81, $E80)</f>
        <v>750</v>
      </c>
      <c r="H90" s="122">
        <v>0</v>
      </c>
      <c r="I90" s="128"/>
      <c r="J90" s="124">
        <f>IF($E81&gt;0, $E81, $E80)</f>
        <v>750</v>
      </c>
      <c r="K90" s="122">
        <v>0</v>
      </c>
      <c r="L90" s="125"/>
      <c r="M90" s="126"/>
    </row>
    <row r="91" spans="1:13" x14ac:dyDescent="0.25">
      <c r="A91" s="100" t="str">
        <f t="shared" si="15"/>
        <v>RESIDENTIAL SERVICE CLASSIFICATION</v>
      </c>
      <c r="C91" s="117"/>
      <c r="D91" s="118" t="s">
        <v>154</v>
      </c>
      <c r="E91" s="119"/>
      <c r="F91" s="127"/>
      <c r="G91" s="121">
        <f>IF($E81&gt;0, $E81, $E80)</f>
        <v>750</v>
      </c>
      <c r="H91" s="122">
        <v>0</v>
      </c>
      <c r="I91" s="128"/>
      <c r="J91" s="121">
        <f>IF($E81&gt;0, $E81, $E80)</f>
        <v>750</v>
      </c>
      <c r="K91" s="122">
        <v>0</v>
      </c>
      <c r="L91" s="125">
        <f>K91-H91</f>
        <v>0</v>
      </c>
      <c r="M91" s="126" t="str">
        <f>IF(ISERROR(L91/H91), "", L91/H91)</f>
        <v/>
      </c>
    </row>
    <row r="92" spans="1:13" x14ac:dyDescent="0.25">
      <c r="A92" s="100" t="str">
        <f t="shared" si="15"/>
        <v>RESIDENTIAL SERVICE CLASSIFICATION</v>
      </c>
      <c r="C92" s="117"/>
      <c r="D92" s="129" t="s">
        <v>155</v>
      </c>
      <c r="E92" s="119"/>
      <c r="F92" s="120">
        <v>0</v>
      </c>
      <c r="G92" s="121">
        <v>1</v>
      </c>
      <c r="H92" s="122">
        <f t="shared" si="13"/>
        <v>0</v>
      </c>
      <c r="I92" s="226">
        <f>'Rate Riders'!O8</f>
        <v>4.6409135104517185</v>
      </c>
      <c r="J92" s="124">
        <f>G92</f>
        <v>1</v>
      </c>
      <c r="K92" s="122">
        <f t="shared" ref="K92:K99" si="16">J92*I92</f>
        <v>4.6409135104517185</v>
      </c>
      <c r="L92" s="125">
        <f t="shared" si="12"/>
        <v>4.6409135104517185</v>
      </c>
      <c r="M92" s="126" t="str">
        <f t="shared" si="14"/>
        <v/>
      </c>
    </row>
    <row r="93" spans="1:13" x14ac:dyDescent="0.25">
      <c r="A93" s="100" t="str">
        <f t="shared" si="15"/>
        <v>RESIDENTIAL SERVICE CLASSIFICATION</v>
      </c>
      <c r="C93" s="117"/>
      <c r="D93" s="118" t="s">
        <v>156</v>
      </c>
      <c r="E93" s="119"/>
      <c r="F93" s="127">
        <v>0</v>
      </c>
      <c r="G93" s="121">
        <f>IF($E81&gt;0, $E81, $E80)</f>
        <v>750</v>
      </c>
      <c r="H93" s="122">
        <f t="shared" si="13"/>
        <v>0</v>
      </c>
      <c r="I93" s="227">
        <v>0</v>
      </c>
      <c r="J93" s="124">
        <f>IF($E81&gt;0, $E81, $E80)</f>
        <v>750</v>
      </c>
      <c r="K93" s="122">
        <f t="shared" si="16"/>
        <v>0</v>
      </c>
      <c r="L93" s="125">
        <f t="shared" si="12"/>
        <v>0</v>
      </c>
      <c r="M93" s="126" t="str">
        <f t="shared" si="14"/>
        <v/>
      </c>
    </row>
    <row r="94" spans="1:13" x14ac:dyDescent="0.25">
      <c r="A94" s="100" t="str">
        <f t="shared" si="15"/>
        <v>RESIDENTIAL SERVICE CLASSIFICATION</v>
      </c>
      <c r="B94" s="130" t="s">
        <v>157</v>
      </c>
      <c r="C94" s="117">
        <f>B30</f>
        <v>1</v>
      </c>
      <c r="D94" s="131" t="s">
        <v>158</v>
      </c>
      <c r="E94" s="132"/>
      <c r="F94" s="133"/>
      <c r="G94" s="134"/>
      <c r="H94" s="135">
        <f>SUM(H88:H93)</f>
        <v>26.03</v>
      </c>
      <c r="I94" s="136"/>
      <c r="J94" s="137"/>
      <c r="K94" s="135">
        <f>SUM(K88:K93)</f>
        <v>31.360913510451716</v>
      </c>
      <c r="L94" s="138">
        <f t="shared" si="12"/>
        <v>5.3309135104517154</v>
      </c>
      <c r="M94" s="139">
        <f>IF((H94)=0,"",(L94/H94))</f>
        <v>0.20479882867659296</v>
      </c>
    </row>
    <row r="95" spans="1:13" x14ac:dyDescent="0.25">
      <c r="A95" s="100" t="str">
        <f t="shared" si="15"/>
        <v>RESIDENTIAL SERVICE CLASSIFICATION</v>
      </c>
      <c r="C95" s="117"/>
      <c r="D95" s="140" t="s">
        <v>159</v>
      </c>
      <c r="E95" s="119"/>
      <c r="F95" s="127">
        <f>IF((E80*12&gt;=150000), 0, IF(E79="RPP",(F111*0.65+F112*0.17+F113*0.18),IF(E79="Non-RPP (Retailer)",F114,F115)))</f>
        <v>8.1990000000000007E-2</v>
      </c>
      <c r="G95" s="141">
        <f>IF(F95=0, 0, $E80*E82-E80)</f>
        <v>42</v>
      </c>
      <c r="H95" s="122">
        <f>G95*F95</f>
        <v>3.4435800000000003</v>
      </c>
      <c r="I95" s="128">
        <f>IF((E80*12&gt;=150000), 0, IF(E79="RPP",(I111*0.65+I112*0.17+I113*0.18),IF(E79="Non-RPP (Retailer)",I114,I115)))</f>
        <v>8.1990000000000007E-2</v>
      </c>
      <c r="J95" s="141">
        <f>IF(I95=0, 0, E80*E83-E80)</f>
        <v>42</v>
      </c>
      <c r="K95" s="122">
        <f>J95*I95</f>
        <v>3.4435800000000003</v>
      </c>
      <c r="L95" s="125">
        <f>K95-H95</f>
        <v>0</v>
      </c>
      <c r="M95" s="126">
        <f>IF(ISERROR(L95/H95), "", L95/H95)</f>
        <v>0</v>
      </c>
    </row>
    <row r="96" spans="1:13" ht="25.5" x14ac:dyDescent="0.25">
      <c r="A96" s="100" t="str">
        <f t="shared" si="15"/>
        <v>RESIDENTIAL SERVICE CLASSIFICATION</v>
      </c>
      <c r="C96" s="117"/>
      <c r="D96" s="140" t="s">
        <v>160</v>
      </c>
      <c r="E96" s="119"/>
      <c r="F96" s="127">
        <v>-1.4E-3</v>
      </c>
      <c r="G96" s="142">
        <f>IF($E81&gt;0, $E81, $E80)</f>
        <v>750</v>
      </c>
      <c r="H96" s="122">
        <f t="shared" si="13"/>
        <v>-1.05</v>
      </c>
      <c r="I96" s="128">
        <v>-5.3E-3</v>
      </c>
      <c r="J96" s="142">
        <f>IF($E81&gt;0, $E81, $E80)</f>
        <v>750</v>
      </c>
      <c r="K96" s="122">
        <f t="shared" si="16"/>
        <v>-3.9750000000000001</v>
      </c>
      <c r="L96" s="125">
        <f t="shared" si="12"/>
        <v>-2.9249999999999998</v>
      </c>
      <c r="M96" s="126">
        <f t="shared" si="14"/>
        <v>2.7857142857142856</v>
      </c>
    </row>
    <row r="97" spans="1:13" x14ac:dyDescent="0.25">
      <c r="A97" s="100" t="str">
        <f t="shared" si="15"/>
        <v>RESIDENTIAL SERVICE CLASSIFICATION</v>
      </c>
      <c r="C97" s="117"/>
      <c r="D97" s="140" t="s">
        <v>161</v>
      </c>
      <c r="E97" s="119"/>
      <c r="F97" s="127">
        <v>-1E-4</v>
      </c>
      <c r="G97" s="142">
        <f>IF($E81&gt;0, $E81, $E80)</f>
        <v>750</v>
      </c>
      <c r="H97" s="122">
        <f>G97*F97</f>
        <v>-7.4999999999999997E-2</v>
      </c>
      <c r="I97" s="128">
        <v>0</v>
      </c>
      <c r="J97" s="142">
        <f>IF($E81&gt;0, $E81, $E80)</f>
        <v>750</v>
      </c>
      <c r="K97" s="122">
        <f>J97*I97</f>
        <v>0</v>
      </c>
      <c r="L97" s="125">
        <f t="shared" si="12"/>
        <v>7.4999999999999997E-2</v>
      </c>
      <c r="M97" s="126">
        <f t="shared" si="14"/>
        <v>-1</v>
      </c>
    </row>
    <row r="98" spans="1:13" x14ac:dyDescent="0.25">
      <c r="A98" s="100" t="str">
        <f t="shared" si="15"/>
        <v>RESIDENTIAL SERVICE CLASSIFICATION</v>
      </c>
      <c r="C98" s="117"/>
      <c r="D98" s="140" t="s">
        <v>162</v>
      </c>
      <c r="E98" s="119"/>
      <c r="F98" s="127">
        <v>0</v>
      </c>
      <c r="G98" s="142">
        <f>E80</f>
        <v>750</v>
      </c>
      <c r="H98" s="122">
        <f>G98*F98</f>
        <v>0</v>
      </c>
      <c r="I98" s="128">
        <v>0</v>
      </c>
      <c r="J98" s="142">
        <f>E80</f>
        <v>750</v>
      </c>
      <c r="K98" s="122">
        <f t="shared" si="16"/>
        <v>0</v>
      </c>
      <c r="L98" s="125">
        <f t="shared" si="12"/>
        <v>0</v>
      </c>
      <c r="M98" s="126" t="str">
        <f t="shared" si="14"/>
        <v/>
      </c>
    </row>
    <row r="99" spans="1:13" x14ac:dyDescent="0.25">
      <c r="A99" s="100" t="str">
        <f t="shared" si="15"/>
        <v>RESIDENTIAL SERVICE CLASSIFICATION</v>
      </c>
      <c r="C99" s="117"/>
      <c r="D99" s="143" t="s">
        <v>163</v>
      </c>
      <c r="E99" s="119"/>
      <c r="F99" s="127">
        <v>2.5999999999999999E-3</v>
      </c>
      <c r="G99" s="142">
        <f>IF($E81&gt;0, $E81, $E80)</f>
        <v>750</v>
      </c>
      <c r="H99" s="122">
        <f t="shared" si="13"/>
        <v>1.95</v>
      </c>
      <c r="I99" s="128">
        <v>2.5999999999999999E-3</v>
      </c>
      <c r="J99" s="142">
        <f>IF($E81&gt;0, $E81, $E80)</f>
        <v>750</v>
      </c>
      <c r="K99" s="122">
        <f t="shared" si="16"/>
        <v>1.95</v>
      </c>
      <c r="L99" s="125">
        <f t="shared" si="12"/>
        <v>0</v>
      </c>
      <c r="M99" s="126">
        <f t="shared" si="14"/>
        <v>0</v>
      </c>
    </row>
    <row r="100" spans="1:13" ht="25.5" x14ac:dyDescent="0.25">
      <c r="A100" s="100" t="str">
        <f t="shared" si="15"/>
        <v>RESIDENTIAL SERVICE CLASSIFICATION</v>
      </c>
      <c r="C100" s="117"/>
      <c r="D100" s="144" t="s">
        <v>164</v>
      </c>
      <c r="E100" s="119"/>
      <c r="F100" s="145">
        <f>IF(OR(ISNUMBER(SEARCH("RESIDENTIAL", E78))=TRUE, ISNUMBER(SEARCH("GENERAL SERVICE LESS THAN 50", E78))=TRUE), SME, 0)</f>
        <v>0.56999999999999995</v>
      </c>
      <c r="G100" s="121">
        <v>1</v>
      </c>
      <c r="H100" s="122">
        <f>G100*F100</f>
        <v>0.56999999999999995</v>
      </c>
      <c r="I100" s="146">
        <f>IF(OR(ISNUMBER(SEARCH("RESIDENTIAL", E78))=TRUE, ISNUMBER(SEARCH("GENERAL SERVICE LESS THAN 50", E78))=TRUE), SME, 0)</f>
        <v>0.56999999999999995</v>
      </c>
      <c r="J100" s="121">
        <v>1</v>
      </c>
      <c r="K100" s="122">
        <f>J100*I100</f>
        <v>0.56999999999999995</v>
      </c>
      <c r="L100" s="125">
        <f t="shared" si="12"/>
        <v>0</v>
      </c>
      <c r="M100" s="126">
        <f>IF(ISERROR(L100/H100), "", L100/H100)</f>
        <v>0</v>
      </c>
    </row>
    <row r="101" spans="1:13" x14ac:dyDescent="0.25">
      <c r="A101" s="100" t="str">
        <f t="shared" si="15"/>
        <v>RESIDENTIAL SERVICE CLASSIFICATION</v>
      </c>
      <c r="C101" s="117"/>
      <c r="D101" s="143" t="s">
        <v>165</v>
      </c>
      <c r="E101" s="119"/>
      <c r="F101" s="120">
        <v>0</v>
      </c>
      <c r="G101" s="121">
        <v>1</v>
      </c>
      <c r="H101" s="122">
        <f t="shared" si="13"/>
        <v>0</v>
      </c>
      <c r="I101" s="123">
        <v>0</v>
      </c>
      <c r="J101" s="121">
        <v>1</v>
      </c>
      <c r="K101" s="122">
        <f>J101*I101</f>
        <v>0</v>
      </c>
      <c r="L101" s="125">
        <f>K101-H101</f>
        <v>0</v>
      </c>
      <c r="M101" s="126" t="str">
        <f>IF(ISERROR(L101/H101), "", L101/H101)</f>
        <v/>
      </c>
    </row>
    <row r="102" spans="1:13" x14ac:dyDescent="0.25">
      <c r="A102" s="100" t="str">
        <f t="shared" si="15"/>
        <v>RESIDENTIAL SERVICE CLASSIFICATION</v>
      </c>
      <c r="C102" s="117"/>
      <c r="D102" s="143" t="s">
        <v>166</v>
      </c>
      <c r="E102" s="119"/>
      <c r="F102" s="127"/>
      <c r="G102" s="142">
        <f>IF($E81&gt;0, $E81, $E80)</f>
        <v>750</v>
      </c>
      <c r="H102" s="122">
        <f>G102*F102</f>
        <v>0</v>
      </c>
      <c r="I102" s="128">
        <v>0</v>
      </c>
      <c r="J102" s="142">
        <f>IF($E81&gt;0, $E81, $E80)</f>
        <v>750</v>
      </c>
      <c r="K102" s="122">
        <f>J102*I102</f>
        <v>0</v>
      </c>
      <c r="L102" s="125">
        <f t="shared" si="12"/>
        <v>0</v>
      </c>
      <c r="M102" s="126" t="str">
        <f>IF(ISERROR(L102/H102), "", L102/H102)</f>
        <v/>
      </c>
    </row>
    <row r="103" spans="1:13" ht="25.5" x14ac:dyDescent="0.25">
      <c r="A103" s="100" t="str">
        <f t="shared" si="15"/>
        <v>RESIDENTIAL SERVICE CLASSIFICATION</v>
      </c>
      <c r="B103" s="105" t="s">
        <v>167</v>
      </c>
      <c r="C103" s="117">
        <f>B30</f>
        <v>1</v>
      </c>
      <c r="D103" s="147" t="s">
        <v>168</v>
      </c>
      <c r="E103" s="148"/>
      <c r="F103" s="149"/>
      <c r="G103" s="150"/>
      <c r="H103" s="151">
        <f>SUM(H94:H102)</f>
        <v>30.868580000000001</v>
      </c>
      <c r="I103" s="152"/>
      <c r="J103" s="153"/>
      <c r="K103" s="151">
        <f>SUM(K94:K102)</f>
        <v>33.349493510451715</v>
      </c>
      <c r="L103" s="138">
        <f t="shared" si="12"/>
        <v>2.4809135104517139</v>
      </c>
      <c r="M103" s="139">
        <f>IF((H103)=0,"",(L103/H103))</f>
        <v>8.0370185815211256E-2</v>
      </c>
    </row>
    <row r="104" spans="1:13" x14ac:dyDescent="0.25">
      <c r="A104" s="100" t="str">
        <f t="shared" si="15"/>
        <v>RESIDENTIAL SERVICE CLASSIFICATION</v>
      </c>
      <c r="C104" s="117"/>
      <c r="D104" s="154" t="s">
        <v>169</v>
      </c>
      <c r="E104" s="119"/>
      <c r="F104" s="127">
        <v>6.7999999999999996E-3</v>
      </c>
      <c r="G104" s="141">
        <f>IF($E81&gt;0, $E81, $E80*$E82)</f>
        <v>792</v>
      </c>
      <c r="H104" s="122">
        <f>G104*F104</f>
        <v>5.3855999999999993</v>
      </c>
      <c r="I104" s="128">
        <v>6.4999999999999997E-3</v>
      </c>
      <c r="J104" s="141">
        <f>IF($E81&gt;0, $E81, $E80*$E83)</f>
        <v>792</v>
      </c>
      <c r="K104" s="122">
        <f>J104*I104</f>
        <v>5.1479999999999997</v>
      </c>
      <c r="L104" s="125">
        <f t="shared" si="12"/>
        <v>-0.23759999999999959</v>
      </c>
      <c r="M104" s="126">
        <f>IF(ISERROR(L104/H104), "", L104/H104)</f>
        <v>-4.4117647058823456E-2</v>
      </c>
    </row>
    <row r="105" spans="1:13" ht="25.5" x14ac:dyDescent="0.25">
      <c r="A105" s="100" t="str">
        <f t="shared" si="15"/>
        <v>RESIDENTIAL SERVICE CLASSIFICATION</v>
      </c>
      <c r="C105" s="117"/>
      <c r="D105" s="155" t="s">
        <v>170</v>
      </c>
      <c r="E105" s="119"/>
      <c r="F105" s="127">
        <v>5.5999999999999999E-3</v>
      </c>
      <c r="G105" s="141">
        <f>IF($E81&gt;0, $E81, $E80*$E82)</f>
        <v>792</v>
      </c>
      <c r="H105" s="122">
        <f>G105*F105</f>
        <v>4.4352</v>
      </c>
      <c r="I105" s="128">
        <v>5.3E-3</v>
      </c>
      <c r="J105" s="141">
        <f>IF($E81&gt;0, $E81, $E80*$E83)</f>
        <v>792</v>
      </c>
      <c r="K105" s="122">
        <f>J105*I105</f>
        <v>4.1976000000000004</v>
      </c>
      <c r="L105" s="125">
        <f t="shared" si="12"/>
        <v>-0.23759999999999959</v>
      </c>
      <c r="M105" s="126">
        <f>IF(ISERROR(L105/H105), "", L105/H105)</f>
        <v>-5.3571428571428478E-2</v>
      </c>
    </row>
    <row r="106" spans="1:13" ht="25.5" x14ac:dyDescent="0.25">
      <c r="A106" s="100" t="str">
        <f t="shared" si="15"/>
        <v>RESIDENTIAL SERVICE CLASSIFICATION</v>
      </c>
      <c r="B106" s="105" t="s">
        <v>171</v>
      </c>
      <c r="C106" s="117">
        <f>B30</f>
        <v>1</v>
      </c>
      <c r="D106" s="147" t="s">
        <v>172</v>
      </c>
      <c r="E106" s="132"/>
      <c r="F106" s="149"/>
      <c r="G106" s="150"/>
      <c r="H106" s="151">
        <f>SUM(H103:H105)</f>
        <v>40.68938</v>
      </c>
      <c r="I106" s="152"/>
      <c r="J106" s="137"/>
      <c r="K106" s="151">
        <f>SUM(K103:K105)</f>
        <v>42.69509351045172</v>
      </c>
      <c r="L106" s="138">
        <f t="shared" si="12"/>
        <v>2.0057135104517201</v>
      </c>
      <c r="M106" s="139">
        <f>IF((H106)=0,"",(L106/H106))</f>
        <v>4.9293292511503495E-2</v>
      </c>
    </row>
    <row r="107" spans="1:13" ht="25.5" x14ac:dyDescent="0.25">
      <c r="A107" s="100" t="str">
        <f t="shared" si="15"/>
        <v>RESIDENTIAL SERVICE CLASSIFICATION</v>
      </c>
      <c r="C107" s="117"/>
      <c r="D107" s="156" t="s">
        <v>173</v>
      </c>
      <c r="E107" s="119"/>
      <c r="F107" s="127">
        <v>3.6000000000000003E-3</v>
      </c>
      <c r="G107" s="141">
        <f>E80*E82</f>
        <v>792</v>
      </c>
      <c r="H107" s="157">
        <f t="shared" ref="H107:H113" si="17">G107*F107</f>
        <v>2.8512000000000004</v>
      </c>
      <c r="I107" s="128">
        <v>3.6000000000000003E-3</v>
      </c>
      <c r="J107" s="141">
        <f>E80*E83</f>
        <v>792</v>
      </c>
      <c r="K107" s="157">
        <f t="shared" ref="K107:K113" si="18">J107*I107</f>
        <v>2.8512000000000004</v>
      </c>
      <c r="L107" s="125">
        <f t="shared" si="12"/>
        <v>0</v>
      </c>
      <c r="M107" s="126">
        <f t="shared" ref="M107:M115" si="19">IF(ISERROR(L107/H107), "", L107/H107)</f>
        <v>0</v>
      </c>
    </row>
    <row r="108" spans="1:13" ht="25.5" x14ac:dyDescent="0.25">
      <c r="A108" s="100" t="str">
        <f t="shared" si="15"/>
        <v>RESIDENTIAL SERVICE CLASSIFICATION</v>
      </c>
      <c r="C108" s="117"/>
      <c r="D108" s="156" t="s">
        <v>174</v>
      </c>
      <c r="E108" s="119"/>
      <c r="F108" s="127">
        <f>'[1]17. Regulatory Charges'!$D$16</f>
        <v>2.9999999999999997E-4</v>
      </c>
      <c r="G108" s="141">
        <f>E80*E82</f>
        <v>792</v>
      </c>
      <c r="H108" s="157">
        <f t="shared" si="17"/>
        <v>0.23759999999999998</v>
      </c>
      <c r="I108" s="128">
        <v>2.9999999999999997E-4</v>
      </c>
      <c r="J108" s="141">
        <f>E80*E83</f>
        <v>792</v>
      </c>
      <c r="K108" s="157">
        <f t="shared" si="18"/>
        <v>0.23759999999999998</v>
      </c>
      <c r="L108" s="125">
        <f t="shared" si="12"/>
        <v>0</v>
      </c>
      <c r="M108" s="126">
        <f t="shared" si="19"/>
        <v>0</v>
      </c>
    </row>
    <row r="109" spans="1:13" x14ac:dyDescent="0.25">
      <c r="A109" s="100" t="str">
        <f t="shared" si="15"/>
        <v>RESIDENTIAL SERVICE CLASSIFICATION</v>
      </c>
      <c r="C109" s="117"/>
      <c r="D109" s="158" t="s">
        <v>175</v>
      </c>
      <c r="E109" s="119"/>
      <c r="F109" s="145">
        <v>0.25</v>
      </c>
      <c r="G109" s="121">
        <v>1</v>
      </c>
      <c r="H109" s="157">
        <f t="shared" si="17"/>
        <v>0.25</v>
      </c>
      <c r="I109" s="146">
        <f>'[1]17. Regulatory Charges'!$D$17</f>
        <v>0.25</v>
      </c>
      <c r="J109" s="124">
        <v>1</v>
      </c>
      <c r="K109" s="157">
        <f t="shared" si="18"/>
        <v>0.25</v>
      </c>
      <c r="L109" s="125">
        <f t="shared" si="12"/>
        <v>0</v>
      </c>
      <c r="M109" s="126">
        <f t="shared" si="19"/>
        <v>0</v>
      </c>
    </row>
    <row r="110" spans="1:13" ht="25.5" x14ac:dyDescent="0.25">
      <c r="A110" s="100" t="str">
        <f t="shared" si="15"/>
        <v>RESIDENTIAL SERVICE CLASSIFICATION</v>
      </c>
      <c r="C110" s="117"/>
      <c r="D110" s="156" t="s">
        <v>176</v>
      </c>
      <c r="E110" s="119"/>
      <c r="F110" s="127"/>
      <c r="G110" s="141"/>
      <c r="H110" s="157"/>
      <c r="I110" s="128"/>
      <c r="J110" s="141"/>
      <c r="K110" s="157"/>
      <c r="L110" s="125"/>
      <c r="M110" s="126"/>
    </row>
    <row r="111" spans="1:13" x14ac:dyDescent="0.25">
      <c r="A111" s="100" t="str">
        <f t="shared" si="15"/>
        <v>RESIDENTIAL SERVICE CLASSIFICATION</v>
      </c>
      <c r="B111" s="105" t="s">
        <v>117</v>
      </c>
      <c r="C111" s="117"/>
      <c r="D111" s="159" t="s">
        <v>177</v>
      </c>
      <c r="E111" s="119"/>
      <c r="F111" s="160">
        <f>OffPeak</f>
        <v>6.5000000000000002E-2</v>
      </c>
      <c r="G111" s="161">
        <f>IF(AND(E80*12&gt;=150000),0.65*E80*E82,0.65*E80)</f>
        <v>487.5</v>
      </c>
      <c r="H111" s="157">
        <f t="shared" si="17"/>
        <v>31.6875</v>
      </c>
      <c r="I111" s="162">
        <f>OffPeak</f>
        <v>6.5000000000000002E-2</v>
      </c>
      <c r="J111" s="161">
        <f>IF(AND(E80*12&gt;=150000),0.65*E80*E83,0.65*E80)</f>
        <v>487.5</v>
      </c>
      <c r="K111" s="157">
        <f t="shared" si="18"/>
        <v>31.6875</v>
      </c>
      <c r="L111" s="125">
        <f>K111-H111</f>
        <v>0</v>
      </c>
      <c r="M111" s="126">
        <f t="shared" si="19"/>
        <v>0</v>
      </c>
    </row>
    <row r="112" spans="1:13" x14ac:dyDescent="0.25">
      <c r="A112" s="100" t="str">
        <f t="shared" si="15"/>
        <v>RESIDENTIAL SERVICE CLASSIFICATION</v>
      </c>
      <c r="B112" s="105" t="s">
        <v>117</v>
      </c>
      <c r="C112" s="117"/>
      <c r="D112" s="159" t="s">
        <v>178</v>
      </c>
      <c r="E112" s="119"/>
      <c r="F112" s="160">
        <f>MidPeak</f>
        <v>9.4E-2</v>
      </c>
      <c r="G112" s="161">
        <f>IF(AND(E80*12&gt;=150000),0.17*E80*E82,0.17*E80)</f>
        <v>127.50000000000001</v>
      </c>
      <c r="H112" s="157">
        <f t="shared" si="17"/>
        <v>11.985000000000001</v>
      </c>
      <c r="I112" s="162">
        <f>MidPeak</f>
        <v>9.4E-2</v>
      </c>
      <c r="J112" s="161">
        <f>IF(AND(E80*12&gt;=150000),0.17*E80*E83,0.17*E80)</f>
        <v>127.50000000000001</v>
      </c>
      <c r="K112" s="157">
        <f t="shared" si="18"/>
        <v>11.985000000000001</v>
      </c>
      <c r="L112" s="125">
        <f>K112-H112</f>
        <v>0</v>
      </c>
      <c r="M112" s="126">
        <f t="shared" si="19"/>
        <v>0</v>
      </c>
    </row>
    <row r="113" spans="1:13" ht="15.75" thickBot="1" x14ac:dyDescent="0.3">
      <c r="A113" s="100" t="str">
        <f t="shared" si="15"/>
        <v>RESIDENTIAL SERVICE CLASSIFICATION</v>
      </c>
      <c r="B113" s="105" t="s">
        <v>117</v>
      </c>
      <c r="C113" s="117"/>
      <c r="D113" s="105" t="s">
        <v>179</v>
      </c>
      <c r="E113" s="119"/>
      <c r="F113" s="160">
        <f>OnPeak</f>
        <v>0.13200000000000001</v>
      </c>
      <c r="G113" s="161">
        <f>IF(AND(E80*12&gt;=150000),0.18*E80*E82,0.18*E80)</f>
        <v>135</v>
      </c>
      <c r="H113" s="157">
        <f t="shared" si="17"/>
        <v>17.82</v>
      </c>
      <c r="I113" s="162">
        <f>OnPeak</f>
        <v>0.13200000000000001</v>
      </c>
      <c r="J113" s="161">
        <f>IF(AND(E80*12&gt;=150000),0.18*E80*E83,0.18*E80)</f>
        <v>135</v>
      </c>
      <c r="K113" s="157">
        <f t="shared" si="18"/>
        <v>17.82</v>
      </c>
      <c r="L113" s="125">
        <f>K113-H113</f>
        <v>0</v>
      </c>
      <c r="M113" s="126">
        <f t="shared" si="19"/>
        <v>0</v>
      </c>
    </row>
    <row r="114" spans="1:13" hidden="1" x14ac:dyDescent="0.25">
      <c r="A114" s="100" t="str">
        <f t="shared" si="15"/>
        <v>RESIDENTIAL SERVICE CLASSIFICATION</v>
      </c>
      <c r="B114" s="100" t="s">
        <v>180</v>
      </c>
      <c r="C114" s="117"/>
      <c r="D114" s="159" t="s">
        <v>181</v>
      </c>
      <c r="E114" s="119"/>
      <c r="F114" s="163">
        <v>0.1101</v>
      </c>
      <c r="G114" s="161">
        <f>IF(AND(E80*12&gt;=150000),E80*E82,E80)</f>
        <v>750</v>
      </c>
      <c r="H114" s="157">
        <f>G114*F114</f>
        <v>82.575000000000003</v>
      </c>
      <c r="I114" s="164">
        <f>F114</f>
        <v>0.1101</v>
      </c>
      <c r="J114" s="161">
        <f>IF(AND(E80*12&gt;=150000),E80*E83,E80)</f>
        <v>750</v>
      </c>
      <c r="K114" s="157">
        <f>J114*I114</f>
        <v>82.575000000000003</v>
      </c>
      <c r="L114" s="125">
        <f>K114-H114</f>
        <v>0</v>
      </c>
      <c r="M114" s="126">
        <f t="shared" si="19"/>
        <v>0</v>
      </c>
    </row>
    <row r="115" spans="1:13" ht="15.75" hidden="1" thickBot="1" x14ac:dyDescent="0.3">
      <c r="A115" s="100" t="str">
        <f t="shared" si="15"/>
        <v>RESIDENTIAL SERVICE CLASSIFICATION</v>
      </c>
      <c r="B115" s="100" t="s">
        <v>121</v>
      </c>
      <c r="C115" s="117"/>
      <c r="D115" s="159" t="s">
        <v>182</v>
      </c>
      <c r="E115" s="119"/>
      <c r="F115" s="163">
        <v>0.1101</v>
      </c>
      <c r="G115" s="161">
        <f>IF(AND(E80*12&gt;=150000),E80*E82,E80)</f>
        <v>750</v>
      </c>
      <c r="H115" s="157">
        <f>G115*F115</f>
        <v>82.575000000000003</v>
      </c>
      <c r="I115" s="164">
        <f>F115</f>
        <v>0.1101</v>
      </c>
      <c r="J115" s="161">
        <f>IF(AND(E80*12&gt;=150000),E80*E83,E80)</f>
        <v>750</v>
      </c>
      <c r="K115" s="157">
        <f>J115*I115</f>
        <v>82.575000000000003</v>
      </c>
      <c r="L115" s="125">
        <f>K115-H115</f>
        <v>0</v>
      </c>
      <c r="M115" s="126">
        <f t="shared" si="19"/>
        <v>0</v>
      </c>
    </row>
    <row r="116" spans="1:13" ht="15.75" thickBot="1" x14ac:dyDescent="0.3">
      <c r="A116" s="100" t="str">
        <f t="shared" si="15"/>
        <v>RESIDENTIAL SERVICE CLASSIFICATION</v>
      </c>
      <c r="B116" s="105"/>
      <c r="C116" s="117"/>
      <c r="D116" s="165"/>
      <c r="E116" s="166"/>
      <c r="F116" s="167"/>
      <c r="G116" s="168"/>
      <c r="H116" s="169"/>
      <c r="I116" s="167"/>
      <c r="J116" s="170"/>
      <c r="K116" s="169"/>
      <c r="L116" s="171"/>
      <c r="M116" s="172"/>
    </row>
    <row r="117" spans="1:13" x14ac:dyDescent="0.25">
      <c r="A117" s="100" t="str">
        <f t="shared" si="15"/>
        <v>RESIDENTIAL SERVICE CLASSIFICATION</v>
      </c>
      <c r="B117" s="105" t="s">
        <v>117</v>
      </c>
      <c r="C117" s="117"/>
      <c r="D117" s="173" t="s">
        <v>183</v>
      </c>
      <c r="E117" s="158"/>
      <c r="F117" s="174"/>
      <c r="G117" s="175"/>
      <c r="H117" s="176">
        <f>SUM(H107:H113,H106)</f>
        <v>105.52068</v>
      </c>
      <c r="I117" s="177"/>
      <c r="J117" s="177"/>
      <c r="K117" s="176">
        <f>SUM(K107:K113,K106)</f>
        <v>107.52639351045173</v>
      </c>
      <c r="L117" s="178">
        <f>K117-H117</f>
        <v>2.0057135104517272</v>
      </c>
      <c r="M117" s="179">
        <f>IF((H117)=0,"",(L117/H117))</f>
        <v>1.9007776584189253E-2</v>
      </c>
    </row>
    <row r="118" spans="1:13" x14ac:dyDescent="0.25">
      <c r="A118" s="100" t="str">
        <f t="shared" si="15"/>
        <v>RESIDENTIAL SERVICE CLASSIFICATION</v>
      </c>
      <c r="B118" s="105" t="s">
        <v>117</v>
      </c>
      <c r="C118" s="117"/>
      <c r="D118" s="180" t="s">
        <v>184</v>
      </c>
      <c r="E118" s="158"/>
      <c r="F118" s="174">
        <v>0.13</v>
      </c>
      <c r="G118" s="181"/>
      <c r="H118" s="182">
        <f>H117*F118</f>
        <v>13.7176884</v>
      </c>
      <c r="I118" s="183">
        <v>0.13</v>
      </c>
      <c r="J118" s="121"/>
      <c r="K118" s="182">
        <f>K117*I118</f>
        <v>13.978431156358726</v>
      </c>
      <c r="L118" s="184">
        <f>K118-H118</f>
        <v>0.26074275635872546</v>
      </c>
      <c r="M118" s="185">
        <f>IF((H118)=0,"",(L118/H118))</f>
        <v>1.9007776584189319E-2</v>
      </c>
    </row>
    <row r="119" spans="1:13" x14ac:dyDescent="0.25">
      <c r="A119" s="100" t="str">
        <f t="shared" si="15"/>
        <v>RESIDENTIAL SERVICE CLASSIFICATION</v>
      </c>
      <c r="B119" s="105" t="s">
        <v>117</v>
      </c>
      <c r="C119" s="117"/>
      <c r="D119" s="180" t="s">
        <v>185</v>
      </c>
      <c r="E119" s="158"/>
      <c r="F119" s="174">
        <v>0.08</v>
      </c>
      <c r="G119" s="181"/>
      <c r="H119" s="182">
        <f>H117*-F119</f>
        <v>-8.4416544000000009</v>
      </c>
      <c r="I119" s="174">
        <v>0.08</v>
      </c>
      <c r="J119" s="121"/>
      <c r="K119" s="182">
        <f>K117*-I119</f>
        <v>-8.6021114808361379</v>
      </c>
      <c r="L119" s="184">
        <f>K119-H119</f>
        <v>-0.16045708083613697</v>
      </c>
      <c r="M119" s="185"/>
    </row>
    <row r="120" spans="1:13" ht="15.75" thickBot="1" x14ac:dyDescent="0.3">
      <c r="A120" s="100" t="str">
        <f t="shared" si="15"/>
        <v>RESIDENTIAL SERVICE CLASSIFICATION</v>
      </c>
      <c r="B120" s="105" t="s">
        <v>186</v>
      </c>
      <c r="C120" s="117">
        <f>B30</f>
        <v>1</v>
      </c>
      <c r="D120" s="301" t="s">
        <v>187</v>
      </c>
      <c r="E120" s="301"/>
      <c r="F120" s="186"/>
      <c r="G120" s="187"/>
      <c r="H120" s="188">
        <f>H117+H118+H119</f>
        <v>110.79671399999999</v>
      </c>
      <c r="I120" s="189"/>
      <c r="J120" s="189"/>
      <c r="K120" s="190">
        <f>K117+K118+K119</f>
        <v>112.90271318597431</v>
      </c>
      <c r="L120" s="191">
        <f>K120-H120</f>
        <v>2.1059991859743121</v>
      </c>
      <c r="M120" s="192">
        <f>IF((H120)=0,"",(L120/H120))</f>
        <v>1.9007776584189239E-2</v>
      </c>
    </row>
    <row r="121" spans="1:13" ht="15.75" hidden="1" thickBot="1" x14ac:dyDescent="0.3">
      <c r="A121" s="100" t="str">
        <f t="shared" si="15"/>
        <v>RESIDENTIAL SERVICE CLASSIFICATION</v>
      </c>
      <c r="B121" s="100" t="s">
        <v>117</v>
      </c>
      <c r="C121" s="117"/>
      <c r="D121" s="165"/>
      <c r="E121" s="166"/>
      <c r="F121" s="167"/>
      <c r="G121" s="168"/>
      <c r="H121" s="169"/>
      <c r="I121" s="167"/>
      <c r="J121" s="170"/>
      <c r="K121" s="169"/>
      <c r="L121" s="171"/>
      <c r="M121" s="172"/>
    </row>
    <row r="122" spans="1:13" hidden="1" x14ac:dyDescent="0.25">
      <c r="A122" s="100" t="str">
        <f t="shared" si="15"/>
        <v>RESIDENTIAL SERVICE CLASSIFICATION</v>
      </c>
      <c r="B122" s="100" t="s">
        <v>180</v>
      </c>
      <c r="C122" s="117"/>
      <c r="D122" s="173" t="s">
        <v>188</v>
      </c>
      <c r="E122" s="158"/>
      <c r="F122" s="174"/>
      <c r="G122" s="175"/>
      <c r="H122" s="176">
        <f>SUM(H114,H107:H110,H106)</f>
        <v>126.60318000000001</v>
      </c>
      <c r="I122" s="177"/>
      <c r="J122" s="177"/>
      <c r="K122" s="176">
        <f>SUM(K114,K107:K110,K106)</f>
        <v>128.60889351045174</v>
      </c>
      <c r="L122" s="178">
        <f>K122-H122</f>
        <v>2.0057135104517272</v>
      </c>
      <c r="M122" s="179">
        <f>IF((H122)=0,"",(L122/H122))</f>
        <v>1.5842520783851774E-2</v>
      </c>
    </row>
    <row r="123" spans="1:13" hidden="1" x14ac:dyDescent="0.25">
      <c r="A123" s="100" t="str">
        <f t="shared" si="15"/>
        <v>RESIDENTIAL SERVICE CLASSIFICATION</v>
      </c>
      <c r="B123" s="100" t="s">
        <v>180</v>
      </c>
      <c r="C123" s="117"/>
      <c r="D123" s="180" t="s">
        <v>184</v>
      </c>
      <c r="E123" s="158"/>
      <c r="F123" s="174">
        <v>0.13</v>
      </c>
      <c r="G123" s="175"/>
      <c r="H123" s="182">
        <f>H122*F123</f>
        <v>16.458413400000001</v>
      </c>
      <c r="I123" s="174">
        <v>0.13</v>
      </c>
      <c r="J123" s="183"/>
      <c r="K123" s="182">
        <f>K122*I123</f>
        <v>16.719156156358725</v>
      </c>
      <c r="L123" s="184">
        <f>K123-H123</f>
        <v>0.26074275635872368</v>
      </c>
      <c r="M123" s="185">
        <f>IF((H123)=0,"",(L123/H123))</f>
        <v>1.5842520783851722E-2</v>
      </c>
    </row>
    <row r="124" spans="1:13" hidden="1" x14ac:dyDescent="0.25">
      <c r="A124" s="100" t="str">
        <f t="shared" si="15"/>
        <v>RESIDENTIAL SERVICE CLASSIFICATION</v>
      </c>
      <c r="B124" s="100" t="s">
        <v>180</v>
      </c>
      <c r="C124" s="117"/>
      <c r="D124" s="180" t="s">
        <v>185</v>
      </c>
      <c r="E124" s="158"/>
      <c r="F124" s="174">
        <v>0.08</v>
      </c>
      <c r="G124" s="175"/>
      <c r="H124" s="182"/>
      <c r="I124" s="174">
        <v>0.08</v>
      </c>
      <c r="J124" s="183"/>
      <c r="K124" s="182"/>
      <c r="L124" s="184"/>
      <c r="M124" s="185"/>
    </row>
    <row r="125" spans="1:13" ht="15.75" hidden="1" thickBot="1" x14ac:dyDescent="0.3">
      <c r="A125" s="100" t="str">
        <f t="shared" si="15"/>
        <v>RESIDENTIAL SERVICE CLASSIFICATION</v>
      </c>
      <c r="B125" s="100" t="s">
        <v>189</v>
      </c>
      <c r="C125" s="117"/>
      <c r="D125" s="301" t="s">
        <v>188</v>
      </c>
      <c r="E125" s="301"/>
      <c r="F125" s="193"/>
      <c r="G125" s="194"/>
      <c r="H125" s="188">
        <f>SUM(H122,H123)</f>
        <v>143.06159340000002</v>
      </c>
      <c r="I125" s="195"/>
      <c r="J125" s="195"/>
      <c r="K125" s="188">
        <f>SUM(K122,K123)</f>
        <v>145.32804966681047</v>
      </c>
      <c r="L125" s="196">
        <f>K125-H125</f>
        <v>2.2664562668104509</v>
      </c>
      <c r="M125" s="197">
        <f>IF((H125)=0,"",(L125/H125))</f>
        <v>1.5842520783851767E-2</v>
      </c>
    </row>
    <row r="126" spans="1:13" ht="15.75" hidden="1" thickBot="1" x14ac:dyDescent="0.3">
      <c r="A126" s="100" t="str">
        <f t="shared" si="15"/>
        <v>RESIDENTIAL SERVICE CLASSIFICATION</v>
      </c>
      <c r="B126" s="100" t="s">
        <v>180</v>
      </c>
      <c r="C126" s="117"/>
      <c r="D126" s="165"/>
      <c r="E126" s="166"/>
      <c r="F126" s="198"/>
      <c r="G126" s="199"/>
      <c r="H126" s="200"/>
      <c r="I126" s="198"/>
      <c r="J126" s="168"/>
      <c r="K126" s="200"/>
      <c r="L126" s="201"/>
      <c r="M126" s="172"/>
    </row>
    <row r="127" spans="1:13" hidden="1" x14ac:dyDescent="0.25">
      <c r="A127" s="100" t="str">
        <f t="shared" si="15"/>
        <v>RESIDENTIAL SERVICE CLASSIFICATION</v>
      </c>
      <c r="B127" s="100" t="s">
        <v>121</v>
      </c>
      <c r="C127" s="117"/>
      <c r="D127" s="173" t="s">
        <v>190</v>
      </c>
      <c r="E127" s="158"/>
      <c r="F127" s="174"/>
      <c r="G127" s="175"/>
      <c r="H127" s="176">
        <f>SUM(H115,H107:H110,H106)</f>
        <v>126.60318000000001</v>
      </c>
      <c r="I127" s="177"/>
      <c r="J127" s="177"/>
      <c r="K127" s="176">
        <f>SUM(K115,K107:K110,K106)</f>
        <v>128.60889351045174</v>
      </c>
      <c r="L127" s="178">
        <f>K127-H127</f>
        <v>2.0057135104517272</v>
      </c>
      <c r="M127" s="179">
        <f>IF((H127)=0,"",(L127/H127))</f>
        <v>1.5842520783851774E-2</v>
      </c>
    </row>
    <row r="128" spans="1:13" hidden="1" x14ac:dyDescent="0.25">
      <c r="A128" s="100" t="str">
        <f t="shared" si="15"/>
        <v>RESIDENTIAL SERVICE CLASSIFICATION</v>
      </c>
      <c r="B128" s="100" t="s">
        <v>121</v>
      </c>
      <c r="C128" s="117"/>
      <c r="D128" s="180" t="s">
        <v>184</v>
      </c>
      <c r="E128" s="158"/>
      <c r="F128" s="174">
        <v>0.13</v>
      </c>
      <c r="G128" s="175"/>
      <c r="H128" s="182">
        <f>H127*F128</f>
        <v>16.458413400000001</v>
      </c>
      <c r="I128" s="174">
        <v>0.13</v>
      </c>
      <c r="J128" s="183"/>
      <c r="K128" s="182">
        <f>K127*I128</f>
        <v>16.719156156358725</v>
      </c>
      <c r="L128" s="184">
        <f>K128-H128</f>
        <v>0.26074275635872368</v>
      </c>
      <c r="M128" s="185">
        <f>IF((H128)=0,"",(L128/H128))</f>
        <v>1.5842520783851722E-2</v>
      </c>
    </row>
    <row r="129" spans="1:13" hidden="1" x14ac:dyDescent="0.25">
      <c r="A129" s="100" t="str">
        <f t="shared" si="15"/>
        <v>RESIDENTIAL SERVICE CLASSIFICATION</v>
      </c>
      <c r="B129" s="100" t="s">
        <v>121</v>
      </c>
      <c r="C129" s="117"/>
      <c r="D129" s="180" t="s">
        <v>185</v>
      </c>
      <c r="E129" s="158"/>
      <c r="F129" s="174">
        <v>0.08</v>
      </c>
      <c r="G129" s="175"/>
      <c r="H129" s="182"/>
      <c r="I129" s="174">
        <v>0.08</v>
      </c>
      <c r="J129" s="183"/>
      <c r="K129" s="182"/>
      <c r="L129" s="184"/>
      <c r="M129" s="185"/>
    </row>
    <row r="130" spans="1:13" ht="15.75" hidden="1" thickBot="1" x14ac:dyDescent="0.3">
      <c r="A130" s="100" t="str">
        <f t="shared" si="15"/>
        <v>RESIDENTIAL SERVICE CLASSIFICATION</v>
      </c>
      <c r="B130" s="100" t="s">
        <v>191</v>
      </c>
      <c r="C130" s="117"/>
      <c r="D130" s="301" t="s">
        <v>190</v>
      </c>
      <c r="E130" s="301"/>
      <c r="F130" s="193"/>
      <c r="G130" s="194"/>
      <c r="H130" s="188">
        <f>SUM(H127,H128)</f>
        <v>143.06159340000002</v>
      </c>
      <c r="I130" s="195"/>
      <c r="J130" s="195"/>
      <c r="K130" s="188">
        <f>SUM(K127,K128)</f>
        <v>145.32804966681047</v>
      </c>
      <c r="L130" s="196">
        <f>K130-H130</f>
        <v>2.2664562668104509</v>
      </c>
      <c r="M130" s="197">
        <f>IF((H130)=0,"",(L130/H130))</f>
        <v>1.5842520783851767E-2</v>
      </c>
    </row>
    <row r="131" spans="1:13" ht="15.75" thickBot="1" x14ac:dyDescent="0.3">
      <c r="A131" s="100" t="str">
        <f t="shared" si="15"/>
        <v>RESIDENTIAL SERVICE CLASSIFICATION</v>
      </c>
      <c r="B131" s="100" t="s">
        <v>121</v>
      </c>
      <c r="C131" s="117"/>
      <c r="D131" s="165"/>
      <c r="E131" s="166"/>
      <c r="F131" s="202"/>
      <c r="G131" s="203"/>
      <c r="H131" s="204"/>
      <c r="I131" s="202"/>
      <c r="J131" s="205"/>
      <c r="K131" s="204"/>
      <c r="L131" s="206"/>
      <c r="M131" s="207"/>
    </row>
    <row r="134" spans="1:13" x14ac:dyDescent="0.25">
      <c r="C134" s="100"/>
      <c r="D134" s="101" t="s">
        <v>134</v>
      </c>
      <c r="E134" s="302" t="str">
        <f>D31</f>
        <v>GENERAL SERVICE LESS THAN 50 KW SERVICE CLASSIFICATION</v>
      </c>
      <c r="F134" s="302"/>
      <c r="G134" s="302"/>
      <c r="H134" s="302"/>
      <c r="I134" s="302"/>
      <c r="J134" s="302"/>
      <c r="K134" s="100" t="str">
        <f>IF(N31="DEMAND - INTERVAL","RTSR - INTERVAL METERED","")</f>
        <v/>
      </c>
    </row>
    <row r="135" spans="1:13" x14ac:dyDescent="0.25">
      <c r="C135" s="100"/>
      <c r="D135" s="101" t="s">
        <v>135</v>
      </c>
      <c r="E135" s="303" t="str">
        <f>H31</f>
        <v>RPP</v>
      </c>
      <c r="F135" s="303"/>
      <c r="G135" s="303"/>
      <c r="H135" s="102"/>
      <c r="I135" s="102"/>
    </row>
    <row r="136" spans="1:13" ht="15.75" x14ac:dyDescent="0.25">
      <c r="C136" s="100"/>
      <c r="D136" s="101" t="s">
        <v>136</v>
      </c>
      <c r="E136" s="103">
        <f>K31</f>
        <v>2000</v>
      </c>
      <c r="F136" s="104" t="s">
        <v>137</v>
      </c>
      <c r="G136" s="105"/>
      <c r="J136" s="106"/>
      <c r="K136" s="106"/>
      <c r="L136" s="106"/>
      <c r="M136" s="106"/>
    </row>
    <row r="137" spans="1:13" ht="15.75" x14ac:dyDescent="0.25">
      <c r="C137" s="100"/>
      <c r="D137" s="101" t="s">
        <v>138</v>
      </c>
      <c r="E137" s="103">
        <f>L31</f>
        <v>0</v>
      </c>
      <c r="F137" s="107" t="s">
        <v>139</v>
      </c>
      <c r="G137" s="108"/>
      <c r="H137" s="109"/>
      <c r="I137" s="109"/>
      <c r="J137" s="109"/>
    </row>
    <row r="138" spans="1:13" x14ac:dyDescent="0.25">
      <c r="C138" s="100"/>
      <c r="D138" s="101" t="s">
        <v>140</v>
      </c>
      <c r="E138" s="110">
        <f>I31</f>
        <v>1.056</v>
      </c>
    </row>
    <row r="139" spans="1:13" x14ac:dyDescent="0.25">
      <c r="C139" s="100"/>
      <c r="D139" s="101" t="s">
        <v>141</v>
      </c>
      <c r="E139" s="110">
        <f>J31</f>
        <v>1.056</v>
      </c>
    </row>
    <row r="140" spans="1:13" x14ac:dyDescent="0.25">
      <c r="C140" s="100"/>
      <c r="D140" s="105"/>
    </row>
    <row r="141" spans="1:13" x14ac:dyDescent="0.25">
      <c r="C141" s="100"/>
      <c r="D141" s="105"/>
      <c r="E141" s="111"/>
      <c r="F141" s="304" t="s">
        <v>142</v>
      </c>
      <c r="G141" s="305"/>
      <c r="H141" s="306"/>
      <c r="I141" s="304" t="s">
        <v>143</v>
      </c>
      <c r="J141" s="305"/>
      <c r="K141" s="306"/>
      <c r="L141" s="304" t="s">
        <v>144</v>
      </c>
      <c r="M141" s="306"/>
    </row>
    <row r="142" spans="1:13" x14ac:dyDescent="0.25">
      <c r="C142" s="100"/>
      <c r="D142" s="105"/>
      <c r="E142" s="295"/>
      <c r="F142" s="112" t="s">
        <v>145</v>
      </c>
      <c r="G142" s="112" t="s">
        <v>146</v>
      </c>
      <c r="H142" s="113" t="s">
        <v>147</v>
      </c>
      <c r="I142" s="112" t="s">
        <v>145</v>
      </c>
      <c r="J142" s="114" t="s">
        <v>146</v>
      </c>
      <c r="K142" s="113" t="s">
        <v>147</v>
      </c>
      <c r="L142" s="297" t="s">
        <v>148</v>
      </c>
      <c r="M142" s="299" t="s">
        <v>149</v>
      </c>
    </row>
    <row r="143" spans="1:13" x14ac:dyDescent="0.25">
      <c r="C143" s="100"/>
      <c r="D143" s="105"/>
      <c r="E143" s="296"/>
      <c r="F143" s="115" t="s">
        <v>150</v>
      </c>
      <c r="G143" s="115"/>
      <c r="H143" s="116" t="s">
        <v>150</v>
      </c>
      <c r="I143" s="115" t="s">
        <v>150</v>
      </c>
      <c r="J143" s="116"/>
      <c r="K143" s="116" t="s">
        <v>150</v>
      </c>
      <c r="L143" s="298"/>
      <c r="M143" s="300"/>
    </row>
    <row r="144" spans="1:13" x14ac:dyDescent="0.25">
      <c r="A144" s="100" t="str">
        <f>$E134</f>
        <v>GENERAL SERVICE LESS THAN 50 KW SERVICE CLASSIFICATION</v>
      </c>
      <c r="C144" s="117"/>
      <c r="D144" s="118" t="s">
        <v>151</v>
      </c>
      <c r="E144" s="119"/>
      <c r="F144" s="120">
        <v>28.37</v>
      </c>
      <c r="G144" s="121">
        <v>1</v>
      </c>
      <c r="H144" s="122">
        <f>G144*F144</f>
        <v>28.37</v>
      </c>
      <c r="I144" s="123">
        <v>28.71</v>
      </c>
      <c r="J144" s="124">
        <f>G144</f>
        <v>1</v>
      </c>
      <c r="K144" s="122">
        <f>J144*I144</f>
        <v>28.71</v>
      </c>
      <c r="L144" s="125">
        <f t="shared" ref="L144:L165" si="20">K144-H144</f>
        <v>0.33999999999999986</v>
      </c>
      <c r="M144" s="126">
        <f>IF(ISERROR(L144/H144), "", L144/H144)</f>
        <v>1.198449065914698E-2</v>
      </c>
    </row>
    <row r="145" spans="1:13" x14ac:dyDescent="0.25">
      <c r="A145" s="100" t="str">
        <f>A144</f>
        <v>GENERAL SERVICE LESS THAN 50 KW SERVICE CLASSIFICATION</v>
      </c>
      <c r="C145" s="117"/>
      <c r="D145" s="118" t="s">
        <v>152</v>
      </c>
      <c r="E145" s="119"/>
      <c r="F145" s="127">
        <v>1.0200000000000001E-2</v>
      </c>
      <c r="G145" s="121">
        <f>IF($E137&gt;0, $E137, $E136)</f>
        <v>2000</v>
      </c>
      <c r="H145" s="122">
        <f t="shared" ref="H145:H157" si="21">G145*F145</f>
        <v>20.400000000000002</v>
      </c>
      <c r="I145" s="128">
        <v>1.03E-2</v>
      </c>
      <c r="J145" s="124">
        <f>IF($E137&gt;0, $E137, $E136)</f>
        <v>2000</v>
      </c>
      <c r="K145" s="122">
        <f>J145*I145</f>
        <v>20.6</v>
      </c>
      <c r="L145" s="125">
        <f t="shared" si="20"/>
        <v>0.19999999999999929</v>
      </c>
      <c r="M145" s="126">
        <f t="shared" ref="M145:M155" si="22">IF(ISERROR(L145/H145), "", L145/H145)</f>
        <v>9.8039215686274144E-3</v>
      </c>
    </row>
    <row r="146" spans="1:13" x14ac:dyDescent="0.25">
      <c r="A146" s="100" t="str">
        <f t="shared" ref="A146:A187" si="23">A145</f>
        <v>GENERAL SERVICE LESS THAN 50 KW SERVICE CLASSIFICATION</v>
      </c>
      <c r="C146" s="117"/>
      <c r="D146" s="118" t="s">
        <v>153</v>
      </c>
      <c r="E146" s="119"/>
      <c r="F146" s="127"/>
      <c r="G146" s="121">
        <f>IF($E137&gt;0, $E137, $E136)</f>
        <v>2000</v>
      </c>
      <c r="H146" s="122">
        <v>0</v>
      </c>
      <c r="I146" s="128"/>
      <c r="J146" s="124">
        <f>IF($E137&gt;0, $E137, $E136)</f>
        <v>2000</v>
      </c>
      <c r="K146" s="122">
        <v>0</v>
      </c>
      <c r="L146" s="125"/>
      <c r="M146" s="126"/>
    </row>
    <row r="147" spans="1:13" x14ac:dyDescent="0.25">
      <c r="A147" s="100" t="str">
        <f t="shared" si="23"/>
        <v>GENERAL SERVICE LESS THAN 50 KW SERVICE CLASSIFICATION</v>
      </c>
      <c r="C147" s="117"/>
      <c r="D147" s="118" t="s">
        <v>154</v>
      </c>
      <c r="E147" s="119"/>
      <c r="F147" s="127"/>
      <c r="G147" s="121">
        <f>IF($E137&gt;0, $E137, $E136)</f>
        <v>2000</v>
      </c>
      <c r="H147" s="122">
        <v>0</v>
      </c>
      <c r="I147" s="128"/>
      <c r="J147" s="121">
        <f>IF($E137&gt;0, $E137, $E136)</f>
        <v>2000</v>
      </c>
      <c r="K147" s="122">
        <v>0</v>
      </c>
      <c r="L147" s="125">
        <f>K147-H147</f>
        <v>0</v>
      </c>
      <c r="M147" s="126" t="str">
        <f>IF(ISERROR(L147/H147), "", L147/H147)</f>
        <v/>
      </c>
    </row>
    <row r="148" spans="1:13" x14ac:dyDescent="0.25">
      <c r="A148" s="100" t="str">
        <f t="shared" si="23"/>
        <v>GENERAL SERVICE LESS THAN 50 KW SERVICE CLASSIFICATION</v>
      </c>
      <c r="C148" s="117"/>
      <c r="D148" s="129" t="s">
        <v>155</v>
      </c>
      <c r="E148" s="119"/>
      <c r="F148" s="120">
        <v>0</v>
      </c>
      <c r="G148" s="121">
        <v>1</v>
      </c>
      <c r="H148" s="122">
        <f t="shared" si="21"/>
        <v>0</v>
      </c>
      <c r="I148" s="226">
        <f>'Rate Riders'!O9</f>
        <v>5.0258152524611814</v>
      </c>
      <c r="J148" s="124">
        <f>G148</f>
        <v>1</v>
      </c>
      <c r="K148" s="122">
        <f t="shared" ref="K148:K155" si="24">J148*I148</f>
        <v>5.0258152524611814</v>
      </c>
      <c r="L148" s="125">
        <f t="shared" si="20"/>
        <v>5.0258152524611814</v>
      </c>
      <c r="M148" s="126" t="str">
        <f t="shared" si="22"/>
        <v/>
      </c>
    </row>
    <row r="149" spans="1:13" x14ac:dyDescent="0.25">
      <c r="A149" s="100" t="str">
        <f t="shared" si="23"/>
        <v>GENERAL SERVICE LESS THAN 50 KW SERVICE CLASSIFICATION</v>
      </c>
      <c r="C149" s="117"/>
      <c r="D149" s="118" t="s">
        <v>156</v>
      </c>
      <c r="E149" s="119"/>
      <c r="F149" s="127">
        <v>0</v>
      </c>
      <c r="G149" s="121">
        <f>IF($E137&gt;0, $E137, $E136)</f>
        <v>2000</v>
      </c>
      <c r="H149" s="122">
        <f t="shared" si="21"/>
        <v>0</v>
      </c>
      <c r="I149" s="227">
        <f>'Rate Riders'!P9</f>
        <v>1.8069550784315846E-3</v>
      </c>
      <c r="J149" s="124">
        <f>IF($E137&gt;0, $E137, $E136)</f>
        <v>2000</v>
      </c>
      <c r="K149" s="122">
        <f t="shared" si="24"/>
        <v>3.6139101568631693</v>
      </c>
      <c r="L149" s="125">
        <f t="shared" si="20"/>
        <v>3.6139101568631693</v>
      </c>
      <c r="M149" s="126" t="str">
        <f t="shared" si="22"/>
        <v/>
      </c>
    </row>
    <row r="150" spans="1:13" x14ac:dyDescent="0.25">
      <c r="A150" s="100" t="str">
        <f t="shared" si="23"/>
        <v>GENERAL SERVICE LESS THAN 50 KW SERVICE CLASSIFICATION</v>
      </c>
      <c r="B150" s="130" t="s">
        <v>157</v>
      </c>
      <c r="C150" s="117">
        <f>B31</f>
        <v>2</v>
      </c>
      <c r="D150" s="131" t="s">
        <v>158</v>
      </c>
      <c r="E150" s="132"/>
      <c r="F150" s="133"/>
      <c r="G150" s="134"/>
      <c r="H150" s="135">
        <f>SUM(H144:H149)</f>
        <v>48.77</v>
      </c>
      <c r="I150" s="136"/>
      <c r="J150" s="137"/>
      <c r="K150" s="135">
        <f>SUM(K144:K149)</f>
        <v>57.949725409324351</v>
      </c>
      <c r="L150" s="138">
        <f t="shared" si="20"/>
        <v>9.1797254093243481</v>
      </c>
      <c r="M150" s="139">
        <f>IF((H150)=0,"",(L150/H150))</f>
        <v>0.18822483923158392</v>
      </c>
    </row>
    <row r="151" spans="1:13" x14ac:dyDescent="0.25">
      <c r="A151" s="100" t="str">
        <f t="shared" si="23"/>
        <v>GENERAL SERVICE LESS THAN 50 KW SERVICE CLASSIFICATION</v>
      </c>
      <c r="C151" s="117"/>
      <c r="D151" s="140" t="s">
        <v>159</v>
      </c>
      <c r="E151" s="119"/>
      <c r="F151" s="127">
        <f>IF((E136*12&gt;=150000), 0, IF(E135="RPP",(F167*0.65+F168*0.17+F169*0.18),IF(E135="Non-RPP (Retailer)",F170,F171)))</f>
        <v>8.1990000000000007E-2</v>
      </c>
      <c r="G151" s="141">
        <f>IF(F151=0, 0, $E136*E138-E136)</f>
        <v>112</v>
      </c>
      <c r="H151" s="122">
        <f>G151*F151</f>
        <v>9.1828800000000008</v>
      </c>
      <c r="I151" s="128">
        <f>IF((E136*12&gt;=150000), 0, IF(E135="RPP",(I167*0.65+I168*0.17+I169*0.18),IF(E135="Non-RPP (Retailer)",I170,I171)))</f>
        <v>8.1990000000000007E-2</v>
      </c>
      <c r="J151" s="141">
        <f>IF(I151=0, 0, E136*E139-E136)</f>
        <v>112</v>
      </c>
      <c r="K151" s="122">
        <f>J151*I151</f>
        <v>9.1828800000000008</v>
      </c>
      <c r="L151" s="125">
        <f>K151-H151</f>
        <v>0</v>
      </c>
      <c r="M151" s="126">
        <f>IF(ISERROR(L151/H151), "", L151/H151)</f>
        <v>0</v>
      </c>
    </row>
    <row r="152" spans="1:13" ht="25.5" x14ac:dyDescent="0.25">
      <c r="A152" s="100" t="str">
        <f t="shared" si="23"/>
        <v>GENERAL SERVICE LESS THAN 50 KW SERVICE CLASSIFICATION</v>
      </c>
      <c r="C152" s="117"/>
      <c r="D152" s="140" t="s">
        <v>160</v>
      </c>
      <c r="E152" s="119"/>
      <c r="F152" s="127">
        <v>-1.4E-3</v>
      </c>
      <c r="G152" s="142">
        <f>IF($E137&gt;0, $E137, $E136)</f>
        <v>2000</v>
      </c>
      <c r="H152" s="122">
        <f t="shared" si="21"/>
        <v>-2.8</v>
      </c>
      <c r="I152" s="128">
        <v>-5.3E-3</v>
      </c>
      <c r="J152" s="142">
        <f>IF($E137&gt;0, $E137, $E136)</f>
        <v>2000</v>
      </c>
      <c r="K152" s="122">
        <f t="shared" si="24"/>
        <v>-10.6</v>
      </c>
      <c r="L152" s="125">
        <f t="shared" si="20"/>
        <v>-7.8</v>
      </c>
      <c r="M152" s="126">
        <f t="shared" si="22"/>
        <v>2.785714285714286</v>
      </c>
    </row>
    <row r="153" spans="1:13" x14ac:dyDescent="0.25">
      <c r="A153" s="100" t="str">
        <f t="shared" si="23"/>
        <v>GENERAL SERVICE LESS THAN 50 KW SERVICE CLASSIFICATION</v>
      </c>
      <c r="C153" s="117"/>
      <c r="D153" s="140" t="s">
        <v>161</v>
      </c>
      <c r="E153" s="119"/>
      <c r="F153" s="127">
        <v>-1E-4</v>
      </c>
      <c r="G153" s="142">
        <f>IF($E137&gt;0, $E137, $E136)</f>
        <v>2000</v>
      </c>
      <c r="H153" s="122">
        <f>G153*F153</f>
        <v>-0.2</v>
      </c>
      <c r="I153" s="128">
        <v>0</v>
      </c>
      <c r="J153" s="142">
        <f>IF($E137&gt;0, $E137, $E136)</f>
        <v>2000</v>
      </c>
      <c r="K153" s="122">
        <f>J153*I153</f>
        <v>0</v>
      </c>
      <c r="L153" s="125">
        <f t="shared" si="20"/>
        <v>0.2</v>
      </c>
      <c r="M153" s="126">
        <f t="shared" si="22"/>
        <v>-1</v>
      </c>
    </row>
    <row r="154" spans="1:13" x14ac:dyDescent="0.25">
      <c r="A154" s="100" t="str">
        <f t="shared" si="23"/>
        <v>GENERAL SERVICE LESS THAN 50 KW SERVICE CLASSIFICATION</v>
      </c>
      <c r="C154" s="117"/>
      <c r="D154" s="140" t="s">
        <v>162</v>
      </c>
      <c r="E154" s="119"/>
      <c r="F154" s="127">
        <v>0</v>
      </c>
      <c r="G154" s="142">
        <f>E136</f>
        <v>2000</v>
      </c>
      <c r="H154" s="122">
        <f>G154*F154</f>
        <v>0</v>
      </c>
      <c r="I154" s="128">
        <v>0</v>
      </c>
      <c r="J154" s="142">
        <f>E136</f>
        <v>2000</v>
      </c>
      <c r="K154" s="122">
        <f t="shared" si="24"/>
        <v>0</v>
      </c>
      <c r="L154" s="125">
        <f t="shared" si="20"/>
        <v>0</v>
      </c>
      <c r="M154" s="126" t="str">
        <f t="shared" si="22"/>
        <v/>
      </c>
    </row>
    <row r="155" spans="1:13" x14ac:dyDescent="0.25">
      <c r="A155" s="100" t="str">
        <f t="shared" si="23"/>
        <v>GENERAL SERVICE LESS THAN 50 KW SERVICE CLASSIFICATION</v>
      </c>
      <c r="C155" s="117"/>
      <c r="D155" s="143" t="s">
        <v>163</v>
      </c>
      <c r="E155" s="119"/>
      <c r="F155" s="127">
        <v>2.3999999999999998E-3</v>
      </c>
      <c r="G155" s="142">
        <f>IF($E137&gt;0, $E137, $E136)</f>
        <v>2000</v>
      </c>
      <c r="H155" s="122">
        <f t="shared" si="21"/>
        <v>4.8</v>
      </c>
      <c r="I155" s="128">
        <v>2.3999999999999998E-3</v>
      </c>
      <c r="J155" s="142">
        <f>IF($E137&gt;0, $E137, $E136)</f>
        <v>2000</v>
      </c>
      <c r="K155" s="122">
        <f t="shared" si="24"/>
        <v>4.8</v>
      </c>
      <c r="L155" s="125">
        <f t="shared" si="20"/>
        <v>0</v>
      </c>
      <c r="M155" s="126">
        <f t="shared" si="22"/>
        <v>0</v>
      </c>
    </row>
    <row r="156" spans="1:13" ht="25.5" x14ac:dyDescent="0.25">
      <c r="A156" s="100" t="str">
        <f t="shared" si="23"/>
        <v>GENERAL SERVICE LESS THAN 50 KW SERVICE CLASSIFICATION</v>
      </c>
      <c r="C156" s="117"/>
      <c r="D156" s="144" t="s">
        <v>164</v>
      </c>
      <c r="E156" s="119"/>
      <c r="F156" s="145">
        <f>IF(OR(ISNUMBER(SEARCH("RESIDENTIAL", E134))=TRUE, ISNUMBER(SEARCH("GENERAL SERVICE LESS THAN 50", E134))=TRUE), SME, 0)</f>
        <v>0.56999999999999995</v>
      </c>
      <c r="G156" s="121">
        <v>1</v>
      </c>
      <c r="H156" s="122">
        <f>G156*F156</f>
        <v>0.56999999999999995</v>
      </c>
      <c r="I156" s="146">
        <f>IF(OR(ISNUMBER(SEARCH("RESIDENTIAL", E134))=TRUE, ISNUMBER(SEARCH("GENERAL SERVICE LESS THAN 50", E134))=TRUE), SME, 0)</f>
        <v>0.56999999999999995</v>
      </c>
      <c r="J156" s="121">
        <v>1</v>
      </c>
      <c r="K156" s="122">
        <f>J156*I156</f>
        <v>0.56999999999999995</v>
      </c>
      <c r="L156" s="125">
        <f t="shared" si="20"/>
        <v>0</v>
      </c>
      <c r="M156" s="126">
        <f>IF(ISERROR(L156/H156), "", L156/H156)</f>
        <v>0</v>
      </c>
    </row>
    <row r="157" spans="1:13" x14ac:dyDescent="0.25">
      <c r="A157" s="100" t="str">
        <f t="shared" si="23"/>
        <v>GENERAL SERVICE LESS THAN 50 KW SERVICE CLASSIFICATION</v>
      </c>
      <c r="C157" s="117"/>
      <c r="D157" s="143" t="s">
        <v>165</v>
      </c>
      <c r="E157" s="119"/>
      <c r="F157" s="120">
        <v>0</v>
      </c>
      <c r="G157" s="121">
        <v>1</v>
      </c>
      <c r="H157" s="122">
        <f t="shared" si="21"/>
        <v>0</v>
      </c>
      <c r="I157" s="123">
        <v>0</v>
      </c>
      <c r="J157" s="121">
        <v>1</v>
      </c>
      <c r="K157" s="122">
        <f>J157*I157</f>
        <v>0</v>
      </c>
      <c r="L157" s="125">
        <f>K157-H157</f>
        <v>0</v>
      </c>
      <c r="M157" s="126" t="str">
        <f>IF(ISERROR(L157/H157), "", L157/H157)</f>
        <v/>
      </c>
    </row>
    <row r="158" spans="1:13" x14ac:dyDescent="0.25">
      <c r="A158" s="100" t="str">
        <f t="shared" si="23"/>
        <v>GENERAL SERVICE LESS THAN 50 KW SERVICE CLASSIFICATION</v>
      </c>
      <c r="C158" s="117"/>
      <c r="D158" s="143" t="s">
        <v>166</v>
      </c>
      <c r="E158" s="119"/>
      <c r="F158" s="127"/>
      <c r="G158" s="142">
        <f>IF($E137&gt;0, $E137, $E136)</f>
        <v>2000</v>
      </c>
      <c r="H158" s="122">
        <f>G158*F158</f>
        <v>0</v>
      </c>
      <c r="I158" s="128">
        <v>0</v>
      </c>
      <c r="J158" s="142">
        <f>IF($E137&gt;0, $E137, $E136)</f>
        <v>2000</v>
      </c>
      <c r="K158" s="122">
        <f>J158*I158</f>
        <v>0</v>
      </c>
      <c r="L158" s="125">
        <f t="shared" si="20"/>
        <v>0</v>
      </c>
      <c r="M158" s="126" t="str">
        <f>IF(ISERROR(L158/H158), "", L158/H158)</f>
        <v/>
      </c>
    </row>
    <row r="159" spans="1:13" ht="25.5" x14ac:dyDescent="0.25">
      <c r="A159" s="100" t="str">
        <f t="shared" si="23"/>
        <v>GENERAL SERVICE LESS THAN 50 KW SERVICE CLASSIFICATION</v>
      </c>
      <c r="B159" s="105" t="s">
        <v>167</v>
      </c>
      <c r="C159" s="117">
        <f>B31</f>
        <v>2</v>
      </c>
      <c r="D159" s="147" t="s">
        <v>168</v>
      </c>
      <c r="E159" s="148"/>
      <c r="F159" s="149"/>
      <c r="G159" s="150"/>
      <c r="H159" s="151">
        <f>SUM(H150:H158)</f>
        <v>60.322880000000005</v>
      </c>
      <c r="I159" s="152"/>
      <c r="J159" s="153"/>
      <c r="K159" s="151">
        <f>SUM(K150:K158)</f>
        <v>61.902605409324352</v>
      </c>
      <c r="L159" s="138">
        <f t="shared" si="20"/>
        <v>1.5797254093243467</v>
      </c>
      <c r="M159" s="139">
        <f>IF((H159)=0,"",(L159/H159))</f>
        <v>2.618783137218161E-2</v>
      </c>
    </row>
    <row r="160" spans="1:13" x14ac:dyDescent="0.25">
      <c r="A160" s="100" t="str">
        <f t="shared" si="23"/>
        <v>GENERAL SERVICE LESS THAN 50 KW SERVICE CLASSIFICATION</v>
      </c>
      <c r="C160" s="117"/>
      <c r="D160" s="154" t="s">
        <v>169</v>
      </c>
      <c r="E160" s="119"/>
      <c r="F160" s="127">
        <v>6.0000000000000001E-3</v>
      </c>
      <c r="G160" s="141">
        <f>IF($E137&gt;0, $E137, $E136*$E138)</f>
        <v>2112</v>
      </c>
      <c r="H160" s="122">
        <f>G160*F160</f>
        <v>12.672000000000001</v>
      </c>
      <c r="I160" s="128">
        <v>5.7000000000000002E-3</v>
      </c>
      <c r="J160" s="141">
        <f>IF($E137&gt;0, $E137, $E136*$E139)</f>
        <v>2112</v>
      </c>
      <c r="K160" s="122">
        <f>J160*I160</f>
        <v>12.038400000000001</v>
      </c>
      <c r="L160" s="125">
        <f t="shared" si="20"/>
        <v>-0.6335999999999995</v>
      </c>
      <c r="M160" s="126">
        <f>IF(ISERROR(L160/H160), "", L160/H160)</f>
        <v>-4.9999999999999961E-2</v>
      </c>
    </row>
    <row r="161" spans="1:13" ht="25.5" x14ac:dyDescent="0.25">
      <c r="A161" s="100" t="str">
        <f t="shared" si="23"/>
        <v>GENERAL SERVICE LESS THAN 50 KW SERVICE CLASSIFICATION</v>
      </c>
      <c r="C161" s="117"/>
      <c r="D161" s="155" t="s">
        <v>170</v>
      </c>
      <c r="E161" s="119"/>
      <c r="F161" s="127">
        <v>5.3E-3</v>
      </c>
      <c r="G161" s="141">
        <f>IF($E137&gt;0, $E137, $E136*$E138)</f>
        <v>2112</v>
      </c>
      <c r="H161" s="122">
        <f>G161*F161</f>
        <v>11.1936</v>
      </c>
      <c r="I161" s="128">
        <v>5.0000000000000001E-3</v>
      </c>
      <c r="J161" s="141">
        <f>IF($E137&gt;0, $E137, $E136*$E139)</f>
        <v>2112</v>
      </c>
      <c r="K161" s="122">
        <f>J161*I161</f>
        <v>10.56</v>
      </c>
      <c r="L161" s="125">
        <f t="shared" si="20"/>
        <v>-0.6335999999999995</v>
      </c>
      <c r="M161" s="126">
        <f>IF(ISERROR(L161/H161), "", L161/H161)</f>
        <v>-5.6603773584905613E-2</v>
      </c>
    </row>
    <row r="162" spans="1:13" ht="25.5" x14ac:dyDescent="0.25">
      <c r="A162" s="100" t="str">
        <f t="shared" si="23"/>
        <v>GENERAL SERVICE LESS THAN 50 KW SERVICE CLASSIFICATION</v>
      </c>
      <c r="B162" s="105" t="s">
        <v>171</v>
      </c>
      <c r="C162" s="117">
        <f>B31</f>
        <v>2</v>
      </c>
      <c r="D162" s="147" t="s">
        <v>172</v>
      </c>
      <c r="E162" s="132"/>
      <c r="F162" s="149"/>
      <c r="G162" s="150"/>
      <c r="H162" s="151">
        <f>SUM(H159:H161)</f>
        <v>84.188480000000013</v>
      </c>
      <c r="I162" s="152"/>
      <c r="J162" s="137"/>
      <c r="K162" s="151">
        <f>SUM(K159:K161)</f>
        <v>84.50100540932435</v>
      </c>
      <c r="L162" s="138">
        <f t="shared" si="20"/>
        <v>0.31252540932433703</v>
      </c>
      <c r="M162" s="139">
        <f>IF((H162)=0,"",(L162/H162))</f>
        <v>3.712211092590542E-3</v>
      </c>
    </row>
    <row r="163" spans="1:13" ht="25.5" x14ac:dyDescent="0.25">
      <c r="A163" s="100" t="str">
        <f t="shared" si="23"/>
        <v>GENERAL SERVICE LESS THAN 50 KW SERVICE CLASSIFICATION</v>
      </c>
      <c r="C163" s="117"/>
      <c r="D163" s="156" t="s">
        <v>173</v>
      </c>
      <c r="E163" s="119"/>
      <c r="F163" s="127">
        <v>3.6000000000000003E-3</v>
      </c>
      <c r="G163" s="141">
        <f>E136*E138</f>
        <v>2112</v>
      </c>
      <c r="H163" s="157">
        <f t="shared" ref="H163:H169" si="25">G163*F163</f>
        <v>7.6032000000000011</v>
      </c>
      <c r="I163" s="128">
        <v>3.6000000000000003E-3</v>
      </c>
      <c r="J163" s="141">
        <f>E136*E139</f>
        <v>2112</v>
      </c>
      <c r="K163" s="157">
        <f t="shared" ref="K163:K169" si="26">J163*I163</f>
        <v>7.6032000000000011</v>
      </c>
      <c r="L163" s="125">
        <f t="shared" si="20"/>
        <v>0</v>
      </c>
      <c r="M163" s="126">
        <f t="shared" ref="M163:M171" si="27">IF(ISERROR(L163/H163), "", L163/H163)</f>
        <v>0</v>
      </c>
    </row>
    <row r="164" spans="1:13" ht="25.5" x14ac:dyDescent="0.25">
      <c r="A164" s="100" t="str">
        <f t="shared" si="23"/>
        <v>GENERAL SERVICE LESS THAN 50 KW SERVICE CLASSIFICATION</v>
      </c>
      <c r="C164" s="117"/>
      <c r="D164" s="156" t="s">
        <v>174</v>
      </c>
      <c r="E164" s="119"/>
      <c r="F164" s="127">
        <f>'[1]17. Regulatory Charges'!$D$16</f>
        <v>2.9999999999999997E-4</v>
      </c>
      <c r="G164" s="141">
        <f>E136*E138</f>
        <v>2112</v>
      </c>
      <c r="H164" s="157">
        <f t="shared" si="25"/>
        <v>0.63359999999999994</v>
      </c>
      <c r="I164" s="128">
        <v>2.9999999999999997E-4</v>
      </c>
      <c r="J164" s="141">
        <f>E136*E139</f>
        <v>2112</v>
      </c>
      <c r="K164" s="157">
        <f t="shared" si="26"/>
        <v>0.63359999999999994</v>
      </c>
      <c r="L164" s="125">
        <f t="shared" si="20"/>
        <v>0</v>
      </c>
      <c r="M164" s="126">
        <f t="shared" si="27"/>
        <v>0</v>
      </c>
    </row>
    <row r="165" spans="1:13" x14ac:dyDescent="0.25">
      <c r="A165" s="100" t="str">
        <f t="shared" si="23"/>
        <v>GENERAL SERVICE LESS THAN 50 KW SERVICE CLASSIFICATION</v>
      </c>
      <c r="C165" s="117"/>
      <c r="D165" s="158" t="s">
        <v>175</v>
      </c>
      <c r="E165" s="119"/>
      <c r="F165" s="145">
        <v>0.25</v>
      </c>
      <c r="G165" s="121">
        <v>1</v>
      </c>
      <c r="H165" s="157">
        <f t="shared" si="25"/>
        <v>0.25</v>
      </c>
      <c r="I165" s="146">
        <f>'[1]17. Regulatory Charges'!$D$17</f>
        <v>0.25</v>
      </c>
      <c r="J165" s="124">
        <v>1</v>
      </c>
      <c r="K165" s="157">
        <f t="shared" si="26"/>
        <v>0.25</v>
      </c>
      <c r="L165" s="125">
        <f t="shared" si="20"/>
        <v>0</v>
      </c>
      <c r="M165" s="126">
        <f t="shared" si="27"/>
        <v>0</v>
      </c>
    </row>
    <row r="166" spans="1:13" ht="25.5" x14ac:dyDescent="0.25">
      <c r="A166" s="100" t="str">
        <f t="shared" si="23"/>
        <v>GENERAL SERVICE LESS THAN 50 KW SERVICE CLASSIFICATION</v>
      </c>
      <c r="C166" s="117"/>
      <c r="D166" s="156" t="s">
        <v>176</v>
      </c>
      <c r="E166" s="119"/>
      <c r="F166" s="127"/>
      <c r="G166" s="141"/>
      <c r="H166" s="157"/>
      <c r="I166" s="128"/>
      <c r="J166" s="141"/>
      <c r="K166" s="157"/>
      <c r="L166" s="125"/>
      <c r="M166" s="126"/>
    </row>
    <row r="167" spans="1:13" x14ac:dyDescent="0.25">
      <c r="A167" s="100" t="str">
        <f t="shared" si="23"/>
        <v>GENERAL SERVICE LESS THAN 50 KW SERVICE CLASSIFICATION</v>
      </c>
      <c r="B167" s="105" t="s">
        <v>117</v>
      </c>
      <c r="C167" s="117"/>
      <c r="D167" s="159" t="s">
        <v>177</v>
      </c>
      <c r="E167" s="119"/>
      <c r="F167" s="160">
        <f>OffPeak</f>
        <v>6.5000000000000002E-2</v>
      </c>
      <c r="G167" s="161">
        <f>IF(AND(E136*12&gt;=150000),0.65*E136*E138,0.65*E136)</f>
        <v>1300</v>
      </c>
      <c r="H167" s="157">
        <f t="shared" si="25"/>
        <v>84.5</v>
      </c>
      <c r="I167" s="162">
        <f>OffPeak</f>
        <v>6.5000000000000002E-2</v>
      </c>
      <c r="J167" s="161">
        <f>IF(AND(E136*12&gt;=150000),0.65*E136*E139,0.65*E136)</f>
        <v>1300</v>
      </c>
      <c r="K167" s="157">
        <f t="shared" si="26"/>
        <v>84.5</v>
      </c>
      <c r="L167" s="125">
        <f>K167-H167</f>
        <v>0</v>
      </c>
      <c r="M167" s="126">
        <f t="shared" si="27"/>
        <v>0</v>
      </c>
    </row>
    <row r="168" spans="1:13" x14ac:dyDescent="0.25">
      <c r="A168" s="100" t="str">
        <f t="shared" si="23"/>
        <v>GENERAL SERVICE LESS THAN 50 KW SERVICE CLASSIFICATION</v>
      </c>
      <c r="B168" s="105" t="s">
        <v>117</v>
      </c>
      <c r="C168" s="117"/>
      <c r="D168" s="159" t="s">
        <v>178</v>
      </c>
      <c r="E168" s="119"/>
      <c r="F168" s="160">
        <f>MidPeak</f>
        <v>9.4E-2</v>
      </c>
      <c r="G168" s="161">
        <f>IF(AND(E136*12&gt;=150000),0.17*E136*E138,0.17*E136)</f>
        <v>340</v>
      </c>
      <c r="H168" s="157">
        <f t="shared" si="25"/>
        <v>31.96</v>
      </c>
      <c r="I168" s="162">
        <f>MidPeak</f>
        <v>9.4E-2</v>
      </c>
      <c r="J168" s="161">
        <f>IF(AND(E136*12&gt;=150000),0.17*E136*E139,0.17*E136)</f>
        <v>340</v>
      </c>
      <c r="K168" s="157">
        <f t="shared" si="26"/>
        <v>31.96</v>
      </c>
      <c r="L168" s="125">
        <f>K168-H168</f>
        <v>0</v>
      </c>
      <c r="M168" s="126">
        <f t="shared" si="27"/>
        <v>0</v>
      </c>
    </row>
    <row r="169" spans="1:13" ht="15.75" thickBot="1" x14ac:dyDescent="0.3">
      <c r="A169" s="100" t="str">
        <f t="shared" si="23"/>
        <v>GENERAL SERVICE LESS THAN 50 KW SERVICE CLASSIFICATION</v>
      </c>
      <c r="B169" s="105" t="s">
        <v>117</v>
      </c>
      <c r="C169" s="117"/>
      <c r="D169" s="105" t="s">
        <v>179</v>
      </c>
      <c r="E169" s="119"/>
      <c r="F169" s="160">
        <f>OnPeak</f>
        <v>0.13200000000000001</v>
      </c>
      <c r="G169" s="161">
        <f>IF(AND(E136*12&gt;=150000),0.18*E136*E138,0.18*E136)</f>
        <v>360</v>
      </c>
      <c r="H169" s="157">
        <f t="shared" si="25"/>
        <v>47.52</v>
      </c>
      <c r="I169" s="162">
        <f>OnPeak</f>
        <v>0.13200000000000001</v>
      </c>
      <c r="J169" s="161">
        <f>IF(AND(E136*12&gt;=150000),0.18*E136*E139,0.18*E136)</f>
        <v>360</v>
      </c>
      <c r="K169" s="157">
        <f t="shared" si="26"/>
        <v>47.52</v>
      </c>
      <c r="L169" s="125">
        <f>K169-H169</f>
        <v>0</v>
      </c>
      <c r="M169" s="126">
        <f t="shared" si="27"/>
        <v>0</v>
      </c>
    </row>
    <row r="170" spans="1:13" hidden="1" x14ac:dyDescent="0.25">
      <c r="A170" s="100" t="str">
        <f t="shared" si="23"/>
        <v>GENERAL SERVICE LESS THAN 50 KW SERVICE CLASSIFICATION</v>
      </c>
      <c r="B170" s="100" t="s">
        <v>180</v>
      </c>
      <c r="C170" s="117"/>
      <c r="D170" s="159" t="s">
        <v>181</v>
      </c>
      <c r="E170" s="119"/>
      <c r="F170" s="163">
        <v>0.1101</v>
      </c>
      <c r="G170" s="161">
        <f>IF(AND(E136*12&gt;=150000),E136*E138,E136)</f>
        <v>2000</v>
      </c>
      <c r="H170" s="157">
        <f>G170*F170</f>
        <v>220.20000000000002</v>
      </c>
      <c r="I170" s="164">
        <f>F170</f>
        <v>0.1101</v>
      </c>
      <c r="J170" s="161">
        <f>IF(AND(E136*12&gt;=150000),E136*E139,E136)</f>
        <v>2000</v>
      </c>
      <c r="K170" s="157">
        <f>J170*I170</f>
        <v>220.20000000000002</v>
      </c>
      <c r="L170" s="125">
        <f>K170-H170</f>
        <v>0</v>
      </c>
      <c r="M170" s="126">
        <f t="shared" si="27"/>
        <v>0</v>
      </c>
    </row>
    <row r="171" spans="1:13" ht="15.75" hidden="1" thickBot="1" x14ac:dyDescent="0.3">
      <c r="A171" s="100" t="str">
        <f t="shared" si="23"/>
        <v>GENERAL SERVICE LESS THAN 50 KW SERVICE CLASSIFICATION</v>
      </c>
      <c r="B171" s="100" t="s">
        <v>121</v>
      </c>
      <c r="C171" s="117"/>
      <c r="D171" s="159" t="s">
        <v>182</v>
      </c>
      <c r="E171" s="119"/>
      <c r="F171" s="163">
        <v>0.1101</v>
      </c>
      <c r="G171" s="161">
        <f>IF(AND(E136*12&gt;=150000),E136*E138,E136)</f>
        <v>2000</v>
      </c>
      <c r="H171" s="157">
        <f>G171*F171</f>
        <v>220.20000000000002</v>
      </c>
      <c r="I171" s="164">
        <f>F171</f>
        <v>0.1101</v>
      </c>
      <c r="J171" s="161">
        <f>IF(AND(E136*12&gt;=150000),E136*E139,E136)</f>
        <v>2000</v>
      </c>
      <c r="K171" s="157">
        <f>J171*I171</f>
        <v>220.20000000000002</v>
      </c>
      <c r="L171" s="125">
        <f>K171-H171</f>
        <v>0</v>
      </c>
      <c r="M171" s="126">
        <f t="shared" si="27"/>
        <v>0</v>
      </c>
    </row>
    <row r="172" spans="1:13" ht="15.75" thickBot="1" x14ac:dyDescent="0.3">
      <c r="A172" s="100" t="str">
        <f t="shared" si="23"/>
        <v>GENERAL SERVICE LESS THAN 50 KW SERVICE CLASSIFICATION</v>
      </c>
      <c r="B172" s="105"/>
      <c r="C172" s="117"/>
      <c r="D172" s="165"/>
      <c r="E172" s="166"/>
      <c r="F172" s="167"/>
      <c r="G172" s="168"/>
      <c r="H172" s="169"/>
      <c r="I172" s="167"/>
      <c r="J172" s="170"/>
      <c r="K172" s="169"/>
      <c r="L172" s="171"/>
      <c r="M172" s="172"/>
    </row>
    <row r="173" spans="1:13" x14ac:dyDescent="0.25">
      <c r="A173" s="100" t="str">
        <f t="shared" si="23"/>
        <v>GENERAL SERVICE LESS THAN 50 KW SERVICE CLASSIFICATION</v>
      </c>
      <c r="B173" s="105" t="s">
        <v>117</v>
      </c>
      <c r="C173" s="117"/>
      <c r="D173" s="173" t="s">
        <v>183</v>
      </c>
      <c r="E173" s="158"/>
      <c r="F173" s="174"/>
      <c r="G173" s="175"/>
      <c r="H173" s="176">
        <f>SUM(H163:H169,H162)</f>
        <v>256.65528</v>
      </c>
      <c r="I173" s="177"/>
      <c r="J173" s="177"/>
      <c r="K173" s="176">
        <f>SUM(K163:K169,K162)</f>
        <v>256.96780540932434</v>
      </c>
      <c r="L173" s="178">
        <f>K173-H173</f>
        <v>0.31252540932433703</v>
      </c>
      <c r="M173" s="179">
        <f>IF((H173)=0,"",(L173/H173))</f>
        <v>1.2176854858561143E-3</v>
      </c>
    </row>
    <row r="174" spans="1:13" x14ac:dyDescent="0.25">
      <c r="A174" s="100" t="str">
        <f t="shared" si="23"/>
        <v>GENERAL SERVICE LESS THAN 50 KW SERVICE CLASSIFICATION</v>
      </c>
      <c r="B174" s="105" t="s">
        <v>117</v>
      </c>
      <c r="C174" s="117"/>
      <c r="D174" s="180" t="s">
        <v>184</v>
      </c>
      <c r="E174" s="158"/>
      <c r="F174" s="174">
        <v>0.13</v>
      </c>
      <c r="G174" s="181"/>
      <c r="H174" s="182">
        <f>H173*F174</f>
        <v>33.365186399999999</v>
      </c>
      <c r="I174" s="183">
        <v>0.13</v>
      </c>
      <c r="J174" s="121"/>
      <c r="K174" s="182">
        <f>K173*I174</f>
        <v>33.405814703212165</v>
      </c>
      <c r="L174" s="184">
        <f>K174-H174</f>
        <v>4.0628303212166372E-2</v>
      </c>
      <c r="M174" s="185">
        <f>IF((H174)=0,"",(L174/H174))</f>
        <v>1.2176854858561908E-3</v>
      </c>
    </row>
    <row r="175" spans="1:13" x14ac:dyDescent="0.25">
      <c r="A175" s="100" t="str">
        <f t="shared" si="23"/>
        <v>GENERAL SERVICE LESS THAN 50 KW SERVICE CLASSIFICATION</v>
      </c>
      <c r="B175" s="105" t="s">
        <v>117</v>
      </c>
      <c r="C175" s="117"/>
      <c r="D175" s="180" t="s">
        <v>185</v>
      </c>
      <c r="E175" s="158"/>
      <c r="F175" s="174">
        <v>0.08</v>
      </c>
      <c r="G175" s="181"/>
      <c r="H175" s="182">
        <f>H173*-F175</f>
        <v>-20.532422400000002</v>
      </c>
      <c r="I175" s="174">
        <v>0.08</v>
      </c>
      <c r="J175" s="121"/>
      <c r="K175" s="182">
        <f>K173*-I175</f>
        <v>-20.557424432745947</v>
      </c>
      <c r="L175" s="184">
        <f>K175-H175</f>
        <v>-2.5002032745945257E-2</v>
      </c>
      <c r="M175" s="185"/>
    </row>
    <row r="176" spans="1:13" ht="15.75" thickBot="1" x14ac:dyDescent="0.3">
      <c r="A176" s="100" t="str">
        <f t="shared" si="23"/>
        <v>GENERAL SERVICE LESS THAN 50 KW SERVICE CLASSIFICATION</v>
      </c>
      <c r="B176" s="105" t="s">
        <v>186</v>
      </c>
      <c r="C176" s="117">
        <f>B31</f>
        <v>2</v>
      </c>
      <c r="D176" s="301" t="s">
        <v>187</v>
      </c>
      <c r="E176" s="301"/>
      <c r="F176" s="186"/>
      <c r="G176" s="187"/>
      <c r="H176" s="188">
        <f>H173+H174+H175</f>
        <v>269.48804400000006</v>
      </c>
      <c r="I176" s="189"/>
      <c r="J176" s="189"/>
      <c r="K176" s="190">
        <f>K173+K174+K175</f>
        <v>269.81619567979055</v>
      </c>
      <c r="L176" s="191">
        <f>K176-H176</f>
        <v>0.3281516797904942</v>
      </c>
      <c r="M176" s="192">
        <f>IF((H176)=0,"",(L176/H176))</f>
        <v>1.2176854858558924E-3</v>
      </c>
    </row>
    <row r="177" spans="1:13" ht="15.75" hidden="1" thickBot="1" x14ac:dyDescent="0.3">
      <c r="A177" s="100" t="str">
        <f t="shared" si="23"/>
        <v>GENERAL SERVICE LESS THAN 50 KW SERVICE CLASSIFICATION</v>
      </c>
      <c r="B177" s="100" t="s">
        <v>117</v>
      </c>
      <c r="C177" s="117"/>
      <c r="D177" s="165"/>
      <c r="E177" s="166"/>
      <c r="F177" s="167"/>
      <c r="G177" s="168"/>
      <c r="H177" s="169"/>
      <c r="I177" s="167"/>
      <c r="J177" s="170"/>
      <c r="K177" s="169"/>
      <c r="L177" s="171"/>
      <c r="M177" s="172"/>
    </row>
    <row r="178" spans="1:13" hidden="1" x14ac:dyDescent="0.25">
      <c r="A178" s="100" t="str">
        <f t="shared" si="23"/>
        <v>GENERAL SERVICE LESS THAN 50 KW SERVICE CLASSIFICATION</v>
      </c>
      <c r="B178" s="100" t="s">
        <v>180</v>
      </c>
      <c r="C178" s="117"/>
      <c r="D178" s="173" t="s">
        <v>188</v>
      </c>
      <c r="E178" s="158"/>
      <c r="F178" s="174"/>
      <c r="G178" s="175"/>
      <c r="H178" s="176">
        <f>SUM(H170,H163:H166,H162)</f>
        <v>312.87528000000003</v>
      </c>
      <c r="I178" s="177"/>
      <c r="J178" s="177"/>
      <c r="K178" s="176">
        <f>SUM(K170,K163:K166,K162)</f>
        <v>313.18780540932437</v>
      </c>
      <c r="L178" s="178">
        <f>K178-H178</f>
        <v>0.31252540932433703</v>
      </c>
      <c r="M178" s="179">
        <f>IF((H178)=0,"",(L178/H178))</f>
        <v>9.9888175673174635E-4</v>
      </c>
    </row>
    <row r="179" spans="1:13" hidden="1" x14ac:dyDescent="0.25">
      <c r="A179" s="100" t="str">
        <f t="shared" si="23"/>
        <v>GENERAL SERVICE LESS THAN 50 KW SERVICE CLASSIFICATION</v>
      </c>
      <c r="B179" s="100" t="s">
        <v>180</v>
      </c>
      <c r="C179" s="117"/>
      <c r="D179" s="180" t="s">
        <v>184</v>
      </c>
      <c r="E179" s="158"/>
      <c r="F179" s="174">
        <v>0.13</v>
      </c>
      <c r="G179" s="175"/>
      <c r="H179" s="182">
        <f>H178*F179</f>
        <v>40.673786400000004</v>
      </c>
      <c r="I179" s="174">
        <v>0.13</v>
      </c>
      <c r="J179" s="183"/>
      <c r="K179" s="182">
        <f>K178*I179</f>
        <v>40.714414703212171</v>
      </c>
      <c r="L179" s="184">
        <f>K179-H179</f>
        <v>4.0628303212166372E-2</v>
      </c>
      <c r="M179" s="185">
        <f>IF((H179)=0,"",(L179/H179))</f>
        <v>9.9888175673180923E-4</v>
      </c>
    </row>
    <row r="180" spans="1:13" hidden="1" x14ac:dyDescent="0.25">
      <c r="A180" s="100" t="str">
        <f t="shared" si="23"/>
        <v>GENERAL SERVICE LESS THAN 50 KW SERVICE CLASSIFICATION</v>
      </c>
      <c r="B180" s="100" t="s">
        <v>180</v>
      </c>
      <c r="C180" s="117"/>
      <c r="D180" s="180" t="s">
        <v>185</v>
      </c>
      <c r="E180" s="158"/>
      <c r="F180" s="174">
        <v>0.08</v>
      </c>
      <c r="G180" s="175"/>
      <c r="H180" s="182"/>
      <c r="I180" s="174">
        <v>0.08</v>
      </c>
      <c r="J180" s="183"/>
      <c r="K180" s="182"/>
      <c r="L180" s="184"/>
      <c r="M180" s="185"/>
    </row>
    <row r="181" spans="1:13" ht="15.75" hidden="1" thickBot="1" x14ac:dyDescent="0.3">
      <c r="A181" s="100" t="str">
        <f t="shared" si="23"/>
        <v>GENERAL SERVICE LESS THAN 50 KW SERVICE CLASSIFICATION</v>
      </c>
      <c r="B181" s="100" t="s">
        <v>189</v>
      </c>
      <c r="C181" s="117"/>
      <c r="D181" s="301" t="s">
        <v>188</v>
      </c>
      <c r="E181" s="301"/>
      <c r="F181" s="193"/>
      <c r="G181" s="194"/>
      <c r="H181" s="188">
        <f>SUM(H178,H179)</f>
        <v>353.54906640000002</v>
      </c>
      <c r="I181" s="195"/>
      <c r="J181" s="195"/>
      <c r="K181" s="188">
        <f>SUM(K178,K179)</f>
        <v>353.90222011253655</v>
      </c>
      <c r="L181" s="196">
        <f>K181-H181</f>
        <v>0.35315371253653893</v>
      </c>
      <c r="M181" s="197">
        <f>IF((H181)=0,"",(L181/H181))</f>
        <v>9.9888175673185412E-4</v>
      </c>
    </row>
    <row r="182" spans="1:13" ht="15.75" hidden="1" thickBot="1" x14ac:dyDescent="0.3">
      <c r="A182" s="100" t="str">
        <f t="shared" si="23"/>
        <v>GENERAL SERVICE LESS THAN 50 KW SERVICE CLASSIFICATION</v>
      </c>
      <c r="B182" s="100" t="s">
        <v>180</v>
      </c>
      <c r="C182" s="117"/>
      <c r="D182" s="165"/>
      <c r="E182" s="166"/>
      <c r="F182" s="198"/>
      <c r="G182" s="199"/>
      <c r="H182" s="200"/>
      <c r="I182" s="198"/>
      <c r="J182" s="168"/>
      <c r="K182" s="200"/>
      <c r="L182" s="201"/>
      <c r="M182" s="172"/>
    </row>
    <row r="183" spans="1:13" hidden="1" x14ac:dyDescent="0.25">
      <c r="A183" s="100" t="str">
        <f t="shared" si="23"/>
        <v>GENERAL SERVICE LESS THAN 50 KW SERVICE CLASSIFICATION</v>
      </c>
      <c r="B183" s="100" t="s">
        <v>121</v>
      </c>
      <c r="C183" s="117"/>
      <c r="D183" s="173" t="s">
        <v>190</v>
      </c>
      <c r="E183" s="158"/>
      <c r="F183" s="174"/>
      <c r="G183" s="175"/>
      <c r="H183" s="176">
        <f>SUM(H171,H163:H166,H162)</f>
        <v>312.87528000000003</v>
      </c>
      <c r="I183" s="177"/>
      <c r="J183" s="177"/>
      <c r="K183" s="176">
        <f>SUM(K171,K163:K166,K162)</f>
        <v>313.18780540932437</v>
      </c>
      <c r="L183" s="178">
        <f>K183-H183</f>
        <v>0.31252540932433703</v>
      </c>
      <c r="M183" s="179">
        <f>IF((H183)=0,"",(L183/H183))</f>
        <v>9.9888175673174635E-4</v>
      </c>
    </row>
    <row r="184" spans="1:13" hidden="1" x14ac:dyDescent="0.25">
      <c r="A184" s="100" t="str">
        <f t="shared" si="23"/>
        <v>GENERAL SERVICE LESS THAN 50 KW SERVICE CLASSIFICATION</v>
      </c>
      <c r="B184" s="100" t="s">
        <v>121</v>
      </c>
      <c r="C184" s="117"/>
      <c r="D184" s="180" t="s">
        <v>184</v>
      </c>
      <c r="E184" s="158"/>
      <c r="F184" s="174">
        <v>0.13</v>
      </c>
      <c r="G184" s="175"/>
      <c r="H184" s="182">
        <f>H183*F184</f>
        <v>40.673786400000004</v>
      </c>
      <c r="I184" s="174">
        <v>0.13</v>
      </c>
      <c r="J184" s="183"/>
      <c r="K184" s="182">
        <f>K183*I184</f>
        <v>40.714414703212171</v>
      </c>
      <c r="L184" s="184">
        <f>K184-H184</f>
        <v>4.0628303212166372E-2</v>
      </c>
      <c r="M184" s="185">
        <f>IF((H184)=0,"",(L184/H184))</f>
        <v>9.9888175673180923E-4</v>
      </c>
    </row>
    <row r="185" spans="1:13" hidden="1" x14ac:dyDescent="0.25">
      <c r="A185" s="100" t="str">
        <f t="shared" si="23"/>
        <v>GENERAL SERVICE LESS THAN 50 KW SERVICE CLASSIFICATION</v>
      </c>
      <c r="B185" s="100" t="s">
        <v>121</v>
      </c>
      <c r="C185" s="117"/>
      <c r="D185" s="180" t="s">
        <v>185</v>
      </c>
      <c r="E185" s="158"/>
      <c r="F185" s="174">
        <v>0.08</v>
      </c>
      <c r="G185" s="175"/>
      <c r="H185" s="182"/>
      <c r="I185" s="174">
        <v>0.08</v>
      </c>
      <c r="J185" s="183"/>
      <c r="K185" s="182"/>
      <c r="L185" s="184"/>
      <c r="M185" s="185"/>
    </row>
    <row r="186" spans="1:13" ht="15.75" hidden="1" thickBot="1" x14ac:dyDescent="0.3">
      <c r="A186" s="100" t="str">
        <f t="shared" si="23"/>
        <v>GENERAL SERVICE LESS THAN 50 KW SERVICE CLASSIFICATION</v>
      </c>
      <c r="B186" s="100" t="s">
        <v>191</v>
      </c>
      <c r="C186" s="117"/>
      <c r="D186" s="301" t="s">
        <v>190</v>
      </c>
      <c r="E186" s="301"/>
      <c r="F186" s="193"/>
      <c r="G186" s="194"/>
      <c r="H186" s="188">
        <f>SUM(H183,H184)</f>
        <v>353.54906640000002</v>
      </c>
      <c r="I186" s="195"/>
      <c r="J186" s="195"/>
      <c r="K186" s="188">
        <f>SUM(K183,K184)</f>
        <v>353.90222011253655</v>
      </c>
      <c r="L186" s="196">
        <f>K186-H186</f>
        <v>0.35315371253653893</v>
      </c>
      <c r="M186" s="197">
        <f>IF((H186)=0,"",(L186/H186))</f>
        <v>9.9888175673185412E-4</v>
      </c>
    </row>
    <row r="187" spans="1:13" ht="15.75" thickBot="1" x14ac:dyDescent="0.3">
      <c r="A187" s="100" t="str">
        <f t="shared" si="23"/>
        <v>GENERAL SERVICE LESS THAN 50 KW SERVICE CLASSIFICATION</v>
      </c>
      <c r="B187" s="100" t="s">
        <v>121</v>
      </c>
      <c r="C187" s="117"/>
      <c r="D187" s="165"/>
      <c r="E187" s="166"/>
      <c r="F187" s="202"/>
      <c r="G187" s="203"/>
      <c r="H187" s="204"/>
      <c r="I187" s="202"/>
      <c r="J187" s="205"/>
      <c r="K187" s="204"/>
      <c r="L187" s="206"/>
      <c r="M187" s="207"/>
    </row>
    <row r="190" spans="1:13" x14ac:dyDescent="0.25">
      <c r="C190" s="100"/>
      <c r="D190" s="101" t="s">
        <v>134</v>
      </c>
      <c r="E190" s="302" t="str">
        <f>D32</f>
        <v>GENERAL SERVICE 50 TO 999 KW SERVICE CLASSIFICATION</v>
      </c>
      <c r="F190" s="302"/>
      <c r="G190" s="302"/>
      <c r="H190" s="302"/>
      <c r="I190" s="302"/>
      <c r="J190" s="302"/>
      <c r="K190" s="100" t="str">
        <f>IF(N32="DEMAND - INTERVAL","RTSR - INTERVAL METERED","")</f>
        <v/>
      </c>
    </row>
    <row r="191" spans="1:13" x14ac:dyDescent="0.25">
      <c r="C191" s="100"/>
      <c r="D191" s="101" t="s">
        <v>135</v>
      </c>
      <c r="E191" s="303" t="str">
        <f>H32</f>
        <v>Non-RPP (Other)</v>
      </c>
      <c r="F191" s="303"/>
      <c r="G191" s="303"/>
      <c r="H191" s="102"/>
      <c r="I191" s="102"/>
    </row>
    <row r="192" spans="1:13" ht="15.75" x14ac:dyDescent="0.25">
      <c r="C192" s="100"/>
      <c r="D192" s="101" t="s">
        <v>136</v>
      </c>
      <c r="E192" s="103">
        <f>K32</f>
        <v>328500</v>
      </c>
      <c r="F192" s="104" t="s">
        <v>137</v>
      </c>
      <c r="G192" s="105"/>
      <c r="J192" s="106"/>
      <c r="K192" s="106"/>
      <c r="L192" s="106"/>
      <c r="M192" s="106"/>
    </row>
    <row r="193" spans="1:13" ht="15.75" x14ac:dyDescent="0.25">
      <c r="C193" s="100"/>
      <c r="D193" s="101" t="s">
        <v>138</v>
      </c>
      <c r="E193" s="103">
        <f>L32</f>
        <v>500</v>
      </c>
      <c r="F193" s="107" t="s">
        <v>139</v>
      </c>
      <c r="G193" s="108"/>
      <c r="H193" s="109"/>
      <c r="I193" s="109"/>
      <c r="J193" s="109"/>
    </row>
    <row r="194" spans="1:13" x14ac:dyDescent="0.25">
      <c r="C194" s="100"/>
      <c r="D194" s="101" t="s">
        <v>140</v>
      </c>
      <c r="E194" s="110">
        <f>I32</f>
        <v>1.056</v>
      </c>
    </row>
    <row r="195" spans="1:13" x14ac:dyDescent="0.25">
      <c r="C195" s="100"/>
      <c r="D195" s="101" t="s">
        <v>141</v>
      </c>
      <c r="E195" s="110">
        <f>J32</f>
        <v>1.056</v>
      </c>
    </row>
    <row r="196" spans="1:13" x14ac:dyDescent="0.25">
      <c r="C196" s="100"/>
      <c r="D196" s="105"/>
    </row>
    <row r="197" spans="1:13" x14ac:dyDescent="0.25">
      <c r="C197" s="100"/>
      <c r="D197" s="105"/>
      <c r="E197" s="111"/>
      <c r="F197" s="304" t="s">
        <v>142</v>
      </c>
      <c r="G197" s="305"/>
      <c r="H197" s="306"/>
      <c r="I197" s="304" t="s">
        <v>143</v>
      </c>
      <c r="J197" s="305"/>
      <c r="K197" s="306"/>
      <c r="L197" s="304" t="s">
        <v>144</v>
      </c>
      <c r="M197" s="306"/>
    </row>
    <row r="198" spans="1:13" x14ac:dyDescent="0.25">
      <c r="C198" s="100"/>
      <c r="D198" s="105"/>
      <c r="E198" s="295"/>
      <c r="F198" s="112" t="s">
        <v>145</v>
      </c>
      <c r="G198" s="112" t="s">
        <v>146</v>
      </c>
      <c r="H198" s="113" t="s">
        <v>147</v>
      </c>
      <c r="I198" s="112" t="s">
        <v>145</v>
      </c>
      <c r="J198" s="114" t="s">
        <v>146</v>
      </c>
      <c r="K198" s="113" t="s">
        <v>147</v>
      </c>
      <c r="L198" s="297" t="s">
        <v>148</v>
      </c>
      <c r="M198" s="299" t="s">
        <v>149</v>
      </c>
    </row>
    <row r="199" spans="1:13" x14ac:dyDescent="0.25">
      <c r="C199" s="100"/>
      <c r="D199" s="105"/>
      <c r="E199" s="296"/>
      <c r="F199" s="115" t="s">
        <v>150</v>
      </c>
      <c r="G199" s="115"/>
      <c r="H199" s="116" t="s">
        <v>150</v>
      </c>
      <c r="I199" s="115" t="s">
        <v>150</v>
      </c>
      <c r="J199" s="116"/>
      <c r="K199" s="116" t="s">
        <v>150</v>
      </c>
      <c r="L199" s="298"/>
      <c r="M199" s="300"/>
    </row>
    <row r="200" spans="1:13" x14ac:dyDescent="0.25">
      <c r="A200" s="100" t="str">
        <f>$E190</f>
        <v>GENERAL SERVICE 50 TO 999 KW SERVICE CLASSIFICATION</v>
      </c>
      <c r="C200" s="117"/>
      <c r="D200" s="118" t="s">
        <v>151</v>
      </c>
      <c r="E200" s="119"/>
      <c r="F200" s="120">
        <v>86.83</v>
      </c>
      <c r="G200" s="121">
        <v>1</v>
      </c>
      <c r="H200" s="122">
        <f>G200*F200</f>
        <v>86.83</v>
      </c>
      <c r="I200" s="123">
        <v>87.87</v>
      </c>
      <c r="J200" s="124">
        <f>G200</f>
        <v>1</v>
      </c>
      <c r="K200" s="122">
        <f>J200*I200</f>
        <v>87.87</v>
      </c>
      <c r="L200" s="125">
        <f t="shared" ref="L200:L221" si="28">K200-H200</f>
        <v>1.0400000000000063</v>
      </c>
      <c r="M200" s="126">
        <f>IF(ISERROR(L200/H200), "", L200/H200)</f>
        <v>1.1977427156512798E-2</v>
      </c>
    </row>
    <row r="201" spans="1:13" x14ac:dyDescent="0.25">
      <c r="A201" s="100" t="str">
        <f>A200</f>
        <v>GENERAL SERVICE 50 TO 999 KW SERVICE CLASSIFICATION</v>
      </c>
      <c r="C201" s="117"/>
      <c r="D201" s="118" t="s">
        <v>152</v>
      </c>
      <c r="E201" s="119"/>
      <c r="F201" s="127">
        <v>3.8580000000000001</v>
      </c>
      <c r="G201" s="121">
        <f>IF($E193&gt;0, $E193, $E192)</f>
        <v>500</v>
      </c>
      <c r="H201" s="122">
        <f t="shared" ref="H201:H213" si="29">G201*F201</f>
        <v>1929</v>
      </c>
      <c r="I201" s="128">
        <v>3.9043000000000001</v>
      </c>
      <c r="J201" s="124">
        <f>IF($E193&gt;0, $E193, $E192)</f>
        <v>500</v>
      </c>
      <c r="K201" s="122">
        <f>J201*I201</f>
        <v>1952.15</v>
      </c>
      <c r="L201" s="125">
        <f t="shared" si="28"/>
        <v>23.150000000000091</v>
      </c>
      <c r="M201" s="126">
        <f t="shared" ref="M201:M211" si="30">IF(ISERROR(L201/H201), "", L201/H201)</f>
        <v>1.200103680663561E-2</v>
      </c>
    </row>
    <row r="202" spans="1:13" x14ac:dyDescent="0.25">
      <c r="A202" s="100" t="str">
        <f t="shared" ref="A202:A243" si="31">A201</f>
        <v>GENERAL SERVICE 50 TO 999 KW SERVICE CLASSIFICATION</v>
      </c>
      <c r="C202" s="117"/>
      <c r="D202" s="118" t="s">
        <v>153</v>
      </c>
      <c r="E202" s="119"/>
      <c r="F202" s="127"/>
      <c r="G202" s="121">
        <f>IF($E193&gt;0, $E193, $E192)</f>
        <v>500</v>
      </c>
      <c r="H202" s="122">
        <v>0</v>
      </c>
      <c r="I202" s="128"/>
      <c r="J202" s="124">
        <f>IF($E193&gt;0, $E193, $E192)</f>
        <v>500</v>
      </c>
      <c r="K202" s="122">
        <v>0</v>
      </c>
      <c r="L202" s="125"/>
      <c r="M202" s="126"/>
    </row>
    <row r="203" spans="1:13" x14ac:dyDescent="0.25">
      <c r="A203" s="100" t="str">
        <f t="shared" si="31"/>
        <v>GENERAL SERVICE 50 TO 999 KW SERVICE CLASSIFICATION</v>
      </c>
      <c r="C203" s="117"/>
      <c r="D203" s="118" t="s">
        <v>154</v>
      </c>
      <c r="E203" s="119"/>
      <c r="F203" s="127"/>
      <c r="G203" s="121">
        <f>IF($E193&gt;0, $E193, $E192)</f>
        <v>500</v>
      </c>
      <c r="H203" s="122">
        <v>0</v>
      </c>
      <c r="I203" s="128"/>
      <c r="J203" s="121">
        <f>IF($E193&gt;0, $E193, $E192)</f>
        <v>500</v>
      </c>
      <c r="K203" s="122">
        <v>0</v>
      </c>
      <c r="L203" s="125">
        <f>K203-H203</f>
        <v>0</v>
      </c>
      <c r="M203" s="126" t="str">
        <f>IF(ISERROR(L203/H203), "", L203/H203)</f>
        <v/>
      </c>
    </row>
    <row r="204" spans="1:13" x14ac:dyDescent="0.25">
      <c r="A204" s="100" t="str">
        <f t="shared" si="31"/>
        <v>GENERAL SERVICE 50 TO 999 KW SERVICE CLASSIFICATION</v>
      </c>
      <c r="C204" s="117"/>
      <c r="D204" s="129" t="s">
        <v>155</v>
      </c>
      <c r="E204" s="119"/>
      <c r="F204" s="120">
        <v>0</v>
      </c>
      <c r="G204" s="121">
        <v>1</v>
      </c>
      <c r="H204" s="122">
        <f t="shared" si="29"/>
        <v>0</v>
      </c>
      <c r="I204" s="226">
        <f>'Rate Riders'!O10</f>
        <v>15.382147986295536</v>
      </c>
      <c r="J204" s="124">
        <f>G204</f>
        <v>1</v>
      </c>
      <c r="K204" s="122">
        <f t="shared" ref="K204:K211" si="32">J204*I204</f>
        <v>15.382147986295536</v>
      </c>
      <c r="L204" s="125">
        <f t="shared" si="28"/>
        <v>15.382147986295536</v>
      </c>
      <c r="M204" s="126" t="str">
        <f t="shared" si="30"/>
        <v/>
      </c>
    </row>
    <row r="205" spans="1:13" x14ac:dyDescent="0.25">
      <c r="A205" s="100" t="str">
        <f t="shared" si="31"/>
        <v>GENERAL SERVICE 50 TO 999 KW SERVICE CLASSIFICATION</v>
      </c>
      <c r="C205" s="117"/>
      <c r="D205" s="118" t="s">
        <v>156</v>
      </c>
      <c r="E205" s="119"/>
      <c r="F205" s="127">
        <v>0</v>
      </c>
      <c r="G205" s="121">
        <f>IF($E193&gt;0, $E193, $E192)</f>
        <v>500</v>
      </c>
      <c r="H205" s="122">
        <f t="shared" si="29"/>
        <v>0</v>
      </c>
      <c r="I205" s="227">
        <f>'Rate Riders'!Q10</f>
        <v>0.68345418554794635</v>
      </c>
      <c r="J205" s="124">
        <f>IF($E193&gt;0, $E193, $E192)</f>
        <v>500</v>
      </c>
      <c r="K205" s="122">
        <f t="shared" si="32"/>
        <v>341.7270927739732</v>
      </c>
      <c r="L205" s="125">
        <f t="shared" si="28"/>
        <v>341.7270927739732</v>
      </c>
      <c r="M205" s="126" t="str">
        <f t="shared" si="30"/>
        <v/>
      </c>
    </row>
    <row r="206" spans="1:13" x14ac:dyDescent="0.25">
      <c r="A206" s="100" t="str">
        <f t="shared" si="31"/>
        <v>GENERAL SERVICE 50 TO 999 KW SERVICE CLASSIFICATION</v>
      </c>
      <c r="B206" s="130" t="s">
        <v>157</v>
      </c>
      <c r="C206" s="117">
        <f>B32</f>
        <v>3</v>
      </c>
      <c r="D206" s="131" t="s">
        <v>158</v>
      </c>
      <c r="E206" s="132"/>
      <c r="F206" s="133"/>
      <c r="G206" s="134"/>
      <c r="H206" s="135">
        <f>SUM(H200:H205)</f>
        <v>2015.83</v>
      </c>
      <c r="I206" s="136"/>
      <c r="J206" s="137"/>
      <c r="K206" s="135">
        <f>SUM(K200:K205)</f>
        <v>2397.1292407602687</v>
      </c>
      <c r="L206" s="138">
        <f t="shared" si="28"/>
        <v>381.29924076026873</v>
      </c>
      <c r="M206" s="139">
        <f>IF((H206)=0,"",(L206/H206))</f>
        <v>0.18915247851270631</v>
      </c>
    </row>
    <row r="207" spans="1:13" x14ac:dyDescent="0.25">
      <c r="A207" s="100" t="str">
        <f t="shared" si="31"/>
        <v>GENERAL SERVICE 50 TO 999 KW SERVICE CLASSIFICATION</v>
      </c>
      <c r="C207" s="117"/>
      <c r="D207" s="140" t="s">
        <v>159</v>
      </c>
      <c r="E207" s="119"/>
      <c r="F207" s="127">
        <f>IF((E192*12&gt;=150000), 0, IF(E191="RPP",(F223*0.65+F224*0.17+F225*0.18),IF(E191="Non-RPP (Retailer)",F226,F227)))</f>
        <v>0</v>
      </c>
      <c r="G207" s="141">
        <f>IF(F207=0, 0, $E192*E194-E192)</f>
        <v>0</v>
      </c>
      <c r="H207" s="122">
        <f>G207*F207</f>
        <v>0</v>
      </c>
      <c r="I207" s="128">
        <f>IF((E192*12&gt;=150000), 0, IF(E191="RPP",(I223*0.65+I224*0.17+I225*0.18),IF(E191="Non-RPP (Retailer)",I226,I227)))</f>
        <v>0</v>
      </c>
      <c r="J207" s="141">
        <f>IF(I207=0, 0, E192*E195-E192)</f>
        <v>0</v>
      </c>
      <c r="K207" s="122">
        <f>J207*I207</f>
        <v>0</v>
      </c>
      <c r="L207" s="125">
        <f>K207-H207</f>
        <v>0</v>
      </c>
      <c r="M207" s="126" t="str">
        <f>IF(ISERROR(L207/H207), "", L207/H207)</f>
        <v/>
      </c>
    </row>
    <row r="208" spans="1:13" ht="25.5" x14ac:dyDescent="0.25">
      <c r="A208" s="100" t="str">
        <f t="shared" si="31"/>
        <v>GENERAL SERVICE 50 TO 999 KW SERVICE CLASSIFICATION</v>
      </c>
      <c r="C208" s="117"/>
      <c r="D208" s="140" t="s">
        <v>160</v>
      </c>
      <c r="E208" s="119"/>
      <c r="F208" s="127">
        <v>-0.70650000000000002</v>
      </c>
      <c r="G208" s="142">
        <f>IF($E193&gt;0, $E193, $E192)</f>
        <v>500</v>
      </c>
      <c r="H208" s="122">
        <f t="shared" si="29"/>
        <v>-353.25</v>
      </c>
      <c r="I208" s="128">
        <v>-1.7801</v>
      </c>
      <c r="J208" s="142">
        <f>IF($E193&gt;0, $E193, $E192)</f>
        <v>500</v>
      </c>
      <c r="K208" s="122">
        <f t="shared" si="32"/>
        <v>-890.05</v>
      </c>
      <c r="L208" s="125">
        <f t="shared" si="28"/>
        <v>-536.79999999999995</v>
      </c>
      <c r="M208" s="126">
        <f t="shared" si="30"/>
        <v>1.5196036801132342</v>
      </c>
    </row>
    <row r="209" spans="1:13" x14ac:dyDescent="0.25">
      <c r="A209" s="100" t="str">
        <f t="shared" si="31"/>
        <v>GENERAL SERVICE 50 TO 999 KW SERVICE CLASSIFICATION</v>
      </c>
      <c r="C209" s="117"/>
      <c r="D209" s="140" t="s">
        <v>161</v>
      </c>
      <c r="E209" s="119"/>
      <c r="F209" s="127">
        <v>-2.76E-2</v>
      </c>
      <c r="G209" s="142">
        <f>IF($E193&gt;0, $E193, $E192)</f>
        <v>500</v>
      </c>
      <c r="H209" s="122">
        <f>G209*F209</f>
        <v>-13.799999999999999</v>
      </c>
      <c r="I209" s="128">
        <v>0</v>
      </c>
      <c r="J209" s="142">
        <f>IF($E193&gt;0, $E193, $E192)</f>
        <v>500</v>
      </c>
      <c r="K209" s="122">
        <f>J209*I209</f>
        <v>0</v>
      </c>
      <c r="L209" s="125">
        <f t="shared" si="28"/>
        <v>13.799999999999999</v>
      </c>
      <c r="M209" s="126">
        <f t="shared" si="30"/>
        <v>-1</v>
      </c>
    </row>
    <row r="210" spans="1:13" x14ac:dyDescent="0.25">
      <c r="A210" s="100" t="str">
        <f t="shared" si="31"/>
        <v>GENERAL SERVICE 50 TO 999 KW SERVICE CLASSIFICATION</v>
      </c>
      <c r="C210" s="117"/>
      <c r="D210" s="140" t="s">
        <v>162</v>
      </c>
      <c r="E210" s="119"/>
      <c r="F210" s="127">
        <v>-1E-3</v>
      </c>
      <c r="G210" s="142">
        <f>E192</f>
        <v>328500</v>
      </c>
      <c r="H210" s="122">
        <f>G210*F210</f>
        <v>-328.5</v>
      </c>
      <c r="I210" s="128">
        <v>1.37E-2</v>
      </c>
      <c r="J210" s="142">
        <f>E192</f>
        <v>328500</v>
      </c>
      <c r="K210" s="122">
        <f t="shared" si="32"/>
        <v>4500.45</v>
      </c>
      <c r="L210" s="125">
        <f t="shared" si="28"/>
        <v>4828.95</v>
      </c>
      <c r="M210" s="126">
        <f t="shared" si="30"/>
        <v>-14.7</v>
      </c>
    </row>
    <row r="211" spans="1:13" x14ac:dyDescent="0.25">
      <c r="A211" s="100" t="str">
        <f t="shared" si="31"/>
        <v>GENERAL SERVICE 50 TO 999 KW SERVICE CLASSIFICATION</v>
      </c>
      <c r="C211" s="117"/>
      <c r="D211" s="143" t="s">
        <v>163</v>
      </c>
      <c r="E211" s="119"/>
      <c r="F211" s="127">
        <v>1.0483</v>
      </c>
      <c r="G211" s="142">
        <f>IF($E193&gt;0, $E193, $E192)</f>
        <v>500</v>
      </c>
      <c r="H211" s="122">
        <f t="shared" si="29"/>
        <v>524.15</v>
      </c>
      <c r="I211" s="128">
        <v>1.0483</v>
      </c>
      <c r="J211" s="142">
        <f>IF($E193&gt;0, $E193, $E192)</f>
        <v>500</v>
      </c>
      <c r="K211" s="122">
        <f t="shared" si="32"/>
        <v>524.15</v>
      </c>
      <c r="L211" s="125">
        <f t="shared" si="28"/>
        <v>0</v>
      </c>
      <c r="M211" s="126">
        <f t="shared" si="30"/>
        <v>0</v>
      </c>
    </row>
    <row r="212" spans="1:13" ht="25.5" x14ac:dyDescent="0.25">
      <c r="A212" s="100" t="str">
        <f t="shared" si="31"/>
        <v>GENERAL SERVICE 50 TO 999 KW SERVICE CLASSIFICATION</v>
      </c>
      <c r="C212" s="117"/>
      <c r="D212" s="144" t="s">
        <v>164</v>
      </c>
      <c r="E212" s="119"/>
      <c r="F212" s="145">
        <f>IF(OR(ISNUMBER(SEARCH("RESIDENTIAL", E190))=TRUE, ISNUMBER(SEARCH("GENERAL SERVICE LESS THAN 50", E190))=TRUE), SME, 0)</f>
        <v>0</v>
      </c>
      <c r="G212" s="121">
        <v>1</v>
      </c>
      <c r="H212" s="122">
        <f>G212*F212</f>
        <v>0</v>
      </c>
      <c r="I212" s="146">
        <f>IF(OR(ISNUMBER(SEARCH("RESIDENTIAL", E190))=TRUE, ISNUMBER(SEARCH("GENERAL SERVICE LESS THAN 50", E190))=TRUE), SME, 0)</f>
        <v>0</v>
      </c>
      <c r="J212" s="121">
        <v>1</v>
      </c>
      <c r="K212" s="122">
        <f>J212*I212</f>
        <v>0</v>
      </c>
      <c r="L212" s="125">
        <f t="shared" si="28"/>
        <v>0</v>
      </c>
      <c r="M212" s="126" t="str">
        <f>IF(ISERROR(L212/H212), "", L212/H212)</f>
        <v/>
      </c>
    </row>
    <row r="213" spans="1:13" x14ac:dyDescent="0.25">
      <c r="A213" s="100" t="str">
        <f t="shared" si="31"/>
        <v>GENERAL SERVICE 50 TO 999 KW SERVICE CLASSIFICATION</v>
      </c>
      <c r="C213" s="117"/>
      <c r="D213" s="143" t="s">
        <v>165</v>
      </c>
      <c r="E213" s="119"/>
      <c r="F213" s="120">
        <v>0</v>
      </c>
      <c r="G213" s="121">
        <v>1</v>
      </c>
      <c r="H213" s="122">
        <f t="shared" si="29"/>
        <v>0</v>
      </c>
      <c r="I213" s="123">
        <v>0</v>
      </c>
      <c r="J213" s="121">
        <v>1</v>
      </c>
      <c r="K213" s="122">
        <f>J213*I213</f>
        <v>0</v>
      </c>
      <c r="L213" s="125">
        <f>K213-H213</f>
        <v>0</v>
      </c>
      <c r="M213" s="126" t="str">
        <f>IF(ISERROR(L213/H213), "", L213/H213)</f>
        <v/>
      </c>
    </row>
    <row r="214" spans="1:13" x14ac:dyDescent="0.25">
      <c r="A214" s="100" t="str">
        <f t="shared" si="31"/>
        <v>GENERAL SERVICE 50 TO 999 KW SERVICE CLASSIFICATION</v>
      </c>
      <c r="C214" s="117"/>
      <c r="D214" s="143" t="s">
        <v>166</v>
      </c>
      <c r="E214" s="119"/>
      <c r="F214" s="127"/>
      <c r="G214" s="142">
        <f>IF($E193&gt;0, $E193, $E192)</f>
        <v>500</v>
      </c>
      <c r="H214" s="122">
        <f>G214*F214</f>
        <v>0</v>
      </c>
      <c r="I214" s="128">
        <v>0</v>
      </c>
      <c r="J214" s="142">
        <f>IF($E193&gt;0, $E193, $E192)</f>
        <v>500</v>
      </c>
      <c r="K214" s="122">
        <f>J214*I214</f>
        <v>0</v>
      </c>
      <c r="L214" s="125">
        <f t="shared" si="28"/>
        <v>0</v>
      </c>
      <c r="M214" s="126" t="str">
        <f>IF(ISERROR(L214/H214), "", L214/H214)</f>
        <v/>
      </c>
    </row>
    <row r="215" spans="1:13" ht="25.5" x14ac:dyDescent="0.25">
      <c r="A215" s="100" t="str">
        <f t="shared" si="31"/>
        <v>GENERAL SERVICE 50 TO 999 KW SERVICE CLASSIFICATION</v>
      </c>
      <c r="B215" s="105" t="s">
        <v>167</v>
      </c>
      <c r="C215" s="117">
        <f>B32</f>
        <v>3</v>
      </c>
      <c r="D215" s="147" t="s">
        <v>168</v>
      </c>
      <c r="E215" s="148"/>
      <c r="F215" s="149"/>
      <c r="G215" s="150"/>
      <c r="H215" s="151">
        <f>SUM(H206:H214)</f>
        <v>1844.4299999999998</v>
      </c>
      <c r="I215" s="152"/>
      <c r="J215" s="153"/>
      <c r="K215" s="151">
        <f>SUM(K206:K214)</f>
        <v>6531.6792407602679</v>
      </c>
      <c r="L215" s="138">
        <f t="shared" si="28"/>
        <v>4687.2492407602676</v>
      </c>
      <c r="M215" s="139">
        <f>IF((H215)=0,"",(L215/H215))</f>
        <v>2.5412996105898666</v>
      </c>
    </row>
    <row r="216" spans="1:13" x14ac:dyDescent="0.25">
      <c r="A216" s="100" t="str">
        <f t="shared" si="31"/>
        <v>GENERAL SERVICE 50 TO 999 KW SERVICE CLASSIFICATION</v>
      </c>
      <c r="C216" s="117"/>
      <c r="D216" s="154" t="s">
        <v>169</v>
      </c>
      <c r="E216" s="119"/>
      <c r="F216" s="127">
        <v>2.6217000000000001</v>
      </c>
      <c r="G216" s="141">
        <f>IF($E193&gt;0, $E193, $E192*$E194)</f>
        <v>500</v>
      </c>
      <c r="H216" s="122">
        <f>G216*F216</f>
        <v>1310.8500000000001</v>
      </c>
      <c r="I216" s="128">
        <v>2.4868999999999999</v>
      </c>
      <c r="J216" s="141">
        <f>IF($E193&gt;0, $E193, $E192*$E195)</f>
        <v>500</v>
      </c>
      <c r="K216" s="122">
        <f>J216*I216</f>
        <v>1243.45</v>
      </c>
      <c r="L216" s="125">
        <f t="shared" si="28"/>
        <v>-67.400000000000091</v>
      </c>
      <c r="M216" s="126">
        <f>IF(ISERROR(L216/H216), "", L216/H216)</f>
        <v>-5.1417019491169919E-2</v>
      </c>
    </row>
    <row r="217" spans="1:13" ht="25.5" x14ac:dyDescent="0.25">
      <c r="A217" s="100" t="str">
        <f t="shared" si="31"/>
        <v>GENERAL SERVICE 50 TO 999 KW SERVICE CLASSIFICATION</v>
      </c>
      <c r="C217" s="117"/>
      <c r="D217" s="155" t="s">
        <v>170</v>
      </c>
      <c r="E217" s="119"/>
      <c r="F217" s="127">
        <v>2.2145999999999999</v>
      </c>
      <c r="G217" s="141">
        <f>IF($E193&gt;0, $E193, $E192*$E194)</f>
        <v>500</v>
      </c>
      <c r="H217" s="122">
        <f>G217*F217</f>
        <v>1107.3</v>
      </c>
      <c r="I217" s="128">
        <v>2.0933000000000002</v>
      </c>
      <c r="J217" s="141">
        <f>IF($E193&gt;0, $E193, $E192*$E195)</f>
        <v>500</v>
      </c>
      <c r="K217" s="122">
        <f>J217*I217</f>
        <v>1046.6500000000001</v>
      </c>
      <c r="L217" s="125">
        <f t="shared" si="28"/>
        <v>-60.649999999999864</v>
      </c>
      <c r="M217" s="126">
        <f>IF(ISERROR(L217/H217), "", L217/H217)</f>
        <v>-5.4772870947349291E-2</v>
      </c>
    </row>
    <row r="218" spans="1:13" ht="25.5" x14ac:dyDescent="0.25">
      <c r="A218" s="100" t="str">
        <f t="shared" si="31"/>
        <v>GENERAL SERVICE 50 TO 999 KW SERVICE CLASSIFICATION</v>
      </c>
      <c r="B218" s="105" t="s">
        <v>171</v>
      </c>
      <c r="C218" s="117">
        <f>B32</f>
        <v>3</v>
      </c>
      <c r="D218" s="147" t="s">
        <v>172</v>
      </c>
      <c r="E218" s="132"/>
      <c r="F218" s="149"/>
      <c r="G218" s="150"/>
      <c r="H218" s="151">
        <f>SUM(H215:H217)</f>
        <v>4262.58</v>
      </c>
      <c r="I218" s="152"/>
      <c r="J218" s="137"/>
      <c r="K218" s="151">
        <f>SUM(K215:K217)</f>
        <v>8821.7792407602683</v>
      </c>
      <c r="L218" s="138">
        <f t="shared" si="28"/>
        <v>4559.1992407602684</v>
      </c>
      <c r="M218" s="139">
        <f>IF((H218)=0,"",(L218/H218))</f>
        <v>1.0695867856463148</v>
      </c>
    </row>
    <row r="219" spans="1:13" ht="25.5" x14ac:dyDescent="0.25">
      <c r="A219" s="100" t="str">
        <f t="shared" si="31"/>
        <v>GENERAL SERVICE 50 TO 999 KW SERVICE CLASSIFICATION</v>
      </c>
      <c r="C219" s="117"/>
      <c r="D219" s="156" t="s">
        <v>173</v>
      </c>
      <c r="E219" s="119"/>
      <c r="F219" s="127">
        <v>3.6000000000000003E-3</v>
      </c>
      <c r="G219" s="141">
        <f>E192*E194</f>
        <v>346896</v>
      </c>
      <c r="H219" s="157">
        <f t="shared" ref="H219:H225" si="33">G219*F219</f>
        <v>1248.8256000000001</v>
      </c>
      <c r="I219" s="128">
        <v>3.6000000000000003E-3</v>
      </c>
      <c r="J219" s="141">
        <f>E192*E195</f>
        <v>346896</v>
      </c>
      <c r="K219" s="157">
        <f t="shared" ref="K219:K225" si="34">J219*I219</f>
        <v>1248.8256000000001</v>
      </c>
      <c r="L219" s="125">
        <f t="shared" si="28"/>
        <v>0</v>
      </c>
      <c r="M219" s="126">
        <f t="shared" ref="M219:M227" si="35">IF(ISERROR(L219/H219), "", L219/H219)</f>
        <v>0</v>
      </c>
    </row>
    <row r="220" spans="1:13" ht="25.5" x14ac:dyDescent="0.25">
      <c r="A220" s="100" t="str">
        <f t="shared" si="31"/>
        <v>GENERAL SERVICE 50 TO 999 KW SERVICE CLASSIFICATION</v>
      </c>
      <c r="C220" s="117"/>
      <c r="D220" s="156" t="s">
        <v>174</v>
      </c>
      <c r="E220" s="119"/>
      <c r="F220" s="127">
        <f>'[1]17. Regulatory Charges'!$D$16</f>
        <v>2.9999999999999997E-4</v>
      </c>
      <c r="G220" s="141">
        <f>E192*E194</f>
        <v>346896</v>
      </c>
      <c r="H220" s="157">
        <f t="shared" si="33"/>
        <v>104.0688</v>
      </c>
      <c r="I220" s="128">
        <v>2.9999999999999997E-4</v>
      </c>
      <c r="J220" s="141">
        <f>E192*E195</f>
        <v>346896</v>
      </c>
      <c r="K220" s="157">
        <f t="shared" si="34"/>
        <v>104.0688</v>
      </c>
      <c r="L220" s="125">
        <f t="shared" si="28"/>
        <v>0</v>
      </c>
      <c r="M220" s="126">
        <f t="shared" si="35"/>
        <v>0</v>
      </c>
    </row>
    <row r="221" spans="1:13" x14ac:dyDescent="0.25">
      <c r="A221" s="100" t="str">
        <f t="shared" si="31"/>
        <v>GENERAL SERVICE 50 TO 999 KW SERVICE CLASSIFICATION</v>
      </c>
      <c r="C221" s="117"/>
      <c r="D221" s="158" t="s">
        <v>175</v>
      </c>
      <c r="E221" s="119"/>
      <c r="F221" s="145">
        <v>0.25</v>
      </c>
      <c r="G221" s="121">
        <v>1</v>
      </c>
      <c r="H221" s="157">
        <f t="shared" si="33"/>
        <v>0.25</v>
      </c>
      <c r="I221" s="146">
        <f>'[1]17. Regulatory Charges'!$D$17</f>
        <v>0.25</v>
      </c>
      <c r="J221" s="124">
        <v>1</v>
      </c>
      <c r="K221" s="157">
        <f t="shared" si="34"/>
        <v>0.25</v>
      </c>
      <c r="L221" s="125">
        <f t="shared" si="28"/>
        <v>0</v>
      </c>
      <c r="M221" s="126">
        <f t="shared" si="35"/>
        <v>0</v>
      </c>
    </row>
    <row r="222" spans="1:13" ht="25.5" x14ac:dyDescent="0.25">
      <c r="A222" s="100" t="str">
        <f t="shared" si="31"/>
        <v>GENERAL SERVICE 50 TO 999 KW SERVICE CLASSIFICATION</v>
      </c>
      <c r="C222" s="117"/>
      <c r="D222" s="156" t="s">
        <v>176</v>
      </c>
      <c r="E222" s="119"/>
      <c r="F222" s="127"/>
      <c r="G222" s="141"/>
      <c r="H222" s="157"/>
      <c r="I222" s="128"/>
      <c r="J222" s="141"/>
      <c r="K222" s="157"/>
      <c r="L222" s="125"/>
      <c r="M222" s="126"/>
    </row>
    <row r="223" spans="1:13" hidden="1" x14ac:dyDescent="0.25">
      <c r="A223" s="100" t="str">
        <f t="shared" si="31"/>
        <v>GENERAL SERVICE 50 TO 999 KW SERVICE CLASSIFICATION</v>
      </c>
      <c r="B223" s="105" t="s">
        <v>117</v>
      </c>
      <c r="C223" s="117"/>
      <c r="D223" s="159" t="s">
        <v>177</v>
      </c>
      <c r="E223" s="119"/>
      <c r="F223" s="160">
        <f>OffPeak</f>
        <v>6.5000000000000002E-2</v>
      </c>
      <c r="G223" s="161">
        <f>IF(AND(E192*12&gt;=150000),0.65*E192*E194,0.65*E192)</f>
        <v>225482.40000000002</v>
      </c>
      <c r="H223" s="157">
        <f t="shared" si="33"/>
        <v>14656.356000000002</v>
      </c>
      <c r="I223" s="162">
        <f>OffPeak</f>
        <v>6.5000000000000002E-2</v>
      </c>
      <c r="J223" s="161">
        <f>IF(AND(E192*12&gt;=150000),0.65*E192*E195,0.65*E192)</f>
        <v>225482.40000000002</v>
      </c>
      <c r="K223" s="157">
        <f t="shared" si="34"/>
        <v>14656.356000000002</v>
      </c>
      <c r="L223" s="125">
        <f>K223-H223</f>
        <v>0</v>
      </c>
      <c r="M223" s="126">
        <f t="shared" si="35"/>
        <v>0</v>
      </c>
    </row>
    <row r="224" spans="1:13" hidden="1" x14ac:dyDescent="0.25">
      <c r="A224" s="100" t="str">
        <f t="shared" si="31"/>
        <v>GENERAL SERVICE 50 TO 999 KW SERVICE CLASSIFICATION</v>
      </c>
      <c r="B224" s="105" t="s">
        <v>117</v>
      </c>
      <c r="C224" s="117"/>
      <c r="D224" s="159" t="s">
        <v>178</v>
      </c>
      <c r="E224" s="119"/>
      <c r="F224" s="160">
        <f>MidPeak</f>
        <v>9.4E-2</v>
      </c>
      <c r="G224" s="161">
        <f>IF(AND(E192*12&gt;=150000),0.17*E192*E194,0.17*E192)</f>
        <v>58972.320000000007</v>
      </c>
      <c r="H224" s="157">
        <f t="shared" si="33"/>
        <v>5543.3980800000008</v>
      </c>
      <c r="I224" s="162">
        <f>MidPeak</f>
        <v>9.4E-2</v>
      </c>
      <c r="J224" s="161">
        <f>IF(AND(E192*12&gt;=150000),0.17*E192*E195,0.17*E192)</f>
        <v>58972.320000000007</v>
      </c>
      <c r="K224" s="157">
        <f t="shared" si="34"/>
        <v>5543.3980800000008</v>
      </c>
      <c r="L224" s="125">
        <f>K224-H224</f>
        <v>0</v>
      </c>
      <c r="M224" s="126">
        <f t="shared" si="35"/>
        <v>0</v>
      </c>
    </row>
    <row r="225" spans="1:13" hidden="1" x14ac:dyDescent="0.25">
      <c r="A225" s="100" t="str">
        <f t="shared" si="31"/>
        <v>GENERAL SERVICE 50 TO 999 KW SERVICE CLASSIFICATION</v>
      </c>
      <c r="B225" s="105" t="s">
        <v>117</v>
      </c>
      <c r="C225" s="117"/>
      <c r="D225" s="105" t="s">
        <v>179</v>
      </c>
      <c r="E225" s="119"/>
      <c r="F225" s="160">
        <f>OnPeak</f>
        <v>0.13200000000000001</v>
      </c>
      <c r="G225" s="161">
        <f>IF(AND(E192*12&gt;=150000),0.18*E192*E194,0.18*E192)</f>
        <v>62441.280000000006</v>
      </c>
      <c r="H225" s="157">
        <f t="shared" si="33"/>
        <v>8242.2489600000008</v>
      </c>
      <c r="I225" s="162">
        <f>OnPeak</f>
        <v>0.13200000000000001</v>
      </c>
      <c r="J225" s="161">
        <f>IF(AND(E192*12&gt;=150000),0.18*E192*E195,0.18*E192)</f>
        <v>62441.280000000006</v>
      </c>
      <c r="K225" s="157">
        <f t="shared" si="34"/>
        <v>8242.2489600000008</v>
      </c>
      <c r="L225" s="125">
        <f>K225-H225</f>
        <v>0</v>
      </c>
      <c r="M225" s="126">
        <f t="shared" si="35"/>
        <v>0</v>
      </c>
    </row>
    <row r="226" spans="1:13" hidden="1" x14ac:dyDescent="0.25">
      <c r="A226" s="100" t="str">
        <f t="shared" si="31"/>
        <v>GENERAL SERVICE 50 TO 999 KW SERVICE CLASSIFICATION</v>
      </c>
      <c r="B226" s="100" t="s">
        <v>180</v>
      </c>
      <c r="C226" s="117"/>
      <c r="D226" s="159" t="s">
        <v>181</v>
      </c>
      <c r="E226" s="119"/>
      <c r="F226" s="163">
        <v>0.1101</v>
      </c>
      <c r="G226" s="161">
        <f>IF(AND(E192*12&gt;=150000),E192*E194,E192)</f>
        <v>346896</v>
      </c>
      <c r="H226" s="157">
        <f>G226*F226</f>
        <v>38193.249600000003</v>
      </c>
      <c r="I226" s="164">
        <f>F226</f>
        <v>0.1101</v>
      </c>
      <c r="J226" s="161">
        <f>IF(AND(E192*12&gt;=150000),E192*E195,E192)</f>
        <v>346896</v>
      </c>
      <c r="K226" s="157">
        <f>J226*I226</f>
        <v>38193.249600000003</v>
      </c>
      <c r="L226" s="125">
        <f>K226-H226</f>
        <v>0</v>
      </c>
      <c r="M226" s="126">
        <f t="shared" si="35"/>
        <v>0</v>
      </c>
    </row>
    <row r="227" spans="1:13" ht="15.75" thickBot="1" x14ac:dyDescent="0.3">
      <c r="A227" s="100" t="str">
        <f t="shared" si="31"/>
        <v>GENERAL SERVICE 50 TO 999 KW SERVICE CLASSIFICATION</v>
      </c>
      <c r="B227" s="100" t="s">
        <v>121</v>
      </c>
      <c r="C227" s="117"/>
      <c r="D227" s="159" t="s">
        <v>182</v>
      </c>
      <c r="E227" s="119"/>
      <c r="F227" s="163">
        <v>0.1101</v>
      </c>
      <c r="G227" s="161">
        <f>IF(AND(E192*12&gt;=150000),E192*E194,E192)</f>
        <v>346896</v>
      </c>
      <c r="H227" s="157">
        <f>G227*F227</f>
        <v>38193.249600000003</v>
      </c>
      <c r="I227" s="164">
        <f>F227</f>
        <v>0.1101</v>
      </c>
      <c r="J227" s="161">
        <f>IF(AND(E192*12&gt;=150000),E192*E195,E192)</f>
        <v>346896</v>
      </c>
      <c r="K227" s="157">
        <f>J227*I227</f>
        <v>38193.249600000003</v>
      </c>
      <c r="L227" s="125">
        <f>K227-H227</f>
        <v>0</v>
      </c>
      <c r="M227" s="126">
        <f t="shared" si="35"/>
        <v>0</v>
      </c>
    </row>
    <row r="228" spans="1:13" ht="15.75" thickBot="1" x14ac:dyDescent="0.3">
      <c r="A228" s="100" t="str">
        <f t="shared" si="31"/>
        <v>GENERAL SERVICE 50 TO 999 KW SERVICE CLASSIFICATION</v>
      </c>
      <c r="B228" s="105"/>
      <c r="C228" s="117"/>
      <c r="D228" s="165"/>
      <c r="E228" s="166"/>
      <c r="F228" s="167"/>
      <c r="G228" s="168"/>
      <c r="H228" s="169"/>
      <c r="I228" s="167"/>
      <c r="J228" s="170"/>
      <c r="K228" s="169"/>
      <c r="L228" s="171"/>
      <c r="M228" s="172"/>
    </row>
    <row r="229" spans="1:13" hidden="1" x14ac:dyDescent="0.25">
      <c r="A229" s="100" t="str">
        <f t="shared" si="31"/>
        <v>GENERAL SERVICE 50 TO 999 KW SERVICE CLASSIFICATION</v>
      </c>
      <c r="B229" s="105" t="s">
        <v>117</v>
      </c>
      <c r="C229" s="117"/>
      <c r="D229" s="173" t="s">
        <v>183</v>
      </c>
      <c r="E229" s="158"/>
      <c r="F229" s="174"/>
      <c r="G229" s="175"/>
      <c r="H229" s="176">
        <f>SUM(H219:H225,H218)</f>
        <v>34057.727440000002</v>
      </c>
      <c r="I229" s="177"/>
      <c r="J229" s="177"/>
      <c r="K229" s="176">
        <f>SUM(K219:K225,K218)</f>
        <v>38616.926680760269</v>
      </c>
      <c r="L229" s="178">
        <f>K229-H229</f>
        <v>4559.1992407602665</v>
      </c>
      <c r="M229" s="179">
        <f>IF((H229)=0,"",(L229/H229))</f>
        <v>0.1338668074313612</v>
      </c>
    </row>
    <row r="230" spans="1:13" hidden="1" x14ac:dyDescent="0.25">
      <c r="A230" s="100" t="str">
        <f t="shared" si="31"/>
        <v>GENERAL SERVICE 50 TO 999 KW SERVICE CLASSIFICATION</v>
      </c>
      <c r="B230" s="105" t="s">
        <v>117</v>
      </c>
      <c r="C230" s="117"/>
      <c r="D230" s="180" t="s">
        <v>184</v>
      </c>
      <c r="E230" s="158"/>
      <c r="F230" s="174">
        <v>0.13</v>
      </c>
      <c r="G230" s="181"/>
      <c r="H230" s="182">
        <f>H229*F230</f>
        <v>4427.5045672000006</v>
      </c>
      <c r="I230" s="183">
        <v>0.13</v>
      </c>
      <c r="J230" s="121"/>
      <c r="K230" s="182">
        <f>K229*I230</f>
        <v>5020.2004684988351</v>
      </c>
      <c r="L230" s="184">
        <f>K230-H230</f>
        <v>592.69590129883454</v>
      </c>
      <c r="M230" s="185">
        <f>IF((H230)=0,"",(L230/H230))</f>
        <v>0.13386680743136117</v>
      </c>
    </row>
    <row r="231" spans="1:13" hidden="1" x14ac:dyDescent="0.25">
      <c r="A231" s="100" t="str">
        <f t="shared" si="31"/>
        <v>GENERAL SERVICE 50 TO 999 KW SERVICE CLASSIFICATION</v>
      </c>
      <c r="B231" s="105" t="s">
        <v>117</v>
      </c>
      <c r="C231" s="117"/>
      <c r="D231" s="180" t="s">
        <v>185</v>
      </c>
      <c r="E231" s="158"/>
      <c r="F231" s="174">
        <v>0.08</v>
      </c>
      <c r="G231" s="181"/>
      <c r="H231" s="182">
        <v>0</v>
      </c>
      <c r="I231" s="174">
        <v>0.08</v>
      </c>
      <c r="J231" s="121"/>
      <c r="K231" s="182">
        <v>0</v>
      </c>
      <c r="L231" s="184">
        <f>K231-H231</f>
        <v>0</v>
      </c>
      <c r="M231" s="185"/>
    </row>
    <row r="232" spans="1:13" ht="15.75" hidden="1" thickBot="1" x14ac:dyDescent="0.3">
      <c r="A232" s="100" t="str">
        <f t="shared" si="31"/>
        <v>GENERAL SERVICE 50 TO 999 KW SERVICE CLASSIFICATION</v>
      </c>
      <c r="B232" s="105" t="s">
        <v>186</v>
      </c>
      <c r="C232" s="117"/>
      <c r="D232" s="301" t="s">
        <v>187</v>
      </c>
      <c r="E232" s="301"/>
      <c r="F232" s="186"/>
      <c r="G232" s="187"/>
      <c r="H232" s="188">
        <f>H229+H230+H231</f>
        <v>38485.2320072</v>
      </c>
      <c r="I232" s="189"/>
      <c r="J232" s="189"/>
      <c r="K232" s="190">
        <f>K229+K230+K231</f>
        <v>43637.127149259104</v>
      </c>
      <c r="L232" s="191">
        <f>K232-H232</f>
        <v>5151.8951420591038</v>
      </c>
      <c r="M232" s="192">
        <f>IF((H232)=0,"",(L232/H232))</f>
        <v>0.13386680743136128</v>
      </c>
    </row>
    <row r="233" spans="1:13" ht="15.75" hidden="1" thickBot="1" x14ac:dyDescent="0.3">
      <c r="A233" s="100" t="str">
        <f t="shared" si="31"/>
        <v>GENERAL SERVICE 50 TO 999 KW SERVICE CLASSIFICATION</v>
      </c>
      <c r="B233" s="100" t="s">
        <v>117</v>
      </c>
      <c r="C233" s="117"/>
      <c r="D233" s="165"/>
      <c r="E233" s="166"/>
      <c r="F233" s="167"/>
      <c r="G233" s="168"/>
      <c r="H233" s="169"/>
      <c r="I233" s="167"/>
      <c r="J233" s="170"/>
      <c r="K233" s="169"/>
      <c r="L233" s="171"/>
      <c r="M233" s="172"/>
    </row>
    <row r="234" spans="1:13" hidden="1" x14ac:dyDescent="0.25">
      <c r="A234" s="100" t="str">
        <f t="shared" si="31"/>
        <v>GENERAL SERVICE 50 TO 999 KW SERVICE CLASSIFICATION</v>
      </c>
      <c r="B234" s="100" t="s">
        <v>180</v>
      </c>
      <c r="C234" s="117"/>
      <c r="D234" s="173" t="s">
        <v>188</v>
      </c>
      <c r="E234" s="158"/>
      <c r="F234" s="174"/>
      <c r="G234" s="175"/>
      <c r="H234" s="176">
        <f>SUM(H226,H219:H222,H218)</f>
        <v>43808.974000000009</v>
      </c>
      <c r="I234" s="177"/>
      <c r="J234" s="177"/>
      <c r="K234" s="176">
        <f>SUM(K226,K219:K222,K218)</f>
        <v>48368.173240760276</v>
      </c>
      <c r="L234" s="178">
        <f>K234-H234</f>
        <v>4559.1992407602665</v>
      </c>
      <c r="M234" s="179">
        <f>IF((H234)=0,"",(L234/H234))</f>
        <v>0.10406998440000594</v>
      </c>
    </row>
    <row r="235" spans="1:13" hidden="1" x14ac:dyDescent="0.25">
      <c r="A235" s="100" t="str">
        <f t="shared" si="31"/>
        <v>GENERAL SERVICE 50 TO 999 KW SERVICE CLASSIFICATION</v>
      </c>
      <c r="B235" s="100" t="s">
        <v>180</v>
      </c>
      <c r="C235" s="117"/>
      <c r="D235" s="180" t="s">
        <v>184</v>
      </c>
      <c r="E235" s="158"/>
      <c r="F235" s="174">
        <v>0.13</v>
      </c>
      <c r="G235" s="175"/>
      <c r="H235" s="182">
        <f>H234*F235</f>
        <v>5695.1666200000018</v>
      </c>
      <c r="I235" s="174">
        <v>0.13</v>
      </c>
      <c r="J235" s="183"/>
      <c r="K235" s="182">
        <f>K234*I235</f>
        <v>6287.8625212988363</v>
      </c>
      <c r="L235" s="184">
        <f>K235-H235</f>
        <v>592.69590129883454</v>
      </c>
      <c r="M235" s="185">
        <f>IF((H235)=0,"",(L235/H235))</f>
        <v>0.10406998440000591</v>
      </c>
    </row>
    <row r="236" spans="1:13" hidden="1" x14ac:dyDescent="0.25">
      <c r="A236" s="100" t="str">
        <f t="shared" si="31"/>
        <v>GENERAL SERVICE 50 TO 999 KW SERVICE CLASSIFICATION</v>
      </c>
      <c r="B236" s="100" t="s">
        <v>180</v>
      </c>
      <c r="C236" s="117"/>
      <c r="D236" s="180" t="s">
        <v>185</v>
      </c>
      <c r="E236" s="158"/>
      <c r="F236" s="174">
        <v>0.08</v>
      </c>
      <c r="G236" s="175"/>
      <c r="H236" s="182">
        <v>0</v>
      </c>
      <c r="I236" s="174">
        <v>0.08</v>
      </c>
      <c r="J236" s="183"/>
      <c r="K236" s="182">
        <v>0</v>
      </c>
      <c r="L236" s="184"/>
      <c r="M236" s="185"/>
    </row>
    <row r="237" spans="1:13" ht="15.75" hidden="1" thickBot="1" x14ac:dyDescent="0.3">
      <c r="A237" s="100" t="str">
        <f t="shared" si="31"/>
        <v>GENERAL SERVICE 50 TO 999 KW SERVICE CLASSIFICATION</v>
      </c>
      <c r="B237" s="100" t="s">
        <v>189</v>
      </c>
      <c r="C237" s="117"/>
      <c r="D237" s="301" t="s">
        <v>188</v>
      </c>
      <c r="E237" s="301"/>
      <c r="F237" s="193"/>
      <c r="G237" s="194"/>
      <c r="H237" s="188">
        <f>SUM(H234,H235)</f>
        <v>49504.140620000013</v>
      </c>
      <c r="I237" s="195"/>
      <c r="J237" s="195"/>
      <c r="K237" s="188">
        <f>SUM(K234,K235)</f>
        <v>54656.035762059109</v>
      </c>
      <c r="L237" s="196">
        <f>K237-H237</f>
        <v>5151.8951420590965</v>
      </c>
      <c r="M237" s="197">
        <f>IF((H237)=0,"",(L237/H237))</f>
        <v>0.10406998440000584</v>
      </c>
    </row>
    <row r="238" spans="1:13" ht="15.75" hidden="1" thickBot="1" x14ac:dyDescent="0.3">
      <c r="A238" s="100" t="str">
        <f t="shared" si="31"/>
        <v>GENERAL SERVICE 50 TO 999 KW SERVICE CLASSIFICATION</v>
      </c>
      <c r="B238" s="100" t="s">
        <v>180</v>
      </c>
      <c r="C238" s="117"/>
      <c r="D238" s="165"/>
      <c r="E238" s="166"/>
      <c r="F238" s="198"/>
      <c r="G238" s="199"/>
      <c r="H238" s="200"/>
      <c r="I238" s="198"/>
      <c r="J238" s="168"/>
      <c r="K238" s="200"/>
      <c r="L238" s="201"/>
      <c r="M238" s="172"/>
    </row>
    <row r="239" spans="1:13" x14ac:dyDescent="0.25">
      <c r="A239" s="100" t="str">
        <f t="shared" si="31"/>
        <v>GENERAL SERVICE 50 TO 999 KW SERVICE CLASSIFICATION</v>
      </c>
      <c r="B239" s="100" t="s">
        <v>121</v>
      </c>
      <c r="C239" s="117"/>
      <c r="D239" s="173" t="s">
        <v>190</v>
      </c>
      <c r="E239" s="158"/>
      <c r="F239" s="174"/>
      <c r="G239" s="175"/>
      <c r="H239" s="176">
        <f>SUM(H227,H219:H222,H218)</f>
        <v>43808.974000000009</v>
      </c>
      <c r="I239" s="177"/>
      <c r="J239" s="177"/>
      <c r="K239" s="176">
        <f>SUM(K227,K219:K222,K218)</f>
        <v>48368.173240760276</v>
      </c>
      <c r="L239" s="178">
        <f>K239-H239</f>
        <v>4559.1992407602665</v>
      </c>
      <c r="M239" s="179">
        <f>IF((H239)=0,"",(L239/H239))</f>
        <v>0.10406998440000594</v>
      </c>
    </row>
    <row r="240" spans="1:13" x14ac:dyDescent="0.25">
      <c r="A240" s="100" t="str">
        <f t="shared" si="31"/>
        <v>GENERAL SERVICE 50 TO 999 KW SERVICE CLASSIFICATION</v>
      </c>
      <c r="B240" s="100" t="s">
        <v>121</v>
      </c>
      <c r="C240" s="117"/>
      <c r="D240" s="180" t="s">
        <v>184</v>
      </c>
      <c r="E240" s="158"/>
      <c r="F240" s="174">
        <v>0.13</v>
      </c>
      <c r="G240" s="175"/>
      <c r="H240" s="182">
        <f>H239*F240</f>
        <v>5695.1666200000018</v>
      </c>
      <c r="I240" s="174">
        <v>0.13</v>
      </c>
      <c r="J240" s="183"/>
      <c r="K240" s="182">
        <f>K239*I240</f>
        <v>6287.8625212988363</v>
      </c>
      <c r="L240" s="184">
        <f>K240-H240</f>
        <v>592.69590129883454</v>
      </c>
      <c r="M240" s="185">
        <f>IF((H240)=0,"",(L240/H240))</f>
        <v>0.10406998440000591</v>
      </c>
    </row>
    <row r="241" spans="1:13" x14ac:dyDescent="0.25">
      <c r="A241" s="100" t="str">
        <f t="shared" si="31"/>
        <v>GENERAL SERVICE 50 TO 999 KW SERVICE CLASSIFICATION</v>
      </c>
      <c r="B241" s="100" t="s">
        <v>121</v>
      </c>
      <c r="C241" s="117"/>
      <c r="D241" s="180" t="s">
        <v>185</v>
      </c>
      <c r="E241" s="158"/>
      <c r="F241" s="174">
        <v>0.08</v>
      </c>
      <c r="G241" s="175"/>
      <c r="H241" s="182">
        <v>0</v>
      </c>
      <c r="I241" s="174">
        <v>0.08</v>
      </c>
      <c r="J241" s="183"/>
      <c r="K241" s="182">
        <v>0</v>
      </c>
      <c r="L241" s="184"/>
      <c r="M241" s="185"/>
    </row>
    <row r="242" spans="1:13" ht="15.75" thickBot="1" x14ac:dyDescent="0.3">
      <c r="A242" s="100" t="str">
        <f t="shared" si="31"/>
        <v>GENERAL SERVICE 50 TO 999 KW SERVICE CLASSIFICATION</v>
      </c>
      <c r="B242" s="100" t="s">
        <v>191</v>
      </c>
      <c r="C242" s="117">
        <f>B32</f>
        <v>3</v>
      </c>
      <c r="D242" s="301" t="s">
        <v>190</v>
      </c>
      <c r="E242" s="301"/>
      <c r="F242" s="193"/>
      <c r="G242" s="194"/>
      <c r="H242" s="188">
        <f>SUM(H239,H240)</f>
        <v>49504.140620000013</v>
      </c>
      <c r="I242" s="195"/>
      <c r="J242" s="195"/>
      <c r="K242" s="188">
        <f>SUM(K239,K240)</f>
        <v>54656.035762059109</v>
      </c>
      <c r="L242" s="196">
        <f>K242-H242</f>
        <v>5151.8951420590965</v>
      </c>
      <c r="M242" s="197">
        <f>IF((H242)=0,"",(L242/H242))</f>
        <v>0.10406998440000584</v>
      </c>
    </row>
    <row r="243" spans="1:13" ht="15.75" thickBot="1" x14ac:dyDescent="0.3">
      <c r="A243" s="100" t="str">
        <f t="shared" si="31"/>
        <v>GENERAL SERVICE 50 TO 999 KW SERVICE CLASSIFICATION</v>
      </c>
      <c r="B243" s="100" t="s">
        <v>121</v>
      </c>
      <c r="C243" s="117"/>
      <c r="D243" s="165"/>
      <c r="E243" s="166"/>
      <c r="F243" s="202"/>
      <c r="G243" s="203"/>
      <c r="H243" s="204"/>
      <c r="I243" s="202"/>
      <c r="J243" s="205"/>
      <c r="K243" s="204"/>
      <c r="L243" s="206"/>
      <c r="M243" s="207"/>
    </row>
    <row r="246" spans="1:13" x14ac:dyDescent="0.25">
      <c r="C246" s="100"/>
      <c r="D246" s="101" t="s">
        <v>134</v>
      </c>
      <c r="E246" s="302" t="str">
        <f>D33</f>
        <v>GENERAL SERVICE 1,000 TO 4,999 KW SERVICE CLASSIFICATION</v>
      </c>
      <c r="F246" s="302"/>
      <c r="G246" s="302"/>
      <c r="H246" s="302"/>
      <c r="I246" s="302"/>
      <c r="J246" s="302"/>
      <c r="K246" s="100" t="str">
        <f>IF(N33="DEMAND - INTERVAL","RTSR - INTERVAL METERED","")</f>
        <v/>
      </c>
    </row>
    <row r="247" spans="1:13" x14ac:dyDescent="0.25">
      <c r="C247" s="100"/>
      <c r="D247" s="101" t="s">
        <v>135</v>
      </c>
      <c r="E247" s="303" t="str">
        <f>H33</f>
        <v>Non-RPP (Other)</v>
      </c>
      <c r="F247" s="303"/>
      <c r="G247" s="303"/>
      <c r="H247" s="102"/>
      <c r="I247" s="102"/>
    </row>
    <row r="248" spans="1:13" ht="15.75" x14ac:dyDescent="0.25">
      <c r="C248" s="100"/>
      <c r="D248" s="101" t="s">
        <v>136</v>
      </c>
      <c r="E248" s="103">
        <f>K33</f>
        <v>1600000</v>
      </c>
      <c r="F248" s="104" t="s">
        <v>137</v>
      </c>
      <c r="G248" s="105"/>
      <c r="J248" s="106"/>
      <c r="K248" s="106"/>
      <c r="L248" s="106"/>
      <c r="M248" s="106"/>
    </row>
    <row r="249" spans="1:13" ht="15.75" x14ac:dyDescent="0.25">
      <c r="C249" s="100"/>
      <c r="D249" s="101" t="s">
        <v>138</v>
      </c>
      <c r="E249" s="103">
        <f>L33</f>
        <v>2500</v>
      </c>
      <c r="F249" s="107" t="s">
        <v>139</v>
      </c>
      <c r="G249" s="108"/>
      <c r="H249" s="109"/>
      <c r="I249" s="109"/>
      <c r="J249" s="109"/>
    </row>
    <row r="250" spans="1:13" x14ac:dyDescent="0.25">
      <c r="C250" s="100"/>
      <c r="D250" s="101" t="s">
        <v>140</v>
      </c>
      <c r="E250" s="110">
        <f>I33</f>
        <v>1.056</v>
      </c>
    </row>
    <row r="251" spans="1:13" x14ac:dyDescent="0.25">
      <c r="C251" s="100"/>
      <c r="D251" s="101" t="s">
        <v>141</v>
      </c>
      <c r="E251" s="110">
        <f>J33</f>
        <v>1.056</v>
      </c>
    </row>
    <row r="252" spans="1:13" x14ac:dyDescent="0.25">
      <c r="C252" s="100"/>
      <c r="D252" s="105"/>
    </row>
    <row r="253" spans="1:13" x14ac:dyDescent="0.25">
      <c r="C253" s="100"/>
      <c r="D253" s="105"/>
      <c r="E253" s="111"/>
      <c r="F253" s="304" t="s">
        <v>142</v>
      </c>
      <c r="G253" s="305"/>
      <c r="H253" s="306"/>
      <c r="I253" s="304" t="s">
        <v>143</v>
      </c>
      <c r="J253" s="305"/>
      <c r="K253" s="306"/>
      <c r="L253" s="304" t="s">
        <v>144</v>
      </c>
      <c r="M253" s="306"/>
    </row>
    <row r="254" spans="1:13" x14ac:dyDescent="0.25">
      <c r="C254" s="100"/>
      <c r="D254" s="105"/>
      <c r="E254" s="295"/>
      <c r="F254" s="112" t="s">
        <v>145</v>
      </c>
      <c r="G254" s="112" t="s">
        <v>146</v>
      </c>
      <c r="H254" s="113" t="s">
        <v>147</v>
      </c>
      <c r="I254" s="112" t="s">
        <v>145</v>
      </c>
      <c r="J254" s="114" t="s">
        <v>146</v>
      </c>
      <c r="K254" s="113" t="s">
        <v>147</v>
      </c>
      <c r="L254" s="297" t="s">
        <v>148</v>
      </c>
      <c r="M254" s="299" t="s">
        <v>149</v>
      </c>
    </row>
    <row r="255" spans="1:13" x14ac:dyDescent="0.25">
      <c r="C255" s="100"/>
      <c r="D255" s="105"/>
      <c r="E255" s="296"/>
      <c r="F255" s="115" t="s">
        <v>150</v>
      </c>
      <c r="G255" s="115"/>
      <c r="H255" s="116" t="s">
        <v>150</v>
      </c>
      <c r="I255" s="115" t="s">
        <v>150</v>
      </c>
      <c r="J255" s="116"/>
      <c r="K255" s="116" t="s">
        <v>150</v>
      </c>
      <c r="L255" s="298"/>
      <c r="M255" s="300"/>
    </row>
    <row r="256" spans="1:13" x14ac:dyDescent="0.25">
      <c r="A256" s="100" t="str">
        <f>$E246</f>
        <v>GENERAL SERVICE 1,000 TO 4,999 KW SERVICE CLASSIFICATION</v>
      </c>
      <c r="C256" s="117"/>
      <c r="D256" s="118" t="s">
        <v>151</v>
      </c>
      <c r="E256" s="119"/>
      <c r="F256" s="120">
        <v>185.55</v>
      </c>
      <c r="G256" s="121">
        <v>1</v>
      </c>
      <c r="H256" s="122">
        <f>G256*F256</f>
        <v>185.55</v>
      </c>
      <c r="I256" s="123">
        <v>187.78</v>
      </c>
      <c r="J256" s="124">
        <f>G256</f>
        <v>1</v>
      </c>
      <c r="K256" s="122">
        <f>J256*I256</f>
        <v>187.78</v>
      </c>
      <c r="L256" s="125">
        <f t="shared" ref="L256:L277" si="36">K256-H256</f>
        <v>2.2299999999999898</v>
      </c>
      <c r="M256" s="126">
        <f>IF(ISERROR(L256/H256), "", L256/H256)</f>
        <v>1.2018323901913175E-2</v>
      </c>
    </row>
    <row r="257" spans="1:13" x14ac:dyDescent="0.25">
      <c r="A257" s="100" t="str">
        <f>A256</f>
        <v>GENERAL SERVICE 1,000 TO 4,999 KW SERVICE CLASSIFICATION</v>
      </c>
      <c r="C257" s="117"/>
      <c r="D257" s="118" t="s">
        <v>152</v>
      </c>
      <c r="E257" s="119"/>
      <c r="F257" s="127">
        <v>3.4704999999999999</v>
      </c>
      <c r="G257" s="121">
        <f>IF($E249&gt;0, $E249, $E248)</f>
        <v>2500</v>
      </c>
      <c r="H257" s="122">
        <f t="shared" ref="H257:H269" si="37">G257*F257</f>
        <v>8676.25</v>
      </c>
      <c r="I257" s="128">
        <v>3.5121000000000002</v>
      </c>
      <c r="J257" s="124">
        <f>IF($E249&gt;0, $E249, $E248)</f>
        <v>2500</v>
      </c>
      <c r="K257" s="122">
        <f>J257*I257</f>
        <v>8780.25</v>
      </c>
      <c r="L257" s="125">
        <f t="shared" si="36"/>
        <v>104</v>
      </c>
      <c r="M257" s="126">
        <f t="shared" ref="M257:M267" si="38">IF(ISERROR(L257/H257), "", L257/H257)</f>
        <v>1.1986745425731162E-2</v>
      </c>
    </row>
    <row r="258" spans="1:13" x14ac:dyDescent="0.25">
      <c r="A258" s="100" t="str">
        <f t="shared" ref="A258:A299" si="39">A257</f>
        <v>GENERAL SERVICE 1,000 TO 4,999 KW SERVICE CLASSIFICATION</v>
      </c>
      <c r="C258" s="117"/>
      <c r="D258" s="118" t="s">
        <v>153</v>
      </c>
      <c r="E258" s="119"/>
      <c r="F258" s="127"/>
      <c r="G258" s="121">
        <f>IF($E249&gt;0, $E249, $E248)</f>
        <v>2500</v>
      </c>
      <c r="H258" s="122">
        <v>0</v>
      </c>
      <c r="I258" s="128"/>
      <c r="J258" s="124">
        <f>IF($E249&gt;0, $E249, $E248)</f>
        <v>2500</v>
      </c>
      <c r="K258" s="122">
        <v>0</v>
      </c>
      <c r="L258" s="125"/>
      <c r="M258" s="126"/>
    </row>
    <row r="259" spans="1:13" x14ac:dyDescent="0.25">
      <c r="A259" s="100" t="str">
        <f t="shared" si="39"/>
        <v>GENERAL SERVICE 1,000 TO 4,999 KW SERVICE CLASSIFICATION</v>
      </c>
      <c r="C259" s="117"/>
      <c r="D259" s="118" t="s">
        <v>154</v>
      </c>
      <c r="E259" s="119"/>
      <c r="F259" s="127"/>
      <c r="G259" s="121">
        <f>IF($E249&gt;0, $E249, $E248)</f>
        <v>2500</v>
      </c>
      <c r="H259" s="122">
        <v>0</v>
      </c>
      <c r="I259" s="128"/>
      <c r="J259" s="121">
        <f>IF($E249&gt;0, $E249, $E248)</f>
        <v>2500</v>
      </c>
      <c r="K259" s="122">
        <v>0</v>
      </c>
      <c r="L259" s="125">
        <f>K259-H259</f>
        <v>0</v>
      </c>
      <c r="M259" s="126" t="str">
        <f>IF(ISERROR(L259/H259), "", L259/H259)</f>
        <v/>
      </c>
    </row>
    <row r="260" spans="1:13" x14ac:dyDescent="0.25">
      <c r="A260" s="100" t="str">
        <f t="shared" si="39"/>
        <v>GENERAL SERVICE 1,000 TO 4,999 KW SERVICE CLASSIFICATION</v>
      </c>
      <c r="C260" s="117"/>
      <c r="D260" s="129" t="s">
        <v>155</v>
      </c>
      <c r="E260" s="119"/>
      <c r="F260" s="120">
        <v>0</v>
      </c>
      <c r="G260" s="121">
        <v>1</v>
      </c>
      <c r="H260" s="122">
        <f t="shared" si="37"/>
        <v>0</v>
      </c>
      <c r="I260" s="226">
        <f>'Rate Riders'!O11</f>
        <v>32.87063870617456</v>
      </c>
      <c r="J260" s="124">
        <f>G260</f>
        <v>1</v>
      </c>
      <c r="K260" s="122">
        <f t="shared" ref="K260:K267" si="40">J260*I260</f>
        <v>32.87063870617456</v>
      </c>
      <c r="L260" s="125">
        <f t="shared" si="36"/>
        <v>32.87063870617456</v>
      </c>
      <c r="M260" s="126" t="str">
        <f t="shared" si="38"/>
        <v/>
      </c>
    </row>
    <row r="261" spans="1:13" x14ac:dyDescent="0.25">
      <c r="A261" s="100" t="str">
        <f t="shared" si="39"/>
        <v>GENERAL SERVICE 1,000 TO 4,999 KW SERVICE CLASSIFICATION</v>
      </c>
      <c r="C261" s="117"/>
      <c r="D261" s="118" t="s">
        <v>156</v>
      </c>
      <c r="E261" s="119"/>
      <c r="F261" s="127">
        <v>0</v>
      </c>
      <c r="G261" s="121">
        <f>IF($E249&gt;0, $E249, $E248)</f>
        <v>2500</v>
      </c>
      <c r="H261" s="122">
        <f t="shared" si="37"/>
        <v>0</v>
      </c>
      <c r="I261" s="227">
        <f>'Rate Riders'!Q11</f>
        <v>0.61480760781341304</v>
      </c>
      <c r="J261" s="124">
        <f>IF($E249&gt;0, $E249, $E248)</f>
        <v>2500</v>
      </c>
      <c r="K261" s="122">
        <f t="shared" si="40"/>
        <v>1537.0190195335326</v>
      </c>
      <c r="L261" s="125">
        <f t="shared" si="36"/>
        <v>1537.0190195335326</v>
      </c>
      <c r="M261" s="126" t="str">
        <f t="shared" si="38"/>
        <v/>
      </c>
    </row>
    <row r="262" spans="1:13" x14ac:dyDescent="0.25">
      <c r="A262" s="100" t="str">
        <f t="shared" si="39"/>
        <v>GENERAL SERVICE 1,000 TO 4,999 KW SERVICE CLASSIFICATION</v>
      </c>
      <c r="B262" s="130" t="s">
        <v>157</v>
      </c>
      <c r="C262" s="117">
        <f>B33</f>
        <v>4</v>
      </c>
      <c r="D262" s="131" t="s">
        <v>158</v>
      </c>
      <c r="E262" s="132"/>
      <c r="F262" s="133"/>
      <c r="G262" s="134"/>
      <c r="H262" s="135">
        <f>SUM(H256:H261)</f>
        <v>8861.7999999999993</v>
      </c>
      <c r="I262" s="136"/>
      <c r="J262" s="137"/>
      <c r="K262" s="135">
        <f>SUM(K256:K261)</f>
        <v>10537.919658239707</v>
      </c>
      <c r="L262" s="138">
        <f t="shared" si="36"/>
        <v>1676.1196582397079</v>
      </c>
      <c r="M262" s="139">
        <f>IF((H262)=0,"",(L262/H262))</f>
        <v>0.18913986529144283</v>
      </c>
    </row>
    <row r="263" spans="1:13" x14ac:dyDescent="0.25">
      <c r="A263" s="100" t="str">
        <f t="shared" si="39"/>
        <v>GENERAL SERVICE 1,000 TO 4,999 KW SERVICE CLASSIFICATION</v>
      </c>
      <c r="C263" s="117"/>
      <c r="D263" s="140" t="s">
        <v>159</v>
      </c>
      <c r="E263" s="119"/>
      <c r="F263" s="127">
        <f>IF((E248*12&gt;=150000), 0, IF(E247="RPP",(F279*0.65+F280*0.17+F281*0.18),IF(E247="Non-RPP (Retailer)",F282,F283)))</f>
        <v>0</v>
      </c>
      <c r="G263" s="141">
        <f>IF(F263=0, 0, $E248*E250-E248)</f>
        <v>0</v>
      </c>
      <c r="H263" s="122">
        <f>G263*F263</f>
        <v>0</v>
      </c>
      <c r="I263" s="128">
        <f>IF((E248*12&gt;=150000), 0, IF(E247="RPP",(I279*0.65+I280*0.17+I281*0.18),IF(E247="Non-RPP (Retailer)",I282,I283)))</f>
        <v>0</v>
      </c>
      <c r="J263" s="141">
        <f>IF(I263=0, 0, E248*E251-E248)</f>
        <v>0</v>
      </c>
      <c r="K263" s="122">
        <f>J263*I263</f>
        <v>0</v>
      </c>
      <c r="L263" s="125">
        <f>K263-H263</f>
        <v>0</v>
      </c>
      <c r="M263" s="126" t="str">
        <f>IF(ISERROR(L263/H263), "", L263/H263)</f>
        <v/>
      </c>
    </row>
    <row r="264" spans="1:13" ht="25.5" x14ac:dyDescent="0.25">
      <c r="A264" s="100" t="str">
        <f t="shared" si="39"/>
        <v>GENERAL SERVICE 1,000 TO 4,999 KW SERVICE CLASSIFICATION</v>
      </c>
      <c r="C264" s="117"/>
      <c r="D264" s="140" t="s">
        <v>160</v>
      </c>
      <c r="E264" s="119"/>
      <c r="F264" s="127">
        <v>-0.93979999999999997</v>
      </c>
      <c r="G264" s="142">
        <f>IF($E249&gt;0, $E249, $E248)</f>
        <v>2500</v>
      </c>
      <c r="H264" s="122">
        <f t="shared" si="37"/>
        <v>-2349.5</v>
      </c>
      <c r="I264" s="128">
        <v>-1.9907999999999999</v>
      </c>
      <c r="J264" s="142">
        <f>IF($E249&gt;0, $E249, $E248)</f>
        <v>2500</v>
      </c>
      <c r="K264" s="122">
        <f t="shared" si="40"/>
        <v>-4977</v>
      </c>
      <c r="L264" s="125">
        <f t="shared" si="36"/>
        <v>-2627.5</v>
      </c>
      <c r="M264" s="126">
        <f t="shared" si="38"/>
        <v>1.1183230474569057</v>
      </c>
    </row>
    <row r="265" spans="1:13" x14ac:dyDescent="0.25">
      <c r="A265" s="100" t="str">
        <f t="shared" si="39"/>
        <v>GENERAL SERVICE 1,000 TO 4,999 KW SERVICE CLASSIFICATION</v>
      </c>
      <c r="C265" s="117"/>
      <c r="D265" s="140" t="s">
        <v>161</v>
      </c>
      <c r="E265" s="119"/>
      <c r="F265" s="127">
        <v>-3.4099999999999998E-2</v>
      </c>
      <c r="G265" s="142">
        <f>IF($E249&gt;0, $E249, $E248)</f>
        <v>2500</v>
      </c>
      <c r="H265" s="122">
        <f>G265*F265</f>
        <v>-85.25</v>
      </c>
      <c r="I265" s="128">
        <v>0</v>
      </c>
      <c r="J265" s="142">
        <f>IF($E249&gt;0, $E249, $E248)</f>
        <v>2500</v>
      </c>
      <c r="K265" s="122">
        <f>J265*I265</f>
        <v>0</v>
      </c>
      <c r="L265" s="125">
        <f t="shared" si="36"/>
        <v>85.25</v>
      </c>
      <c r="M265" s="126">
        <f t="shared" si="38"/>
        <v>-1</v>
      </c>
    </row>
    <row r="266" spans="1:13" x14ac:dyDescent="0.25">
      <c r="A266" s="100" t="str">
        <f t="shared" si="39"/>
        <v>GENERAL SERVICE 1,000 TO 4,999 KW SERVICE CLASSIFICATION</v>
      </c>
      <c r="C266" s="117"/>
      <c r="D266" s="140" t="s">
        <v>162</v>
      </c>
      <c r="E266" s="119"/>
      <c r="F266" s="127">
        <v>-1E-3</v>
      </c>
      <c r="G266" s="142">
        <f>E248</f>
        <v>1600000</v>
      </c>
      <c r="H266" s="122">
        <f>G266*F266</f>
        <v>-1600</v>
      </c>
      <c r="I266" s="128">
        <v>1.37E-2</v>
      </c>
      <c r="J266" s="142">
        <f>E248</f>
        <v>1600000</v>
      </c>
      <c r="K266" s="122">
        <f t="shared" si="40"/>
        <v>21920</v>
      </c>
      <c r="L266" s="125">
        <f t="shared" si="36"/>
        <v>23520</v>
      </c>
      <c r="M266" s="126">
        <f t="shared" si="38"/>
        <v>-14.7</v>
      </c>
    </row>
    <row r="267" spans="1:13" x14ac:dyDescent="0.25">
      <c r="A267" s="100" t="str">
        <f t="shared" si="39"/>
        <v>GENERAL SERVICE 1,000 TO 4,999 KW SERVICE CLASSIFICATION</v>
      </c>
      <c r="C267" s="117"/>
      <c r="D267" s="143" t="s">
        <v>163</v>
      </c>
      <c r="E267" s="119"/>
      <c r="F267" s="127">
        <v>1.0483</v>
      </c>
      <c r="G267" s="142">
        <f>IF($E249&gt;0, $E249, $E248)</f>
        <v>2500</v>
      </c>
      <c r="H267" s="122">
        <f t="shared" si="37"/>
        <v>2620.75</v>
      </c>
      <c r="I267" s="128">
        <v>1.0483</v>
      </c>
      <c r="J267" s="142">
        <f>IF($E249&gt;0, $E249, $E248)</f>
        <v>2500</v>
      </c>
      <c r="K267" s="122">
        <f t="shared" si="40"/>
        <v>2620.75</v>
      </c>
      <c r="L267" s="125">
        <f t="shared" si="36"/>
        <v>0</v>
      </c>
      <c r="M267" s="126">
        <f t="shared" si="38"/>
        <v>0</v>
      </c>
    </row>
    <row r="268" spans="1:13" ht="25.5" x14ac:dyDescent="0.25">
      <c r="A268" s="100" t="str">
        <f t="shared" si="39"/>
        <v>GENERAL SERVICE 1,000 TO 4,999 KW SERVICE CLASSIFICATION</v>
      </c>
      <c r="C268" s="117"/>
      <c r="D268" s="144" t="s">
        <v>164</v>
      </c>
      <c r="E268" s="119"/>
      <c r="F268" s="145">
        <f>IF(OR(ISNUMBER(SEARCH("RESIDENTIAL", E246))=TRUE, ISNUMBER(SEARCH("GENERAL SERVICE LESS THAN 50", E246))=TRUE), SME, 0)</f>
        <v>0</v>
      </c>
      <c r="G268" s="121">
        <v>1</v>
      </c>
      <c r="H268" s="122">
        <f>G268*F268</f>
        <v>0</v>
      </c>
      <c r="I268" s="146">
        <f>IF(OR(ISNUMBER(SEARCH("RESIDENTIAL", E246))=TRUE, ISNUMBER(SEARCH("GENERAL SERVICE LESS THAN 50", E246))=TRUE), SME, 0)</f>
        <v>0</v>
      </c>
      <c r="J268" s="121">
        <v>1</v>
      </c>
      <c r="K268" s="122">
        <f>J268*I268</f>
        <v>0</v>
      </c>
      <c r="L268" s="125">
        <f t="shared" si="36"/>
        <v>0</v>
      </c>
      <c r="M268" s="126" t="str">
        <f>IF(ISERROR(L268/H268), "", L268/H268)</f>
        <v/>
      </c>
    </row>
    <row r="269" spans="1:13" x14ac:dyDescent="0.25">
      <c r="A269" s="100" t="str">
        <f t="shared" si="39"/>
        <v>GENERAL SERVICE 1,000 TO 4,999 KW SERVICE CLASSIFICATION</v>
      </c>
      <c r="C269" s="117"/>
      <c r="D269" s="143" t="s">
        <v>165</v>
      </c>
      <c r="E269" s="119"/>
      <c r="F269" s="120">
        <v>0</v>
      </c>
      <c r="G269" s="121">
        <v>1</v>
      </c>
      <c r="H269" s="122">
        <f t="shared" si="37"/>
        <v>0</v>
      </c>
      <c r="I269" s="123">
        <v>0</v>
      </c>
      <c r="J269" s="121">
        <v>1</v>
      </c>
      <c r="K269" s="122">
        <f>J269*I269</f>
        <v>0</v>
      </c>
      <c r="L269" s="125">
        <f>K269-H269</f>
        <v>0</v>
      </c>
      <c r="M269" s="126" t="str">
        <f>IF(ISERROR(L269/H269), "", L269/H269)</f>
        <v/>
      </c>
    </row>
    <row r="270" spans="1:13" x14ac:dyDescent="0.25">
      <c r="A270" s="100" t="str">
        <f t="shared" si="39"/>
        <v>GENERAL SERVICE 1,000 TO 4,999 KW SERVICE CLASSIFICATION</v>
      </c>
      <c r="C270" s="117"/>
      <c r="D270" s="143" t="s">
        <v>166</v>
      </c>
      <c r="E270" s="119"/>
      <c r="F270" s="127"/>
      <c r="G270" s="142">
        <f>IF($E249&gt;0, $E249, $E248)</f>
        <v>2500</v>
      </c>
      <c r="H270" s="122">
        <f>G270*F270</f>
        <v>0</v>
      </c>
      <c r="I270" s="128">
        <v>0</v>
      </c>
      <c r="J270" s="142">
        <f>IF($E249&gt;0, $E249, $E248)</f>
        <v>2500</v>
      </c>
      <c r="K270" s="122">
        <f>J270*I270</f>
        <v>0</v>
      </c>
      <c r="L270" s="125">
        <f t="shared" si="36"/>
        <v>0</v>
      </c>
      <c r="M270" s="126" t="str">
        <f>IF(ISERROR(L270/H270), "", L270/H270)</f>
        <v/>
      </c>
    </row>
    <row r="271" spans="1:13" ht="25.5" x14ac:dyDescent="0.25">
      <c r="A271" s="100" t="str">
        <f t="shared" si="39"/>
        <v>GENERAL SERVICE 1,000 TO 4,999 KW SERVICE CLASSIFICATION</v>
      </c>
      <c r="B271" s="105" t="s">
        <v>167</v>
      </c>
      <c r="C271" s="117">
        <f>B33</f>
        <v>4</v>
      </c>
      <c r="D271" s="147" t="s">
        <v>168</v>
      </c>
      <c r="E271" s="148"/>
      <c r="F271" s="149"/>
      <c r="G271" s="150"/>
      <c r="H271" s="151">
        <f>SUM(H262:H270)</f>
        <v>7447.7999999999993</v>
      </c>
      <c r="I271" s="152"/>
      <c r="J271" s="153"/>
      <c r="K271" s="151">
        <f>SUM(K262:K270)</f>
        <v>30101.669658239705</v>
      </c>
      <c r="L271" s="138">
        <f t="shared" si="36"/>
        <v>22653.869658239706</v>
      </c>
      <c r="M271" s="139">
        <f>IF((H271)=0,"",(L271/H271))</f>
        <v>3.0416860896156863</v>
      </c>
    </row>
    <row r="272" spans="1:13" x14ac:dyDescent="0.25">
      <c r="A272" s="100" t="str">
        <f t="shared" si="39"/>
        <v>GENERAL SERVICE 1,000 TO 4,999 KW SERVICE CLASSIFICATION</v>
      </c>
      <c r="C272" s="117"/>
      <c r="D272" s="154" t="s">
        <v>169</v>
      </c>
      <c r="E272" s="119"/>
      <c r="F272" s="127">
        <v>2.6217000000000001</v>
      </c>
      <c r="G272" s="141">
        <f>IF($E249&gt;0, $E249, $E248*$E250)</f>
        <v>2500</v>
      </c>
      <c r="H272" s="122">
        <f>G272*F272</f>
        <v>6554.25</v>
      </c>
      <c r="I272" s="128">
        <v>2.4868999999999999</v>
      </c>
      <c r="J272" s="141">
        <f>IF($E249&gt;0, $E249, $E248*$E251)</f>
        <v>2500</v>
      </c>
      <c r="K272" s="122">
        <f>J272*I272</f>
        <v>6217.25</v>
      </c>
      <c r="L272" s="125">
        <f t="shared" si="36"/>
        <v>-337</v>
      </c>
      <c r="M272" s="126">
        <f>IF(ISERROR(L272/H272), "", L272/H272)</f>
        <v>-5.1417019491169849E-2</v>
      </c>
    </row>
    <row r="273" spans="1:13" ht="25.5" x14ac:dyDescent="0.25">
      <c r="A273" s="100" t="str">
        <f t="shared" si="39"/>
        <v>GENERAL SERVICE 1,000 TO 4,999 KW SERVICE CLASSIFICATION</v>
      </c>
      <c r="C273" s="117"/>
      <c r="D273" s="155" t="s">
        <v>170</v>
      </c>
      <c r="E273" s="119"/>
      <c r="F273" s="127">
        <v>2.2145999999999999</v>
      </c>
      <c r="G273" s="141">
        <f>IF($E249&gt;0, $E249, $E248*$E250)</f>
        <v>2500</v>
      </c>
      <c r="H273" s="122">
        <f>G273*F273</f>
        <v>5536.5</v>
      </c>
      <c r="I273" s="128">
        <v>2.0933000000000002</v>
      </c>
      <c r="J273" s="141">
        <f>IF($E249&gt;0, $E249, $E248*$E251)</f>
        <v>2500</v>
      </c>
      <c r="K273" s="122">
        <f>J273*I273</f>
        <v>5233.25</v>
      </c>
      <c r="L273" s="125">
        <f t="shared" si="36"/>
        <v>-303.25</v>
      </c>
      <c r="M273" s="126">
        <f>IF(ISERROR(L273/H273), "", L273/H273)</f>
        <v>-5.4772870947349409E-2</v>
      </c>
    </row>
    <row r="274" spans="1:13" ht="25.5" x14ac:dyDescent="0.25">
      <c r="A274" s="100" t="str">
        <f t="shared" si="39"/>
        <v>GENERAL SERVICE 1,000 TO 4,999 KW SERVICE CLASSIFICATION</v>
      </c>
      <c r="B274" s="105" t="s">
        <v>171</v>
      </c>
      <c r="C274" s="117">
        <f>B33</f>
        <v>4</v>
      </c>
      <c r="D274" s="147" t="s">
        <v>172</v>
      </c>
      <c r="E274" s="132"/>
      <c r="F274" s="149"/>
      <c r="G274" s="150"/>
      <c r="H274" s="151">
        <f>SUM(H271:H273)</f>
        <v>19538.55</v>
      </c>
      <c r="I274" s="152"/>
      <c r="J274" s="137"/>
      <c r="K274" s="151">
        <f>SUM(K271:K273)</f>
        <v>41552.169658239705</v>
      </c>
      <c r="L274" s="138">
        <f t="shared" si="36"/>
        <v>22013.619658239706</v>
      </c>
      <c r="M274" s="139">
        <f>IF((H274)=0,"",(L274/H274))</f>
        <v>1.1266762199978866</v>
      </c>
    </row>
    <row r="275" spans="1:13" ht="25.5" x14ac:dyDescent="0.25">
      <c r="A275" s="100" t="str">
        <f t="shared" si="39"/>
        <v>GENERAL SERVICE 1,000 TO 4,999 KW SERVICE CLASSIFICATION</v>
      </c>
      <c r="C275" s="117"/>
      <c r="D275" s="156" t="s">
        <v>173</v>
      </c>
      <c r="E275" s="119"/>
      <c r="F275" s="127">
        <v>3.6000000000000003E-3</v>
      </c>
      <c r="G275" s="141">
        <f>E248*E250</f>
        <v>1689600</v>
      </c>
      <c r="H275" s="157">
        <f t="shared" ref="H275:H281" si="41">G275*F275</f>
        <v>6082.56</v>
      </c>
      <c r="I275" s="128">
        <v>3.6000000000000003E-3</v>
      </c>
      <c r="J275" s="141">
        <f>E248*E251</f>
        <v>1689600</v>
      </c>
      <c r="K275" s="157">
        <f t="shared" ref="K275:K281" si="42">J275*I275</f>
        <v>6082.56</v>
      </c>
      <c r="L275" s="125">
        <f t="shared" si="36"/>
        <v>0</v>
      </c>
      <c r="M275" s="126">
        <f t="shared" ref="M275:M283" si="43">IF(ISERROR(L275/H275), "", L275/H275)</f>
        <v>0</v>
      </c>
    </row>
    <row r="276" spans="1:13" ht="25.5" x14ac:dyDescent="0.25">
      <c r="A276" s="100" t="str">
        <f t="shared" si="39"/>
        <v>GENERAL SERVICE 1,000 TO 4,999 KW SERVICE CLASSIFICATION</v>
      </c>
      <c r="C276" s="117"/>
      <c r="D276" s="156" t="s">
        <v>174</v>
      </c>
      <c r="E276" s="119"/>
      <c r="F276" s="127">
        <f>'[1]17. Regulatory Charges'!$D$16</f>
        <v>2.9999999999999997E-4</v>
      </c>
      <c r="G276" s="141">
        <f>E248*E250</f>
        <v>1689600</v>
      </c>
      <c r="H276" s="157">
        <f t="shared" si="41"/>
        <v>506.87999999999994</v>
      </c>
      <c r="I276" s="128">
        <v>2.9999999999999997E-4</v>
      </c>
      <c r="J276" s="141">
        <f>E248*E251</f>
        <v>1689600</v>
      </c>
      <c r="K276" s="157">
        <f t="shared" si="42"/>
        <v>506.87999999999994</v>
      </c>
      <c r="L276" s="125">
        <f t="shared" si="36"/>
        <v>0</v>
      </c>
      <c r="M276" s="126">
        <f t="shared" si="43"/>
        <v>0</v>
      </c>
    </row>
    <row r="277" spans="1:13" x14ac:dyDescent="0.25">
      <c r="A277" s="100" t="str">
        <f t="shared" si="39"/>
        <v>GENERAL SERVICE 1,000 TO 4,999 KW SERVICE CLASSIFICATION</v>
      </c>
      <c r="C277" s="117"/>
      <c r="D277" s="158" t="s">
        <v>175</v>
      </c>
      <c r="E277" s="119"/>
      <c r="F277" s="145">
        <v>0.25</v>
      </c>
      <c r="G277" s="121">
        <v>1</v>
      </c>
      <c r="H277" s="157">
        <f t="shared" si="41"/>
        <v>0.25</v>
      </c>
      <c r="I277" s="146">
        <f>'[1]17. Regulatory Charges'!$D$17</f>
        <v>0.25</v>
      </c>
      <c r="J277" s="124">
        <v>1</v>
      </c>
      <c r="K277" s="157">
        <f t="shared" si="42"/>
        <v>0.25</v>
      </c>
      <c r="L277" s="125">
        <f t="shared" si="36"/>
        <v>0</v>
      </c>
      <c r="M277" s="126">
        <f t="shared" si="43"/>
        <v>0</v>
      </c>
    </row>
    <row r="278" spans="1:13" ht="25.5" x14ac:dyDescent="0.25">
      <c r="A278" s="100" t="str">
        <f t="shared" si="39"/>
        <v>GENERAL SERVICE 1,000 TO 4,999 KW SERVICE CLASSIFICATION</v>
      </c>
      <c r="C278" s="117"/>
      <c r="D278" s="156" t="s">
        <v>176</v>
      </c>
      <c r="E278" s="119"/>
      <c r="F278" s="127"/>
      <c r="G278" s="141"/>
      <c r="H278" s="157"/>
      <c r="I278" s="128"/>
      <c r="J278" s="141"/>
      <c r="K278" s="157"/>
      <c r="L278" s="125"/>
      <c r="M278" s="126"/>
    </row>
    <row r="279" spans="1:13" hidden="1" x14ac:dyDescent="0.25">
      <c r="A279" s="100" t="str">
        <f t="shared" si="39"/>
        <v>GENERAL SERVICE 1,000 TO 4,999 KW SERVICE CLASSIFICATION</v>
      </c>
      <c r="B279" s="105" t="s">
        <v>117</v>
      </c>
      <c r="C279" s="117"/>
      <c r="D279" s="159" t="s">
        <v>177</v>
      </c>
      <c r="E279" s="119"/>
      <c r="F279" s="160">
        <f>OffPeak</f>
        <v>6.5000000000000002E-2</v>
      </c>
      <c r="G279" s="161">
        <f>IF(AND(E248*12&gt;=150000),0.65*E248*E250,0.65*E248)</f>
        <v>1098240</v>
      </c>
      <c r="H279" s="157">
        <f t="shared" si="41"/>
        <v>71385.600000000006</v>
      </c>
      <c r="I279" s="162">
        <f>OffPeak</f>
        <v>6.5000000000000002E-2</v>
      </c>
      <c r="J279" s="161">
        <f>IF(AND(E248*12&gt;=150000),0.65*E248*E251,0.65*E248)</f>
        <v>1098240</v>
      </c>
      <c r="K279" s="157">
        <f t="shared" si="42"/>
        <v>71385.600000000006</v>
      </c>
      <c r="L279" s="125">
        <f>K279-H279</f>
        <v>0</v>
      </c>
      <c r="M279" s="126">
        <f t="shared" si="43"/>
        <v>0</v>
      </c>
    </row>
    <row r="280" spans="1:13" hidden="1" x14ac:dyDescent="0.25">
      <c r="A280" s="100" t="str">
        <f t="shared" si="39"/>
        <v>GENERAL SERVICE 1,000 TO 4,999 KW SERVICE CLASSIFICATION</v>
      </c>
      <c r="B280" s="105" t="s">
        <v>117</v>
      </c>
      <c r="C280" s="117"/>
      <c r="D280" s="159" t="s">
        <v>178</v>
      </c>
      <c r="E280" s="119"/>
      <c r="F280" s="160">
        <f>MidPeak</f>
        <v>9.4E-2</v>
      </c>
      <c r="G280" s="161">
        <f>IF(AND(E248*12&gt;=150000),0.17*E248*E250,0.17*E248)</f>
        <v>287232</v>
      </c>
      <c r="H280" s="157">
        <f t="shared" si="41"/>
        <v>26999.808000000001</v>
      </c>
      <c r="I280" s="162">
        <f>MidPeak</f>
        <v>9.4E-2</v>
      </c>
      <c r="J280" s="161">
        <f>IF(AND(E248*12&gt;=150000),0.17*E248*E251,0.17*E248)</f>
        <v>287232</v>
      </c>
      <c r="K280" s="157">
        <f t="shared" si="42"/>
        <v>26999.808000000001</v>
      </c>
      <c r="L280" s="125">
        <f>K280-H280</f>
        <v>0</v>
      </c>
      <c r="M280" s="126">
        <f t="shared" si="43"/>
        <v>0</v>
      </c>
    </row>
    <row r="281" spans="1:13" hidden="1" x14ac:dyDescent="0.25">
      <c r="A281" s="100" t="str">
        <f t="shared" si="39"/>
        <v>GENERAL SERVICE 1,000 TO 4,999 KW SERVICE CLASSIFICATION</v>
      </c>
      <c r="B281" s="105" t="s">
        <v>117</v>
      </c>
      <c r="C281" s="117"/>
      <c r="D281" s="105" t="s">
        <v>179</v>
      </c>
      <c r="E281" s="119"/>
      <c r="F281" s="160">
        <f>OnPeak</f>
        <v>0.13200000000000001</v>
      </c>
      <c r="G281" s="161">
        <f>IF(AND(E248*12&gt;=150000),0.18*E248*E250,0.18*E248)</f>
        <v>304128</v>
      </c>
      <c r="H281" s="157">
        <f t="shared" si="41"/>
        <v>40144.896000000001</v>
      </c>
      <c r="I281" s="162">
        <f>OnPeak</f>
        <v>0.13200000000000001</v>
      </c>
      <c r="J281" s="161">
        <f>IF(AND(E248*12&gt;=150000),0.18*E248*E251,0.18*E248)</f>
        <v>304128</v>
      </c>
      <c r="K281" s="157">
        <f t="shared" si="42"/>
        <v>40144.896000000001</v>
      </c>
      <c r="L281" s="125">
        <f>K281-H281</f>
        <v>0</v>
      </c>
      <c r="M281" s="126">
        <f t="shared" si="43"/>
        <v>0</v>
      </c>
    </row>
    <row r="282" spans="1:13" hidden="1" x14ac:dyDescent="0.25">
      <c r="A282" s="100" t="str">
        <f t="shared" si="39"/>
        <v>GENERAL SERVICE 1,000 TO 4,999 KW SERVICE CLASSIFICATION</v>
      </c>
      <c r="B282" s="100" t="s">
        <v>180</v>
      </c>
      <c r="C282" s="117"/>
      <c r="D282" s="159" t="s">
        <v>181</v>
      </c>
      <c r="E282" s="119"/>
      <c r="F282" s="163">
        <v>0.1101</v>
      </c>
      <c r="G282" s="161">
        <f>IF(AND(E248*12&gt;=150000),E248*E250,E248)</f>
        <v>1689600</v>
      </c>
      <c r="H282" s="157">
        <f>G282*F282</f>
        <v>186024.95999999999</v>
      </c>
      <c r="I282" s="164">
        <f>F282</f>
        <v>0.1101</v>
      </c>
      <c r="J282" s="161">
        <f>IF(AND(E248*12&gt;=150000),E248*E251,E248)</f>
        <v>1689600</v>
      </c>
      <c r="K282" s="157">
        <f>J282*I282</f>
        <v>186024.95999999999</v>
      </c>
      <c r="L282" s="125">
        <f>K282-H282</f>
        <v>0</v>
      </c>
      <c r="M282" s="126">
        <f t="shared" si="43"/>
        <v>0</v>
      </c>
    </row>
    <row r="283" spans="1:13" ht="15.75" thickBot="1" x14ac:dyDescent="0.3">
      <c r="A283" s="100" t="str">
        <f t="shared" si="39"/>
        <v>GENERAL SERVICE 1,000 TO 4,999 KW SERVICE CLASSIFICATION</v>
      </c>
      <c r="B283" s="100" t="s">
        <v>121</v>
      </c>
      <c r="C283" s="117"/>
      <c r="D283" s="159" t="s">
        <v>182</v>
      </c>
      <c r="E283" s="119"/>
      <c r="F283" s="163">
        <v>0.1101</v>
      </c>
      <c r="G283" s="161">
        <f>IF(AND(E248*12&gt;=150000),E248*E250,E248)</f>
        <v>1689600</v>
      </c>
      <c r="H283" s="157">
        <f>G283*F283</f>
        <v>186024.95999999999</v>
      </c>
      <c r="I283" s="164">
        <f>F283</f>
        <v>0.1101</v>
      </c>
      <c r="J283" s="161">
        <f>IF(AND(E248*12&gt;=150000),E248*E251,E248)</f>
        <v>1689600</v>
      </c>
      <c r="K283" s="157">
        <f>J283*I283</f>
        <v>186024.95999999999</v>
      </c>
      <c r="L283" s="125">
        <f>K283-H283</f>
        <v>0</v>
      </c>
      <c r="M283" s="126">
        <f t="shared" si="43"/>
        <v>0</v>
      </c>
    </row>
    <row r="284" spans="1:13" ht="15.75" thickBot="1" x14ac:dyDescent="0.3">
      <c r="A284" s="100" t="str">
        <f t="shared" si="39"/>
        <v>GENERAL SERVICE 1,000 TO 4,999 KW SERVICE CLASSIFICATION</v>
      </c>
      <c r="B284" s="105"/>
      <c r="C284" s="117"/>
      <c r="D284" s="165"/>
      <c r="E284" s="166"/>
      <c r="F284" s="167"/>
      <c r="G284" s="168"/>
      <c r="H284" s="169"/>
      <c r="I284" s="167"/>
      <c r="J284" s="170"/>
      <c r="K284" s="169"/>
      <c r="L284" s="171"/>
      <c r="M284" s="172"/>
    </row>
    <row r="285" spans="1:13" hidden="1" x14ac:dyDescent="0.25">
      <c r="A285" s="100" t="str">
        <f t="shared" si="39"/>
        <v>GENERAL SERVICE 1,000 TO 4,999 KW SERVICE CLASSIFICATION</v>
      </c>
      <c r="B285" s="105" t="s">
        <v>117</v>
      </c>
      <c r="C285" s="117"/>
      <c r="D285" s="173" t="s">
        <v>183</v>
      </c>
      <c r="E285" s="158"/>
      <c r="F285" s="174"/>
      <c r="G285" s="175"/>
      <c r="H285" s="176">
        <f>SUM(H275:H281,H274)</f>
        <v>164658.54399999999</v>
      </c>
      <c r="I285" s="177"/>
      <c r="J285" s="177"/>
      <c r="K285" s="176">
        <f>SUM(K275:K281,K274)</f>
        <v>186672.1636582397</v>
      </c>
      <c r="L285" s="178">
        <f>K285-H285</f>
        <v>22013.61965823971</v>
      </c>
      <c r="M285" s="179">
        <f>IF((H285)=0,"",(L285/H285))</f>
        <v>0.13369254411869275</v>
      </c>
    </row>
    <row r="286" spans="1:13" hidden="1" x14ac:dyDescent="0.25">
      <c r="A286" s="100" t="str">
        <f t="shared" si="39"/>
        <v>GENERAL SERVICE 1,000 TO 4,999 KW SERVICE CLASSIFICATION</v>
      </c>
      <c r="B286" s="105" t="s">
        <v>117</v>
      </c>
      <c r="C286" s="117"/>
      <c r="D286" s="180" t="s">
        <v>184</v>
      </c>
      <c r="E286" s="158"/>
      <c r="F286" s="174">
        <v>0.13</v>
      </c>
      <c r="G286" s="181"/>
      <c r="H286" s="182">
        <f>H285*F286</f>
        <v>21405.610720000001</v>
      </c>
      <c r="I286" s="183">
        <v>0.13</v>
      </c>
      <c r="J286" s="121"/>
      <c r="K286" s="182">
        <f>K285*I286</f>
        <v>24267.381275571162</v>
      </c>
      <c r="L286" s="184">
        <f>K286-H286</f>
        <v>2861.7705555711618</v>
      </c>
      <c r="M286" s="185">
        <f>IF((H286)=0,"",(L286/H286))</f>
        <v>0.13369254411869272</v>
      </c>
    </row>
    <row r="287" spans="1:13" hidden="1" x14ac:dyDescent="0.25">
      <c r="A287" s="100" t="str">
        <f t="shared" si="39"/>
        <v>GENERAL SERVICE 1,000 TO 4,999 KW SERVICE CLASSIFICATION</v>
      </c>
      <c r="B287" s="105" t="s">
        <v>117</v>
      </c>
      <c r="C287" s="117"/>
      <c r="D287" s="180" t="s">
        <v>185</v>
      </c>
      <c r="E287" s="158"/>
      <c r="F287" s="174">
        <v>0.08</v>
      </c>
      <c r="G287" s="181"/>
      <c r="H287" s="182">
        <v>0</v>
      </c>
      <c r="I287" s="174">
        <v>0.08</v>
      </c>
      <c r="J287" s="121"/>
      <c r="K287" s="182">
        <v>0</v>
      </c>
      <c r="L287" s="184">
        <f>K287-H287</f>
        <v>0</v>
      </c>
      <c r="M287" s="185"/>
    </row>
    <row r="288" spans="1:13" ht="15.75" hidden="1" thickBot="1" x14ac:dyDescent="0.3">
      <c r="A288" s="100" t="str">
        <f t="shared" si="39"/>
        <v>GENERAL SERVICE 1,000 TO 4,999 KW SERVICE CLASSIFICATION</v>
      </c>
      <c r="B288" s="105" t="s">
        <v>186</v>
      </c>
      <c r="C288" s="117"/>
      <c r="D288" s="301" t="s">
        <v>187</v>
      </c>
      <c r="E288" s="301"/>
      <c r="F288" s="186"/>
      <c r="G288" s="187"/>
      <c r="H288" s="188">
        <f>H285+H286+H287</f>
        <v>186064.15471999999</v>
      </c>
      <c r="I288" s="189"/>
      <c r="J288" s="189"/>
      <c r="K288" s="190">
        <f>K285+K286+K287</f>
        <v>210939.54493381086</v>
      </c>
      <c r="L288" s="191">
        <f>K288-H288</f>
        <v>24875.390213810868</v>
      </c>
      <c r="M288" s="192">
        <f>IF((H288)=0,"",(L288/H288))</f>
        <v>0.13369254411869272</v>
      </c>
    </row>
    <row r="289" spans="1:13" ht="15.75" hidden="1" thickBot="1" x14ac:dyDescent="0.3">
      <c r="A289" s="100" t="str">
        <f t="shared" si="39"/>
        <v>GENERAL SERVICE 1,000 TO 4,999 KW SERVICE CLASSIFICATION</v>
      </c>
      <c r="B289" s="100" t="s">
        <v>117</v>
      </c>
      <c r="C289" s="117"/>
      <c r="D289" s="165"/>
      <c r="E289" s="166"/>
      <c r="F289" s="167"/>
      <c r="G289" s="168"/>
      <c r="H289" s="169"/>
      <c r="I289" s="167"/>
      <c r="J289" s="170"/>
      <c r="K289" s="169"/>
      <c r="L289" s="171"/>
      <c r="M289" s="172"/>
    </row>
    <row r="290" spans="1:13" hidden="1" x14ac:dyDescent="0.25">
      <c r="A290" s="100" t="str">
        <f t="shared" si="39"/>
        <v>GENERAL SERVICE 1,000 TO 4,999 KW SERVICE CLASSIFICATION</v>
      </c>
      <c r="B290" s="100" t="s">
        <v>180</v>
      </c>
      <c r="C290" s="117"/>
      <c r="D290" s="173" t="s">
        <v>188</v>
      </c>
      <c r="E290" s="158"/>
      <c r="F290" s="174"/>
      <c r="G290" s="175"/>
      <c r="H290" s="176">
        <f>SUM(H282,H275:H278,H274)</f>
        <v>212153.19999999998</v>
      </c>
      <c r="I290" s="177"/>
      <c r="J290" s="177"/>
      <c r="K290" s="176">
        <f>SUM(K282,K275:K278,K274)</f>
        <v>234166.81965823969</v>
      </c>
      <c r="L290" s="178">
        <f>K290-H290</f>
        <v>22013.61965823971</v>
      </c>
      <c r="M290" s="179">
        <f>IF((H290)=0,"",(L290/H290))</f>
        <v>0.10376284523749682</v>
      </c>
    </row>
    <row r="291" spans="1:13" hidden="1" x14ac:dyDescent="0.25">
      <c r="A291" s="100" t="str">
        <f t="shared" si="39"/>
        <v>GENERAL SERVICE 1,000 TO 4,999 KW SERVICE CLASSIFICATION</v>
      </c>
      <c r="B291" s="100" t="s">
        <v>180</v>
      </c>
      <c r="C291" s="117"/>
      <c r="D291" s="180" t="s">
        <v>184</v>
      </c>
      <c r="E291" s="158"/>
      <c r="F291" s="174">
        <v>0.13</v>
      </c>
      <c r="G291" s="175"/>
      <c r="H291" s="182">
        <f>H290*F291</f>
        <v>27579.915999999997</v>
      </c>
      <c r="I291" s="174">
        <v>0.13</v>
      </c>
      <c r="J291" s="183"/>
      <c r="K291" s="182">
        <f>K290*I291</f>
        <v>30441.686555571159</v>
      </c>
      <c r="L291" s="184">
        <f>K291-H291</f>
        <v>2861.7705555711618</v>
      </c>
      <c r="M291" s="185">
        <f>IF((H291)=0,"",(L291/H291))</f>
        <v>0.10376284523749681</v>
      </c>
    </row>
    <row r="292" spans="1:13" hidden="1" x14ac:dyDescent="0.25">
      <c r="A292" s="100" t="str">
        <f t="shared" si="39"/>
        <v>GENERAL SERVICE 1,000 TO 4,999 KW SERVICE CLASSIFICATION</v>
      </c>
      <c r="B292" s="100" t="s">
        <v>180</v>
      </c>
      <c r="C292" s="117"/>
      <c r="D292" s="180" t="s">
        <v>185</v>
      </c>
      <c r="E292" s="158"/>
      <c r="F292" s="174">
        <v>0.08</v>
      </c>
      <c r="G292" s="175"/>
      <c r="H292" s="182">
        <v>0</v>
      </c>
      <c r="I292" s="174">
        <v>0.08</v>
      </c>
      <c r="J292" s="183"/>
      <c r="K292" s="182">
        <v>0</v>
      </c>
      <c r="L292" s="184"/>
      <c r="M292" s="185"/>
    </row>
    <row r="293" spans="1:13" ht="15.75" hidden="1" thickBot="1" x14ac:dyDescent="0.3">
      <c r="A293" s="100" t="str">
        <f t="shared" si="39"/>
        <v>GENERAL SERVICE 1,000 TO 4,999 KW SERVICE CLASSIFICATION</v>
      </c>
      <c r="B293" s="100" t="s">
        <v>189</v>
      </c>
      <c r="C293" s="117"/>
      <c r="D293" s="301" t="s">
        <v>188</v>
      </c>
      <c r="E293" s="301"/>
      <c r="F293" s="193"/>
      <c r="G293" s="194"/>
      <c r="H293" s="188">
        <f>SUM(H290,H291)</f>
        <v>239733.11599999998</v>
      </c>
      <c r="I293" s="195"/>
      <c r="J293" s="195"/>
      <c r="K293" s="188">
        <f>SUM(K290,K291)</f>
        <v>264608.50621381088</v>
      </c>
      <c r="L293" s="196">
        <f>K293-H293</f>
        <v>24875.390213810897</v>
      </c>
      <c r="M293" s="197">
        <f>IF((H293)=0,"",(L293/H293))</f>
        <v>0.10376284523749693</v>
      </c>
    </row>
    <row r="294" spans="1:13" ht="15.75" hidden="1" thickBot="1" x14ac:dyDescent="0.3">
      <c r="A294" s="100" t="str">
        <f t="shared" si="39"/>
        <v>GENERAL SERVICE 1,000 TO 4,999 KW SERVICE CLASSIFICATION</v>
      </c>
      <c r="B294" s="100" t="s">
        <v>180</v>
      </c>
      <c r="C294" s="117"/>
      <c r="D294" s="165"/>
      <c r="E294" s="166"/>
      <c r="F294" s="198"/>
      <c r="G294" s="199"/>
      <c r="H294" s="200"/>
      <c r="I294" s="198"/>
      <c r="J294" s="168"/>
      <c r="K294" s="200"/>
      <c r="L294" s="201"/>
      <c r="M294" s="172"/>
    </row>
    <row r="295" spans="1:13" x14ac:dyDescent="0.25">
      <c r="A295" s="100" t="str">
        <f t="shared" si="39"/>
        <v>GENERAL SERVICE 1,000 TO 4,999 KW SERVICE CLASSIFICATION</v>
      </c>
      <c r="B295" s="100" t="s">
        <v>121</v>
      </c>
      <c r="C295" s="117"/>
      <c r="D295" s="173" t="s">
        <v>190</v>
      </c>
      <c r="E295" s="158"/>
      <c r="F295" s="174"/>
      <c r="G295" s="175"/>
      <c r="H295" s="176">
        <f>SUM(H283,H275:H278,H274)</f>
        <v>212153.19999999998</v>
      </c>
      <c r="I295" s="177"/>
      <c r="J295" s="177"/>
      <c r="K295" s="176">
        <f>SUM(K283,K275:K278,K274)</f>
        <v>234166.81965823969</v>
      </c>
      <c r="L295" s="178">
        <f>K295-H295</f>
        <v>22013.61965823971</v>
      </c>
      <c r="M295" s="179">
        <f>IF((H295)=0,"",(L295/H295))</f>
        <v>0.10376284523749682</v>
      </c>
    </row>
    <row r="296" spans="1:13" x14ac:dyDescent="0.25">
      <c r="A296" s="100" t="str">
        <f t="shared" si="39"/>
        <v>GENERAL SERVICE 1,000 TO 4,999 KW SERVICE CLASSIFICATION</v>
      </c>
      <c r="B296" s="100" t="s">
        <v>121</v>
      </c>
      <c r="C296" s="117"/>
      <c r="D296" s="180" t="s">
        <v>184</v>
      </c>
      <c r="E296" s="158"/>
      <c r="F296" s="174">
        <v>0.13</v>
      </c>
      <c r="G296" s="175"/>
      <c r="H296" s="182">
        <f>H295*F296</f>
        <v>27579.915999999997</v>
      </c>
      <c r="I296" s="174">
        <v>0.13</v>
      </c>
      <c r="J296" s="183"/>
      <c r="K296" s="182">
        <f>K295*I296</f>
        <v>30441.686555571159</v>
      </c>
      <c r="L296" s="184">
        <f>K296-H296</f>
        <v>2861.7705555711618</v>
      </c>
      <c r="M296" s="185">
        <f>IF((H296)=0,"",(L296/H296))</f>
        <v>0.10376284523749681</v>
      </c>
    </row>
    <row r="297" spans="1:13" x14ac:dyDescent="0.25">
      <c r="A297" s="100" t="str">
        <f t="shared" si="39"/>
        <v>GENERAL SERVICE 1,000 TO 4,999 KW SERVICE CLASSIFICATION</v>
      </c>
      <c r="B297" s="100" t="s">
        <v>121</v>
      </c>
      <c r="C297" s="117"/>
      <c r="D297" s="180" t="s">
        <v>185</v>
      </c>
      <c r="E297" s="158"/>
      <c r="F297" s="174">
        <v>0.08</v>
      </c>
      <c r="G297" s="175"/>
      <c r="H297" s="182">
        <v>0</v>
      </c>
      <c r="I297" s="174">
        <v>0.08</v>
      </c>
      <c r="J297" s="183"/>
      <c r="K297" s="182">
        <v>0</v>
      </c>
      <c r="L297" s="184"/>
      <c r="M297" s="185"/>
    </row>
    <row r="298" spans="1:13" ht="15.75" thickBot="1" x14ac:dyDescent="0.3">
      <c r="A298" s="100" t="str">
        <f t="shared" si="39"/>
        <v>GENERAL SERVICE 1,000 TO 4,999 KW SERVICE CLASSIFICATION</v>
      </c>
      <c r="B298" s="100" t="s">
        <v>191</v>
      </c>
      <c r="C298" s="117">
        <f>B33</f>
        <v>4</v>
      </c>
      <c r="D298" s="301" t="s">
        <v>190</v>
      </c>
      <c r="E298" s="301"/>
      <c r="F298" s="193"/>
      <c r="G298" s="194"/>
      <c r="H298" s="188">
        <f>SUM(H295,H296)</f>
        <v>239733.11599999998</v>
      </c>
      <c r="I298" s="195"/>
      <c r="J298" s="195"/>
      <c r="K298" s="188">
        <f>SUM(K295,K296)</f>
        <v>264608.50621381088</v>
      </c>
      <c r="L298" s="196">
        <f>K298-H298</f>
        <v>24875.390213810897</v>
      </c>
      <c r="M298" s="197">
        <f>IF((H298)=0,"",(L298/H298))</f>
        <v>0.10376284523749693</v>
      </c>
    </row>
    <row r="299" spans="1:13" ht="15.75" thickBot="1" x14ac:dyDescent="0.3">
      <c r="A299" s="100" t="str">
        <f t="shared" si="39"/>
        <v>GENERAL SERVICE 1,000 TO 4,999 KW SERVICE CLASSIFICATION</v>
      </c>
      <c r="B299" s="100" t="s">
        <v>121</v>
      </c>
      <c r="C299" s="117"/>
      <c r="D299" s="165"/>
      <c r="E299" s="166"/>
      <c r="F299" s="202"/>
      <c r="G299" s="203"/>
      <c r="H299" s="204"/>
      <c r="I299" s="202"/>
      <c r="J299" s="205"/>
      <c r="K299" s="204"/>
      <c r="L299" s="206"/>
      <c r="M299" s="207"/>
    </row>
    <row r="302" spans="1:13" x14ac:dyDescent="0.25">
      <c r="C302" s="100"/>
      <c r="D302" s="101" t="s">
        <v>134</v>
      </c>
      <c r="E302" s="302" t="str">
        <f>D34</f>
        <v>UNMETERED SCATTERED LOAD SERVICE CLASSIFICATION</v>
      </c>
      <c r="F302" s="302"/>
      <c r="G302" s="302"/>
      <c r="H302" s="302"/>
      <c r="I302" s="302"/>
      <c r="J302" s="302"/>
      <c r="K302" s="100" t="str">
        <f>IF(N34="DEMAND - INTERVAL","RTSR - INTERVAL METERED","")</f>
        <v/>
      </c>
    </row>
    <row r="303" spans="1:13" x14ac:dyDescent="0.25">
      <c r="C303" s="100"/>
      <c r="D303" s="101" t="s">
        <v>135</v>
      </c>
      <c r="E303" s="303" t="str">
        <f>H34</f>
        <v>RPP</v>
      </c>
      <c r="F303" s="303"/>
      <c r="G303" s="303"/>
      <c r="H303" s="102"/>
      <c r="I303" s="102"/>
    </row>
    <row r="304" spans="1:13" ht="15.75" x14ac:dyDescent="0.25">
      <c r="C304" s="100"/>
      <c r="D304" s="101" t="s">
        <v>136</v>
      </c>
      <c r="E304" s="103">
        <f>K34</f>
        <v>150</v>
      </c>
      <c r="F304" s="104" t="s">
        <v>137</v>
      </c>
      <c r="G304" s="105"/>
      <c r="J304" s="106"/>
      <c r="K304" s="106"/>
      <c r="L304" s="106"/>
      <c r="M304" s="106"/>
    </row>
    <row r="305" spans="1:13" ht="15.75" x14ac:dyDescent="0.25">
      <c r="C305" s="100"/>
      <c r="D305" s="101" t="s">
        <v>138</v>
      </c>
      <c r="E305" s="103">
        <f>L34</f>
        <v>0</v>
      </c>
      <c r="F305" s="107" t="s">
        <v>139</v>
      </c>
      <c r="G305" s="108"/>
      <c r="H305" s="109"/>
      <c r="I305" s="109"/>
      <c r="J305" s="109"/>
    </row>
    <row r="306" spans="1:13" x14ac:dyDescent="0.25">
      <c r="C306" s="100"/>
      <c r="D306" s="101" t="s">
        <v>140</v>
      </c>
      <c r="E306" s="110">
        <f>I34</f>
        <v>1.056</v>
      </c>
    </row>
    <row r="307" spans="1:13" x14ac:dyDescent="0.25">
      <c r="C307" s="100"/>
      <c r="D307" s="101" t="s">
        <v>141</v>
      </c>
      <c r="E307" s="110">
        <f>J34</f>
        <v>1.056</v>
      </c>
    </row>
    <row r="308" spans="1:13" x14ac:dyDescent="0.25">
      <c r="C308" s="100"/>
      <c r="D308" s="105"/>
    </row>
    <row r="309" spans="1:13" x14ac:dyDescent="0.25">
      <c r="C309" s="100"/>
      <c r="D309" s="105"/>
      <c r="E309" s="111"/>
      <c r="F309" s="304" t="s">
        <v>142</v>
      </c>
      <c r="G309" s="305"/>
      <c r="H309" s="306"/>
      <c r="I309" s="304" t="s">
        <v>143</v>
      </c>
      <c r="J309" s="305"/>
      <c r="K309" s="306"/>
      <c r="L309" s="304" t="s">
        <v>144</v>
      </c>
      <c r="M309" s="306"/>
    </row>
    <row r="310" spans="1:13" x14ac:dyDescent="0.25">
      <c r="C310" s="100"/>
      <c r="D310" s="105"/>
      <c r="E310" s="295"/>
      <c r="F310" s="112" t="s">
        <v>145</v>
      </c>
      <c r="G310" s="112" t="s">
        <v>146</v>
      </c>
      <c r="H310" s="113" t="s">
        <v>147</v>
      </c>
      <c r="I310" s="112" t="s">
        <v>145</v>
      </c>
      <c r="J310" s="114" t="s">
        <v>146</v>
      </c>
      <c r="K310" s="113" t="s">
        <v>147</v>
      </c>
      <c r="L310" s="297" t="s">
        <v>148</v>
      </c>
      <c r="M310" s="299" t="s">
        <v>149</v>
      </c>
    </row>
    <row r="311" spans="1:13" x14ac:dyDescent="0.25">
      <c r="C311" s="100"/>
      <c r="D311" s="105"/>
      <c r="E311" s="296"/>
      <c r="F311" s="115" t="s">
        <v>150</v>
      </c>
      <c r="G311" s="115"/>
      <c r="H311" s="116" t="s">
        <v>150</v>
      </c>
      <c r="I311" s="115" t="s">
        <v>150</v>
      </c>
      <c r="J311" s="116"/>
      <c r="K311" s="116" t="s">
        <v>150</v>
      </c>
      <c r="L311" s="298"/>
      <c r="M311" s="300"/>
    </row>
    <row r="312" spans="1:13" x14ac:dyDescent="0.25">
      <c r="A312" s="100" t="str">
        <f>$E302</f>
        <v>UNMETERED SCATTERED LOAD SERVICE CLASSIFICATION</v>
      </c>
      <c r="C312" s="117"/>
      <c r="D312" s="118" t="s">
        <v>151</v>
      </c>
      <c r="E312" s="119"/>
      <c r="F312" s="120">
        <v>7.97</v>
      </c>
      <c r="G312" s="121">
        <v>1</v>
      </c>
      <c r="H312" s="122">
        <f>G312*F312</f>
        <v>7.97</v>
      </c>
      <c r="I312" s="123">
        <v>8.07</v>
      </c>
      <c r="J312" s="124">
        <f>G312</f>
        <v>1</v>
      </c>
      <c r="K312" s="122">
        <f>J312*I312</f>
        <v>8.07</v>
      </c>
      <c r="L312" s="125">
        <f t="shared" ref="L312:L333" si="44">K312-H312</f>
        <v>0.10000000000000053</v>
      </c>
      <c r="M312" s="126">
        <f>IF(ISERROR(L312/H312), "", L312/H312)</f>
        <v>1.2547051442910984E-2</v>
      </c>
    </row>
    <row r="313" spans="1:13" x14ac:dyDescent="0.25">
      <c r="A313" s="100" t="str">
        <f>A312</f>
        <v>UNMETERED SCATTERED LOAD SERVICE CLASSIFICATION</v>
      </c>
      <c r="C313" s="117"/>
      <c r="D313" s="118" t="s">
        <v>152</v>
      </c>
      <c r="E313" s="119"/>
      <c r="F313" s="127">
        <v>5.4000000000000003E-3</v>
      </c>
      <c r="G313" s="121">
        <f>IF($E305&gt;0, $E305, $E304)</f>
        <v>150</v>
      </c>
      <c r="H313" s="122">
        <f t="shared" ref="H313:H325" si="45">G313*F313</f>
        <v>0.81</v>
      </c>
      <c r="I313" s="128">
        <v>5.4999999999999997E-3</v>
      </c>
      <c r="J313" s="124">
        <f>IF($E305&gt;0, $E305, $E304)</f>
        <v>150</v>
      </c>
      <c r="K313" s="122">
        <f>J313*I313</f>
        <v>0.82499999999999996</v>
      </c>
      <c r="L313" s="125">
        <f t="shared" si="44"/>
        <v>1.4999999999999902E-2</v>
      </c>
      <c r="M313" s="126">
        <f t="shared" ref="M313:M323" si="46">IF(ISERROR(L313/H313), "", L313/H313)</f>
        <v>1.8518518518518396E-2</v>
      </c>
    </row>
    <row r="314" spans="1:13" x14ac:dyDescent="0.25">
      <c r="A314" s="100" t="str">
        <f t="shared" ref="A314:A355" si="47">A313</f>
        <v>UNMETERED SCATTERED LOAD SERVICE CLASSIFICATION</v>
      </c>
      <c r="C314" s="117"/>
      <c r="D314" s="118" t="s">
        <v>153</v>
      </c>
      <c r="E314" s="119"/>
      <c r="F314" s="127"/>
      <c r="G314" s="121"/>
      <c r="H314" s="122">
        <v>0</v>
      </c>
      <c r="I314" s="128"/>
      <c r="J314" s="124">
        <f>IF($E305&gt;0, $E305, $E304)</f>
        <v>150</v>
      </c>
      <c r="K314" s="122">
        <v>0</v>
      </c>
      <c r="L314" s="125"/>
      <c r="M314" s="126"/>
    </row>
    <row r="315" spans="1:13" x14ac:dyDescent="0.25">
      <c r="A315" s="100" t="str">
        <f t="shared" si="47"/>
        <v>UNMETERED SCATTERED LOAD SERVICE CLASSIFICATION</v>
      </c>
      <c r="C315" s="117"/>
      <c r="D315" s="118" t="s">
        <v>154</v>
      </c>
      <c r="E315" s="119"/>
      <c r="F315" s="127"/>
      <c r="G315" s="121">
        <f>IF($E305&gt;0, $E305, $E304)</f>
        <v>150</v>
      </c>
      <c r="H315" s="122">
        <v>0</v>
      </c>
      <c r="I315" s="128"/>
      <c r="J315" s="121">
        <f>IF($E305&gt;0, $E305, $E304)</f>
        <v>150</v>
      </c>
      <c r="K315" s="122">
        <v>0</v>
      </c>
      <c r="L315" s="125">
        <f>K315-H315</f>
        <v>0</v>
      </c>
      <c r="M315" s="126" t="str">
        <f>IF(ISERROR(L315/H315), "", L315/H315)</f>
        <v/>
      </c>
    </row>
    <row r="316" spans="1:13" x14ac:dyDescent="0.25">
      <c r="A316" s="100" t="str">
        <f t="shared" si="47"/>
        <v>UNMETERED SCATTERED LOAD SERVICE CLASSIFICATION</v>
      </c>
      <c r="C316" s="117"/>
      <c r="D316" s="129" t="s">
        <v>155</v>
      </c>
      <c r="E316" s="119"/>
      <c r="F316" s="120">
        <v>0</v>
      </c>
      <c r="G316" s="121">
        <v>1</v>
      </c>
      <c r="H316" s="122">
        <f t="shared" si="45"/>
        <v>0</v>
      </c>
      <c r="I316" s="226">
        <f>'Rate Riders'!O12</f>
        <v>1.4119050955980124</v>
      </c>
      <c r="J316" s="124">
        <f>G316</f>
        <v>1</v>
      </c>
      <c r="K316" s="122">
        <f t="shared" ref="K316:K323" si="48">J316*I316</f>
        <v>1.4119050955980124</v>
      </c>
      <c r="L316" s="125">
        <f t="shared" si="44"/>
        <v>1.4119050955980124</v>
      </c>
      <c r="M316" s="126" t="str">
        <f t="shared" si="46"/>
        <v/>
      </c>
    </row>
    <row r="317" spans="1:13" x14ac:dyDescent="0.25">
      <c r="A317" s="100" t="str">
        <f t="shared" si="47"/>
        <v>UNMETERED SCATTERED LOAD SERVICE CLASSIFICATION</v>
      </c>
      <c r="C317" s="117"/>
      <c r="D317" s="118" t="s">
        <v>156</v>
      </c>
      <c r="E317" s="119"/>
      <c r="F317" s="127">
        <v>0</v>
      </c>
      <c r="G317" s="121">
        <f>IF($E305&gt;0, $E305, $E304)</f>
        <v>150</v>
      </c>
      <c r="H317" s="122">
        <f t="shared" si="45"/>
        <v>0</v>
      </c>
      <c r="I317" s="227">
        <f>'Rate Riders'!P12</f>
        <v>9.5662327681672122E-4</v>
      </c>
      <c r="J317" s="124">
        <f>IF($E305&gt;0, $E305, $E304)</f>
        <v>150</v>
      </c>
      <c r="K317" s="122">
        <f t="shared" si="48"/>
        <v>0.14349349152250818</v>
      </c>
      <c r="L317" s="125">
        <f t="shared" si="44"/>
        <v>0.14349349152250818</v>
      </c>
      <c r="M317" s="126" t="str">
        <f t="shared" si="46"/>
        <v/>
      </c>
    </row>
    <row r="318" spans="1:13" x14ac:dyDescent="0.25">
      <c r="A318" s="100" t="str">
        <f t="shared" si="47"/>
        <v>UNMETERED SCATTERED LOAD SERVICE CLASSIFICATION</v>
      </c>
      <c r="B318" s="130" t="s">
        <v>157</v>
      </c>
      <c r="C318" s="117">
        <f>B34</f>
        <v>5</v>
      </c>
      <c r="D318" s="131" t="s">
        <v>158</v>
      </c>
      <c r="E318" s="132"/>
      <c r="F318" s="133"/>
      <c r="G318" s="134"/>
      <c r="H318" s="135">
        <f>SUM(H312:H317)</f>
        <v>8.7799999999999994</v>
      </c>
      <c r="I318" s="136"/>
      <c r="J318" s="137"/>
      <c r="K318" s="135">
        <f>SUM(K312:K317)</f>
        <v>10.450398587120519</v>
      </c>
      <c r="L318" s="138">
        <f t="shared" si="44"/>
        <v>1.6703985871205198</v>
      </c>
      <c r="M318" s="139">
        <f>IF((H318)=0,"",(L318/H318))</f>
        <v>0.19025040855586786</v>
      </c>
    </row>
    <row r="319" spans="1:13" x14ac:dyDescent="0.25">
      <c r="A319" s="100" t="str">
        <f t="shared" si="47"/>
        <v>UNMETERED SCATTERED LOAD SERVICE CLASSIFICATION</v>
      </c>
      <c r="C319" s="117"/>
      <c r="D319" s="140" t="s">
        <v>159</v>
      </c>
      <c r="E319" s="119"/>
      <c r="F319" s="127">
        <f>IF((E304*12&gt;=150000), 0, IF(E303="RPP",(F335*0.65+F336*0.17+F337*0.18),IF(E303="Non-RPP (Retailer)",F338,F339)))</f>
        <v>8.1990000000000007E-2</v>
      </c>
      <c r="G319" s="141">
        <f>IF(F319=0, 0, $E304*E306-E304)</f>
        <v>8.4000000000000057</v>
      </c>
      <c r="H319" s="122">
        <f>G319*F319</f>
        <v>0.68871600000000055</v>
      </c>
      <c r="I319" s="128">
        <f>IF((E304*12&gt;=150000), 0, IF(E303="RPP",(I335*0.65+I336*0.17+I337*0.18),IF(E303="Non-RPP (Retailer)",I338,I339)))</f>
        <v>8.1990000000000007E-2</v>
      </c>
      <c r="J319" s="141">
        <f>IF(I319=0, 0, E304*E307-E304)</f>
        <v>8.4000000000000057</v>
      </c>
      <c r="K319" s="122">
        <f>J319*I319</f>
        <v>0.68871600000000055</v>
      </c>
      <c r="L319" s="125">
        <f>K319-H319</f>
        <v>0</v>
      </c>
      <c r="M319" s="126">
        <f>IF(ISERROR(L319/H319), "", L319/H319)</f>
        <v>0</v>
      </c>
    </row>
    <row r="320" spans="1:13" ht="25.5" x14ac:dyDescent="0.25">
      <c r="A320" s="100" t="str">
        <f t="shared" si="47"/>
        <v>UNMETERED SCATTERED LOAD SERVICE CLASSIFICATION</v>
      </c>
      <c r="C320" s="117"/>
      <c r="D320" s="140" t="s">
        <v>160</v>
      </c>
      <c r="E320" s="119"/>
      <c r="F320" s="127">
        <v>-1.1999999999999999E-3</v>
      </c>
      <c r="G320" s="142">
        <f>IF($E305&gt;0, $E305, $E304)</f>
        <v>150</v>
      </c>
      <c r="H320" s="122">
        <f t="shared" si="45"/>
        <v>-0.18</v>
      </c>
      <c r="I320" s="128">
        <v>-5.3E-3</v>
      </c>
      <c r="J320" s="142">
        <f>IF($E305&gt;0, $E305, $E304)</f>
        <v>150</v>
      </c>
      <c r="K320" s="122">
        <f t="shared" si="48"/>
        <v>-0.79500000000000004</v>
      </c>
      <c r="L320" s="125">
        <f t="shared" si="44"/>
        <v>-0.61499999999999999</v>
      </c>
      <c r="M320" s="126">
        <f t="shared" si="46"/>
        <v>3.416666666666667</v>
      </c>
    </row>
    <row r="321" spans="1:13" x14ac:dyDescent="0.25">
      <c r="A321" s="100" t="str">
        <f t="shared" si="47"/>
        <v>UNMETERED SCATTERED LOAD SERVICE CLASSIFICATION</v>
      </c>
      <c r="C321" s="117"/>
      <c r="D321" s="140" t="s">
        <v>161</v>
      </c>
      <c r="E321" s="119"/>
      <c r="F321" s="127">
        <v>-1E-4</v>
      </c>
      <c r="G321" s="142">
        <f>IF($E305&gt;0, $E305, $E304)</f>
        <v>150</v>
      </c>
      <c r="H321" s="122">
        <f>G321*F321</f>
        <v>-1.5000000000000001E-2</v>
      </c>
      <c r="I321" s="128">
        <v>0</v>
      </c>
      <c r="J321" s="142">
        <f>IF($E305&gt;0, $E305, $E304)</f>
        <v>150</v>
      </c>
      <c r="K321" s="122">
        <f>J321*I321</f>
        <v>0</v>
      </c>
      <c r="L321" s="125">
        <f t="shared" si="44"/>
        <v>1.5000000000000001E-2</v>
      </c>
      <c r="M321" s="126">
        <f t="shared" si="46"/>
        <v>-1</v>
      </c>
    </row>
    <row r="322" spans="1:13" x14ac:dyDescent="0.25">
      <c r="A322" s="100" t="str">
        <f t="shared" si="47"/>
        <v>UNMETERED SCATTERED LOAD SERVICE CLASSIFICATION</v>
      </c>
      <c r="C322" s="117"/>
      <c r="D322" s="140" t="s">
        <v>162</v>
      </c>
      <c r="E322" s="119"/>
      <c r="F322" s="127">
        <v>0</v>
      </c>
      <c r="G322" s="142">
        <f>E304</f>
        <v>150</v>
      </c>
      <c r="H322" s="122">
        <f>G322*F322</f>
        <v>0</v>
      </c>
      <c r="I322" s="128">
        <v>0</v>
      </c>
      <c r="J322" s="142">
        <f>E304</f>
        <v>150</v>
      </c>
      <c r="K322" s="122">
        <f t="shared" si="48"/>
        <v>0</v>
      </c>
      <c r="L322" s="125">
        <f t="shared" si="44"/>
        <v>0</v>
      </c>
      <c r="M322" s="126" t="str">
        <f t="shared" si="46"/>
        <v/>
      </c>
    </row>
    <row r="323" spans="1:13" x14ac:dyDescent="0.25">
      <c r="A323" s="100" t="str">
        <f t="shared" si="47"/>
        <v>UNMETERED SCATTERED LOAD SERVICE CLASSIFICATION</v>
      </c>
      <c r="C323" s="117"/>
      <c r="D323" s="143" t="s">
        <v>163</v>
      </c>
      <c r="E323" s="119"/>
      <c r="F323" s="127">
        <v>2.3999999999999998E-3</v>
      </c>
      <c r="G323" s="142">
        <f>IF($E305&gt;0, $E305, $E304)</f>
        <v>150</v>
      </c>
      <c r="H323" s="122">
        <f t="shared" si="45"/>
        <v>0.36</v>
      </c>
      <c r="I323" s="128">
        <v>2.3999999999999998E-3</v>
      </c>
      <c r="J323" s="142">
        <f>IF($E305&gt;0, $E305, $E304)</f>
        <v>150</v>
      </c>
      <c r="K323" s="122">
        <f t="shared" si="48"/>
        <v>0.36</v>
      </c>
      <c r="L323" s="125">
        <f t="shared" si="44"/>
        <v>0</v>
      </c>
      <c r="M323" s="126">
        <f t="shared" si="46"/>
        <v>0</v>
      </c>
    </row>
    <row r="324" spans="1:13" ht="25.5" x14ac:dyDescent="0.25">
      <c r="A324" s="100" t="str">
        <f t="shared" si="47"/>
        <v>UNMETERED SCATTERED LOAD SERVICE CLASSIFICATION</v>
      </c>
      <c r="C324" s="117"/>
      <c r="D324" s="144" t="s">
        <v>164</v>
      </c>
      <c r="E324" s="119"/>
      <c r="F324" s="145">
        <f>IF(OR(ISNUMBER(SEARCH("RESIDENTIAL", E302))=TRUE, ISNUMBER(SEARCH("GENERAL SERVICE LESS THAN 50", E302))=TRUE), SME, 0)</f>
        <v>0</v>
      </c>
      <c r="G324" s="121">
        <v>1</v>
      </c>
      <c r="H324" s="122">
        <f>G324*F324</f>
        <v>0</v>
      </c>
      <c r="I324" s="146">
        <f>IF(OR(ISNUMBER(SEARCH("RESIDENTIAL", E302))=TRUE, ISNUMBER(SEARCH("GENERAL SERVICE LESS THAN 50", E302))=TRUE), SME, 0)</f>
        <v>0</v>
      </c>
      <c r="J324" s="121">
        <v>1</v>
      </c>
      <c r="K324" s="122">
        <f>J324*I324</f>
        <v>0</v>
      </c>
      <c r="L324" s="125">
        <f t="shared" si="44"/>
        <v>0</v>
      </c>
      <c r="M324" s="126" t="str">
        <f>IF(ISERROR(L324/H324), "", L324/H324)</f>
        <v/>
      </c>
    </row>
    <row r="325" spans="1:13" x14ac:dyDescent="0.25">
      <c r="A325" s="100" t="str">
        <f t="shared" si="47"/>
        <v>UNMETERED SCATTERED LOAD SERVICE CLASSIFICATION</v>
      </c>
      <c r="C325" s="117"/>
      <c r="D325" s="143" t="s">
        <v>165</v>
      </c>
      <c r="E325" s="119"/>
      <c r="F325" s="120">
        <v>0</v>
      </c>
      <c r="G325" s="121">
        <v>1</v>
      </c>
      <c r="H325" s="122">
        <f t="shared" si="45"/>
        <v>0</v>
      </c>
      <c r="I325" s="123">
        <v>0</v>
      </c>
      <c r="J325" s="121">
        <v>1</v>
      </c>
      <c r="K325" s="122">
        <f>J325*I325</f>
        <v>0</v>
      </c>
      <c r="L325" s="125">
        <f>K325-H325</f>
        <v>0</v>
      </c>
      <c r="M325" s="126" t="str">
        <f>IF(ISERROR(L325/H325), "", L325/H325)</f>
        <v/>
      </c>
    </row>
    <row r="326" spans="1:13" x14ac:dyDescent="0.25">
      <c r="A326" s="100" t="str">
        <f t="shared" si="47"/>
        <v>UNMETERED SCATTERED LOAD SERVICE CLASSIFICATION</v>
      </c>
      <c r="C326" s="117"/>
      <c r="D326" s="143" t="s">
        <v>166</v>
      </c>
      <c r="E326" s="119"/>
      <c r="F326" s="127"/>
      <c r="G326" s="142">
        <f>IF($E305&gt;0, $E305, $E304)</f>
        <v>150</v>
      </c>
      <c r="H326" s="122">
        <f>G326*F326</f>
        <v>0</v>
      </c>
      <c r="I326" s="128">
        <v>0</v>
      </c>
      <c r="J326" s="142">
        <f>IF($E305&gt;0, $E305, $E304)</f>
        <v>150</v>
      </c>
      <c r="K326" s="122">
        <f>J326*I326</f>
        <v>0</v>
      </c>
      <c r="L326" s="125">
        <f t="shared" si="44"/>
        <v>0</v>
      </c>
      <c r="M326" s="126" t="str">
        <f>IF(ISERROR(L326/H326), "", L326/H326)</f>
        <v/>
      </c>
    </row>
    <row r="327" spans="1:13" ht="25.5" x14ac:dyDescent="0.25">
      <c r="A327" s="100" t="str">
        <f t="shared" si="47"/>
        <v>UNMETERED SCATTERED LOAD SERVICE CLASSIFICATION</v>
      </c>
      <c r="B327" s="105" t="s">
        <v>167</v>
      </c>
      <c r="C327" s="117">
        <f>B34</f>
        <v>5</v>
      </c>
      <c r="D327" s="147" t="s">
        <v>168</v>
      </c>
      <c r="E327" s="148"/>
      <c r="F327" s="149"/>
      <c r="G327" s="150"/>
      <c r="H327" s="151">
        <f>SUM(H318:H326)</f>
        <v>9.6337159999999997</v>
      </c>
      <c r="I327" s="152"/>
      <c r="J327" s="153"/>
      <c r="K327" s="151">
        <f>SUM(K318:K326)</f>
        <v>10.70411458712052</v>
      </c>
      <c r="L327" s="138">
        <f t="shared" si="44"/>
        <v>1.0703985871205202</v>
      </c>
      <c r="M327" s="139">
        <f>IF((H327)=0,"",(L327/H327))</f>
        <v>0.11110962655744888</v>
      </c>
    </row>
    <row r="328" spans="1:13" x14ac:dyDescent="0.25">
      <c r="A328" s="100" t="str">
        <f t="shared" si="47"/>
        <v>UNMETERED SCATTERED LOAD SERVICE CLASSIFICATION</v>
      </c>
      <c r="C328" s="117"/>
      <c r="D328" s="154" t="s">
        <v>169</v>
      </c>
      <c r="E328" s="119"/>
      <c r="F328" s="127">
        <v>6.0000000000000001E-3</v>
      </c>
      <c r="G328" s="141">
        <f>IF($E305&gt;0, $E305, $E304*$E306)</f>
        <v>158.4</v>
      </c>
      <c r="H328" s="122">
        <f>G328*F328</f>
        <v>0.95040000000000002</v>
      </c>
      <c r="I328" s="128">
        <v>5.7000000000000002E-3</v>
      </c>
      <c r="J328" s="141">
        <f>IF($E305&gt;0, $E305, $E304*$E307)</f>
        <v>158.4</v>
      </c>
      <c r="K328" s="122">
        <f>J328*I328</f>
        <v>0.90288000000000002</v>
      </c>
      <c r="L328" s="125">
        <f t="shared" si="44"/>
        <v>-4.7520000000000007E-2</v>
      </c>
      <c r="M328" s="126">
        <f>IF(ISERROR(L328/H328), "", L328/H328)</f>
        <v>-0.05</v>
      </c>
    </row>
    <row r="329" spans="1:13" ht="25.5" x14ac:dyDescent="0.25">
      <c r="A329" s="100" t="str">
        <f t="shared" si="47"/>
        <v>UNMETERED SCATTERED LOAD SERVICE CLASSIFICATION</v>
      </c>
      <c r="C329" s="117"/>
      <c r="D329" s="155" t="s">
        <v>170</v>
      </c>
      <c r="E329" s="119"/>
      <c r="F329" s="127">
        <v>5.3E-3</v>
      </c>
      <c r="G329" s="141">
        <f>IF($E305&gt;0, $E305, $E304*$E306)</f>
        <v>158.4</v>
      </c>
      <c r="H329" s="122">
        <f>G329*F329</f>
        <v>0.83952000000000004</v>
      </c>
      <c r="I329" s="128">
        <v>5.0000000000000001E-3</v>
      </c>
      <c r="J329" s="141">
        <f>IF($E305&gt;0, $E305, $E304*$E307)</f>
        <v>158.4</v>
      </c>
      <c r="K329" s="122">
        <f>J329*I329</f>
        <v>0.79200000000000004</v>
      </c>
      <c r="L329" s="125">
        <f t="shared" si="44"/>
        <v>-4.7520000000000007E-2</v>
      </c>
      <c r="M329" s="126">
        <f>IF(ISERROR(L329/H329), "", L329/H329)</f>
        <v>-5.6603773584905669E-2</v>
      </c>
    </row>
    <row r="330" spans="1:13" ht="25.5" x14ac:dyDescent="0.25">
      <c r="A330" s="100" t="str">
        <f t="shared" si="47"/>
        <v>UNMETERED SCATTERED LOAD SERVICE CLASSIFICATION</v>
      </c>
      <c r="B330" s="105" t="s">
        <v>171</v>
      </c>
      <c r="C330" s="117">
        <f>B34</f>
        <v>5</v>
      </c>
      <c r="D330" s="147" t="s">
        <v>172</v>
      </c>
      <c r="E330" s="132"/>
      <c r="F330" s="149"/>
      <c r="G330" s="150"/>
      <c r="H330" s="151">
        <f>SUM(H327:H329)</f>
        <v>11.423636</v>
      </c>
      <c r="I330" s="152"/>
      <c r="J330" s="137"/>
      <c r="K330" s="151">
        <f>SUM(K327:K329)</f>
        <v>12.398994587120519</v>
      </c>
      <c r="L330" s="138">
        <f t="shared" si="44"/>
        <v>0.97535858712051926</v>
      </c>
      <c r="M330" s="139">
        <f>IF((H330)=0,"",(L330/H330))</f>
        <v>8.5380748049090432E-2</v>
      </c>
    </row>
    <row r="331" spans="1:13" ht="25.5" x14ac:dyDescent="0.25">
      <c r="A331" s="100" t="str">
        <f t="shared" si="47"/>
        <v>UNMETERED SCATTERED LOAD SERVICE CLASSIFICATION</v>
      </c>
      <c r="C331" s="117"/>
      <c r="D331" s="156" t="s">
        <v>173</v>
      </c>
      <c r="E331" s="119"/>
      <c r="F331" s="127">
        <v>3.6000000000000003E-3</v>
      </c>
      <c r="G331" s="141">
        <f>E304*E306</f>
        <v>158.4</v>
      </c>
      <c r="H331" s="157">
        <f t="shared" ref="H331:H337" si="49">G331*F331</f>
        <v>0.57024000000000008</v>
      </c>
      <c r="I331" s="128">
        <v>3.6000000000000003E-3</v>
      </c>
      <c r="J331" s="141">
        <f>E304*E307</f>
        <v>158.4</v>
      </c>
      <c r="K331" s="157">
        <f t="shared" ref="K331:K337" si="50">J331*I331</f>
        <v>0.57024000000000008</v>
      </c>
      <c r="L331" s="125">
        <f t="shared" si="44"/>
        <v>0</v>
      </c>
      <c r="M331" s="126">
        <f t="shared" ref="M331:M339" si="51">IF(ISERROR(L331/H331), "", L331/H331)</f>
        <v>0</v>
      </c>
    </row>
    <row r="332" spans="1:13" ht="25.5" x14ac:dyDescent="0.25">
      <c r="A332" s="100" t="str">
        <f t="shared" si="47"/>
        <v>UNMETERED SCATTERED LOAD SERVICE CLASSIFICATION</v>
      </c>
      <c r="C332" s="117"/>
      <c r="D332" s="156" t="s">
        <v>174</v>
      </c>
      <c r="E332" s="119"/>
      <c r="F332" s="127">
        <f>'[1]17. Regulatory Charges'!$D$16</f>
        <v>2.9999999999999997E-4</v>
      </c>
      <c r="G332" s="141">
        <f>E304*E306</f>
        <v>158.4</v>
      </c>
      <c r="H332" s="157">
        <f t="shared" si="49"/>
        <v>4.752E-2</v>
      </c>
      <c r="I332" s="128">
        <v>2.9999999999999997E-4</v>
      </c>
      <c r="J332" s="141">
        <f>E304*E307</f>
        <v>158.4</v>
      </c>
      <c r="K332" s="157">
        <f t="shared" si="50"/>
        <v>4.752E-2</v>
      </c>
      <c r="L332" s="125">
        <f t="shared" si="44"/>
        <v>0</v>
      </c>
      <c r="M332" s="126">
        <f t="shared" si="51"/>
        <v>0</v>
      </c>
    </row>
    <row r="333" spans="1:13" x14ac:dyDescent="0.25">
      <c r="A333" s="100" t="str">
        <f t="shared" si="47"/>
        <v>UNMETERED SCATTERED LOAD SERVICE CLASSIFICATION</v>
      </c>
      <c r="C333" s="117"/>
      <c r="D333" s="158" t="s">
        <v>175</v>
      </c>
      <c r="E333" s="119"/>
      <c r="F333" s="145">
        <v>0.25</v>
      </c>
      <c r="G333" s="121">
        <v>1</v>
      </c>
      <c r="H333" s="157">
        <f t="shared" si="49"/>
        <v>0.25</v>
      </c>
      <c r="I333" s="146">
        <f>'[1]17. Regulatory Charges'!$D$17</f>
        <v>0.25</v>
      </c>
      <c r="J333" s="124">
        <v>1</v>
      </c>
      <c r="K333" s="157">
        <f t="shared" si="50"/>
        <v>0.25</v>
      </c>
      <c r="L333" s="125">
        <f t="shared" si="44"/>
        <v>0</v>
      </c>
      <c r="M333" s="126">
        <f t="shared" si="51"/>
        <v>0</v>
      </c>
    </row>
    <row r="334" spans="1:13" ht="25.5" x14ac:dyDescent="0.25">
      <c r="A334" s="100" t="str">
        <f t="shared" si="47"/>
        <v>UNMETERED SCATTERED LOAD SERVICE CLASSIFICATION</v>
      </c>
      <c r="C334" s="117"/>
      <c r="D334" s="156" t="s">
        <v>176</v>
      </c>
      <c r="E334" s="119"/>
      <c r="F334" s="127"/>
      <c r="G334" s="141"/>
      <c r="H334" s="157"/>
      <c r="I334" s="128"/>
      <c r="J334" s="141"/>
      <c r="K334" s="157"/>
      <c r="L334" s="125"/>
      <c r="M334" s="126"/>
    </row>
    <row r="335" spans="1:13" x14ac:dyDescent="0.25">
      <c r="A335" s="100" t="str">
        <f t="shared" si="47"/>
        <v>UNMETERED SCATTERED LOAD SERVICE CLASSIFICATION</v>
      </c>
      <c r="B335" s="105" t="s">
        <v>117</v>
      </c>
      <c r="C335" s="117"/>
      <c r="D335" s="159" t="s">
        <v>177</v>
      </c>
      <c r="E335" s="119"/>
      <c r="F335" s="160">
        <f>OffPeak</f>
        <v>6.5000000000000002E-2</v>
      </c>
      <c r="G335" s="161">
        <f>IF(AND(E304*12&gt;=150000),0.65*E304*E306,0.65*E304)</f>
        <v>97.5</v>
      </c>
      <c r="H335" s="157">
        <f t="shared" si="49"/>
        <v>6.3375000000000004</v>
      </c>
      <c r="I335" s="162">
        <f>OffPeak</f>
        <v>6.5000000000000002E-2</v>
      </c>
      <c r="J335" s="161">
        <f>IF(AND(E304*12&gt;=150000),0.65*E304*E307,0.65*E304)</f>
        <v>97.5</v>
      </c>
      <c r="K335" s="157">
        <f t="shared" si="50"/>
        <v>6.3375000000000004</v>
      </c>
      <c r="L335" s="125">
        <f>K335-H335</f>
        <v>0</v>
      </c>
      <c r="M335" s="126">
        <f t="shared" si="51"/>
        <v>0</v>
      </c>
    </row>
    <row r="336" spans="1:13" x14ac:dyDescent="0.25">
      <c r="A336" s="100" t="str">
        <f t="shared" si="47"/>
        <v>UNMETERED SCATTERED LOAD SERVICE CLASSIFICATION</v>
      </c>
      <c r="B336" s="105" t="s">
        <v>117</v>
      </c>
      <c r="C336" s="117"/>
      <c r="D336" s="159" t="s">
        <v>178</v>
      </c>
      <c r="E336" s="119"/>
      <c r="F336" s="160">
        <f>MidPeak</f>
        <v>9.4E-2</v>
      </c>
      <c r="G336" s="161">
        <f>IF(AND(E304*12&gt;=150000),0.17*E304*E306,0.17*E304)</f>
        <v>25.500000000000004</v>
      </c>
      <c r="H336" s="157">
        <f t="shared" si="49"/>
        <v>2.3970000000000002</v>
      </c>
      <c r="I336" s="162">
        <f>MidPeak</f>
        <v>9.4E-2</v>
      </c>
      <c r="J336" s="161">
        <f>IF(AND(E304*12&gt;=150000),0.17*E304*E307,0.17*E304)</f>
        <v>25.500000000000004</v>
      </c>
      <c r="K336" s="157">
        <f t="shared" si="50"/>
        <v>2.3970000000000002</v>
      </c>
      <c r="L336" s="125">
        <f>K336-H336</f>
        <v>0</v>
      </c>
      <c r="M336" s="126">
        <f t="shared" si="51"/>
        <v>0</v>
      </c>
    </row>
    <row r="337" spans="1:13" ht="15.75" thickBot="1" x14ac:dyDescent="0.3">
      <c r="A337" s="100" t="str">
        <f t="shared" si="47"/>
        <v>UNMETERED SCATTERED LOAD SERVICE CLASSIFICATION</v>
      </c>
      <c r="B337" s="105" t="s">
        <v>117</v>
      </c>
      <c r="C337" s="117"/>
      <c r="D337" s="105" t="s">
        <v>179</v>
      </c>
      <c r="E337" s="119"/>
      <c r="F337" s="160">
        <f>OnPeak</f>
        <v>0.13200000000000001</v>
      </c>
      <c r="G337" s="161">
        <f>IF(AND(E304*12&gt;=150000),0.18*E304*E306,0.18*E304)</f>
        <v>27</v>
      </c>
      <c r="H337" s="157">
        <f t="shared" si="49"/>
        <v>3.5640000000000001</v>
      </c>
      <c r="I337" s="162">
        <f>OnPeak</f>
        <v>0.13200000000000001</v>
      </c>
      <c r="J337" s="161">
        <f>IF(AND(E304*12&gt;=150000),0.18*E304*E307,0.18*E304)</f>
        <v>27</v>
      </c>
      <c r="K337" s="157">
        <f t="shared" si="50"/>
        <v>3.5640000000000001</v>
      </c>
      <c r="L337" s="125">
        <f>K337-H337</f>
        <v>0</v>
      </c>
      <c r="M337" s="126">
        <f t="shared" si="51"/>
        <v>0</v>
      </c>
    </row>
    <row r="338" spans="1:13" hidden="1" x14ac:dyDescent="0.25">
      <c r="A338" s="100" t="str">
        <f t="shared" si="47"/>
        <v>UNMETERED SCATTERED LOAD SERVICE CLASSIFICATION</v>
      </c>
      <c r="B338" s="100" t="s">
        <v>180</v>
      </c>
      <c r="C338" s="117"/>
      <c r="D338" s="159" t="s">
        <v>181</v>
      </c>
      <c r="E338" s="119"/>
      <c r="F338" s="163">
        <v>0.1101</v>
      </c>
      <c r="G338" s="161">
        <f>IF(AND(E304*12&gt;=150000),E304*E306,E304)</f>
        <v>150</v>
      </c>
      <c r="H338" s="157">
        <f>G338*F338</f>
        <v>16.515000000000001</v>
      </c>
      <c r="I338" s="164">
        <f>F338</f>
        <v>0.1101</v>
      </c>
      <c r="J338" s="161">
        <f>IF(AND(E304*12&gt;=150000),E304*E307,E304)</f>
        <v>150</v>
      </c>
      <c r="K338" s="157">
        <f>J338*I338</f>
        <v>16.515000000000001</v>
      </c>
      <c r="L338" s="125">
        <f>K338-H338</f>
        <v>0</v>
      </c>
      <c r="M338" s="126">
        <f t="shared" si="51"/>
        <v>0</v>
      </c>
    </row>
    <row r="339" spans="1:13" ht="15.75" hidden="1" thickBot="1" x14ac:dyDescent="0.3">
      <c r="A339" s="100" t="str">
        <f t="shared" si="47"/>
        <v>UNMETERED SCATTERED LOAD SERVICE CLASSIFICATION</v>
      </c>
      <c r="B339" s="100" t="s">
        <v>121</v>
      </c>
      <c r="C339" s="117"/>
      <c r="D339" s="159" t="s">
        <v>182</v>
      </c>
      <c r="E339" s="119"/>
      <c r="F339" s="163">
        <v>0.1101</v>
      </c>
      <c r="G339" s="161">
        <f>IF(AND(E304*12&gt;=150000),E304*E306,E304)</f>
        <v>150</v>
      </c>
      <c r="H339" s="157">
        <f>G339*F339</f>
        <v>16.515000000000001</v>
      </c>
      <c r="I339" s="164">
        <f>F339</f>
        <v>0.1101</v>
      </c>
      <c r="J339" s="161">
        <f>IF(AND(E304*12&gt;=150000),E304*E307,E304)</f>
        <v>150</v>
      </c>
      <c r="K339" s="157">
        <f>J339*I339</f>
        <v>16.515000000000001</v>
      </c>
      <c r="L339" s="125">
        <f>K339-H339</f>
        <v>0</v>
      </c>
      <c r="M339" s="126">
        <f t="shared" si="51"/>
        <v>0</v>
      </c>
    </row>
    <row r="340" spans="1:13" ht="15.75" thickBot="1" x14ac:dyDescent="0.3">
      <c r="A340" s="100" t="str">
        <f t="shared" si="47"/>
        <v>UNMETERED SCATTERED LOAD SERVICE CLASSIFICATION</v>
      </c>
      <c r="B340" s="105"/>
      <c r="C340" s="117"/>
      <c r="D340" s="165"/>
      <c r="E340" s="166"/>
      <c r="F340" s="167"/>
      <c r="G340" s="168"/>
      <c r="H340" s="169"/>
      <c r="I340" s="167"/>
      <c r="J340" s="170"/>
      <c r="K340" s="169"/>
      <c r="L340" s="171"/>
      <c r="M340" s="172"/>
    </row>
    <row r="341" spans="1:13" x14ac:dyDescent="0.25">
      <c r="A341" s="100" t="str">
        <f t="shared" si="47"/>
        <v>UNMETERED SCATTERED LOAD SERVICE CLASSIFICATION</v>
      </c>
      <c r="B341" s="105" t="s">
        <v>117</v>
      </c>
      <c r="C341" s="117"/>
      <c r="D341" s="173" t="s">
        <v>183</v>
      </c>
      <c r="E341" s="158"/>
      <c r="F341" s="174"/>
      <c r="G341" s="175"/>
      <c r="H341" s="176">
        <f>SUM(H331:H337,H330)</f>
        <v>24.589896000000003</v>
      </c>
      <c r="I341" s="177"/>
      <c r="J341" s="177"/>
      <c r="K341" s="176">
        <f>SUM(K331:K337,K330)</f>
        <v>25.565254587120521</v>
      </c>
      <c r="L341" s="178">
        <f>K341-H341</f>
        <v>0.97535858712051748</v>
      </c>
      <c r="M341" s="179">
        <f>IF((H341)=0,"",(L341/H341))</f>
        <v>3.9665014732901571E-2</v>
      </c>
    </row>
    <row r="342" spans="1:13" x14ac:dyDescent="0.25">
      <c r="A342" s="100" t="str">
        <f t="shared" si="47"/>
        <v>UNMETERED SCATTERED LOAD SERVICE CLASSIFICATION</v>
      </c>
      <c r="B342" s="105" t="s">
        <v>117</v>
      </c>
      <c r="C342" s="117"/>
      <c r="D342" s="180" t="s">
        <v>184</v>
      </c>
      <c r="E342" s="158"/>
      <c r="F342" s="174">
        <v>0.13</v>
      </c>
      <c r="G342" s="181"/>
      <c r="H342" s="182">
        <f>H341*F342</f>
        <v>3.1966864800000003</v>
      </c>
      <c r="I342" s="183">
        <v>0.13</v>
      </c>
      <c r="J342" s="121"/>
      <c r="K342" s="182">
        <f>K341*I342</f>
        <v>3.3234830963256679</v>
      </c>
      <c r="L342" s="184">
        <f>K342-H342</f>
        <v>0.12679661632566752</v>
      </c>
      <c r="M342" s="185">
        <f>IF((H342)=0,"",(L342/H342))</f>
        <v>3.9665014732901648E-2</v>
      </c>
    </row>
    <row r="343" spans="1:13" x14ac:dyDescent="0.25">
      <c r="A343" s="100" t="str">
        <f t="shared" si="47"/>
        <v>UNMETERED SCATTERED LOAD SERVICE CLASSIFICATION</v>
      </c>
      <c r="B343" s="105" t="s">
        <v>117</v>
      </c>
      <c r="C343" s="117"/>
      <c r="D343" s="180" t="s">
        <v>185</v>
      </c>
      <c r="E343" s="158"/>
      <c r="F343" s="174">
        <v>0.08</v>
      </c>
      <c r="G343" s="181"/>
      <c r="H343" s="182">
        <v>0</v>
      </c>
      <c r="I343" s="174">
        <v>0.08</v>
      </c>
      <c r="J343" s="121"/>
      <c r="K343" s="182">
        <v>0</v>
      </c>
      <c r="L343" s="184">
        <f>K343-H343</f>
        <v>0</v>
      </c>
      <c r="M343" s="185"/>
    </row>
    <row r="344" spans="1:13" ht="15.75" thickBot="1" x14ac:dyDescent="0.3">
      <c r="A344" s="100" t="str">
        <f t="shared" si="47"/>
        <v>UNMETERED SCATTERED LOAD SERVICE CLASSIFICATION</v>
      </c>
      <c r="B344" s="105" t="s">
        <v>186</v>
      </c>
      <c r="C344" s="117">
        <f>B34</f>
        <v>5</v>
      </c>
      <c r="D344" s="301" t="s">
        <v>187</v>
      </c>
      <c r="E344" s="301"/>
      <c r="F344" s="186"/>
      <c r="G344" s="187"/>
      <c r="H344" s="188">
        <f>H341+H342+H343</f>
        <v>27.786582480000003</v>
      </c>
      <c r="I344" s="189"/>
      <c r="J344" s="189"/>
      <c r="K344" s="190">
        <f>K341+K342+K343</f>
        <v>28.888737683446188</v>
      </c>
      <c r="L344" s="191">
        <f>K344-H344</f>
        <v>1.1021552034461841</v>
      </c>
      <c r="M344" s="192">
        <f>IF((H344)=0,"",(L344/H344))</f>
        <v>3.9665014732901543E-2</v>
      </c>
    </row>
    <row r="345" spans="1:13" ht="15.75" hidden="1" thickBot="1" x14ac:dyDescent="0.3">
      <c r="A345" s="100" t="str">
        <f t="shared" si="47"/>
        <v>UNMETERED SCATTERED LOAD SERVICE CLASSIFICATION</v>
      </c>
      <c r="B345" s="100" t="s">
        <v>117</v>
      </c>
      <c r="C345" s="117"/>
      <c r="D345" s="165"/>
      <c r="E345" s="166"/>
      <c r="F345" s="167"/>
      <c r="G345" s="168"/>
      <c r="H345" s="169"/>
      <c r="I345" s="167"/>
      <c r="J345" s="170"/>
      <c r="K345" s="169"/>
      <c r="L345" s="171"/>
      <c r="M345" s="172"/>
    </row>
    <row r="346" spans="1:13" hidden="1" x14ac:dyDescent="0.25">
      <c r="A346" s="100" t="str">
        <f t="shared" si="47"/>
        <v>UNMETERED SCATTERED LOAD SERVICE CLASSIFICATION</v>
      </c>
      <c r="B346" s="100" t="s">
        <v>180</v>
      </c>
      <c r="C346" s="117"/>
      <c r="D346" s="173" t="s">
        <v>188</v>
      </c>
      <c r="E346" s="158"/>
      <c r="F346" s="174"/>
      <c r="G346" s="175"/>
      <c r="H346" s="176">
        <f>SUM(H338,H331:H334,H330)</f>
        <v>28.806395999999999</v>
      </c>
      <c r="I346" s="177"/>
      <c r="J346" s="177"/>
      <c r="K346" s="176">
        <f>SUM(K338,K331:K334,K330)</f>
        <v>29.781754587120517</v>
      </c>
      <c r="L346" s="178">
        <f>K346-H346</f>
        <v>0.97535858712051748</v>
      </c>
      <c r="M346" s="179">
        <f>IF((H346)=0,"",(L346/H346))</f>
        <v>3.3859098066988925E-2</v>
      </c>
    </row>
    <row r="347" spans="1:13" hidden="1" x14ac:dyDescent="0.25">
      <c r="A347" s="100" t="str">
        <f t="shared" si="47"/>
        <v>UNMETERED SCATTERED LOAD SERVICE CLASSIFICATION</v>
      </c>
      <c r="B347" s="100" t="s">
        <v>180</v>
      </c>
      <c r="C347" s="117"/>
      <c r="D347" s="180" t="s">
        <v>184</v>
      </c>
      <c r="E347" s="158"/>
      <c r="F347" s="174">
        <v>0.13</v>
      </c>
      <c r="G347" s="175"/>
      <c r="H347" s="182">
        <f>H346*F347</f>
        <v>3.7448314800000002</v>
      </c>
      <c r="I347" s="174">
        <v>0.13</v>
      </c>
      <c r="J347" s="183"/>
      <c r="K347" s="182">
        <f>K346*I347</f>
        <v>3.8716280963256673</v>
      </c>
      <c r="L347" s="184">
        <f>K347-H347</f>
        <v>0.12679661632566708</v>
      </c>
      <c r="M347" s="185">
        <f>IF((H347)=0,"",(L347/H347))</f>
        <v>3.385909806698887E-2</v>
      </c>
    </row>
    <row r="348" spans="1:13" hidden="1" x14ac:dyDescent="0.25">
      <c r="A348" s="100" t="str">
        <f t="shared" si="47"/>
        <v>UNMETERED SCATTERED LOAD SERVICE CLASSIFICATION</v>
      </c>
      <c r="B348" s="100" t="s">
        <v>180</v>
      </c>
      <c r="C348" s="117"/>
      <c r="D348" s="180" t="s">
        <v>185</v>
      </c>
      <c r="E348" s="158"/>
      <c r="F348" s="174">
        <v>0.08</v>
      </c>
      <c r="G348" s="175"/>
      <c r="H348" s="182">
        <v>0</v>
      </c>
      <c r="I348" s="174">
        <v>0.08</v>
      </c>
      <c r="J348" s="183"/>
      <c r="K348" s="182">
        <v>0</v>
      </c>
      <c r="L348" s="184"/>
      <c r="M348" s="185"/>
    </row>
    <row r="349" spans="1:13" ht="15.75" hidden="1" thickBot="1" x14ac:dyDescent="0.3">
      <c r="A349" s="100" t="str">
        <f t="shared" si="47"/>
        <v>UNMETERED SCATTERED LOAD SERVICE CLASSIFICATION</v>
      </c>
      <c r="B349" s="100" t="s">
        <v>189</v>
      </c>
      <c r="C349" s="117"/>
      <c r="D349" s="301" t="s">
        <v>188</v>
      </c>
      <c r="E349" s="301"/>
      <c r="F349" s="193"/>
      <c r="G349" s="194"/>
      <c r="H349" s="188">
        <f>SUM(H346,H347)</f>
        <v>32.551227480000001</v>
      </c>
      <c r="I349" s="195"/>
      <c r="J349" s="195"/>
      <c r="K349" s="188">
        <f>SUM(K346,K347)</f>
        <v>33.653382683446182</v>
      </c>
      <c r="L349" s="196">
        <f>K349-H349</f>
        <v>1.1021552034461806</v>
      </c>
      <c r="M349" s="197">
        <f>IF((H349)=0,"",(L349/H349))</f>
        <v>3.3859098066988794E-2</v>
      </c>
    </row>
    <row r="350" spans="1:13" ht="15.75" hidden="1" thickBot="1" x14ac:dyDescent="0.3">
      <c r="A350" s="100" t="str">
        <f t="shared" si="47"/>
        <v>UNMETERED SCATTERED LOAD SERVICE CLASSIFICATION</v>
      </c>
      <c r="B350" s="100" t="s">
        <v>180</v>
      </c>
      <c r="C350" s="117"/>
      <c r="D350" s="165"/>
      <c r="E350" s="166"/>
      <c r="F350" s="198"/>
      <c r="G350" s="199"/>
      <c r="H350" s="200"/>
      <c r="I350" s="198"/>
      <c r="J350" s="168"/>
      <c r="K350" s="200"/>
      <c r="L350" s="201"/>
      <c r="M350" s="172"/>
    </row>
    <row r="351" spans="1:13" hidden="1" x14ac:dyDescent="0.25">
      <c r="A351" s="100" t="str">
        <f t="shared" si="47"/>
        <v>UNMETERED SCATTERED LOAD SERVICE CLASSIFICATION</v>
      </c>
      <c r="B351" s="100" t="s">
        <v>121</v>
      </c>
      <c r="C351" s="117"/>
      <c r="D351" s="173" t="s">
        <v>190</v>
      </c>
      <c r="E351" s="158"/>
      <c r="F351" s="174"/>
      <c r="G351" s="175"/>
      <c r="H351" s="176">
        <f>SUM(H339,H331:H334,H330)</f>
        <v>28.806395999999999</v>
      </c>
      <c r="I351" s="177"/>
      <c r="J351" s="177"/>
      <c r="K351" s="176">
        <f>SUM(K339,K331:K334,K330)</f>
        <v>29.781754587120517</v>
      </c>
      <c r="L351" s="178">
        <f>K351-H351</f>
        <v>0.97535858712051748</v>
      </c>
      <c r="M351" s="179">
        <f>IF((H351)=0,"",(L351/H351))</f>
        <v>3.3859098066988925E-2</v>
      </c>
    </row>
    <row r="352" spans="1:13" hidden="1" x14ac:dyDescent="0.25">
      <c r="A352" s="100" t="str">
        <f t="shared" si="47"/>
        <v>UNMETERED SCATTERED LOAD SERVICE CLASSIFICATION</v>
      </c>
      <c r="B352" s="100" t="s">
        <v>121</v>
      </c>
      <c r="C352" s="117"/>
      <c r="D352" s="180" t="s">
        <v>184</v>
      </c>
      <c r="E352" s="158"/>
      <c r="F352" s="174">
        <v>0.13</v>
      </c>
      <c r="G352" s="175"/>
      <c r="H352" s="182">
        <f>H351*F352</f>
        <v>3.7448314800000002</v>
      </c>
      <c r="I352" s="174">
        <v>0.13</v>
      </c>
      <c r="J352" s="183"/>
      <c r="K352" s="182">
        <f>K351*I352</f>
        <v>3.8716280963256673</v>
      </c>
      <c r="L352" s="184">
        <f>K352-H352</f>
        <v>0.12679661632566708</v>
      </c>
      <c r="M352" s="185">
        <f>IF((H352)=0,"",(L352/H352))</f>
        <v>3.385909806698887E-2</v>
      </c>
    </row>
    <row r="353" spans="1:13" hidden="1" x14ac:dyDescent="0.25">
      <c r="A353" s="100" t="str">
        <f t="shared" si="47"/>
        <v>UNMETERED SCATTERED LOAD SERVICE CLASSIFICATION</v>
      </c>
      <c r="B353" s="100" t="s">
        <v>121</v>
      </c>
      <c r="C353" s="117"/>
      <c r="D353" s="180" t="s">
        <v>185</v>
      </c>
      <c r="E353" s="158"/>
      <c r="F353" s="174">
        <v>0.08</v>
      </c>
      <c r="G353" s="175"/>
      <c r="H353" s="182">
        <v>0</v>
      </c>
      <c r="I353" s="174">
        <v>0.08</v>
      </c>
      <c r="J353" s="183"/>
      <c r="K353" s="182">
        <v>0</v>
      </c>
      <c r="L353" s="184"/>
      <c r="M353" s="185"/>
    </row>
    <row r="354" spans="1:13" ht="15.75" hidden="1" thickBot="1" x14ac:dyDescent="0.3">
      <c r="A354" s="100" t="str">
        <f t="shared" si="47"/>
        <v>UNMETERED SCATTERED LOAD SERVICE CLASSIFICATION</v>
      </c>
      <c r="B354" s="100" t="s">
        <v>191</v>
      </c>
      <c r="C354" s="117"/>
      <c r="D354" s="301" t="s">
        <v>190</v>
      </c>
      <c r="E354" s="301"/>
      <c r="F354" s="193"/>
      <c r="G354" s="194"/>
      <c r="H354" s="188">
        <f>SUM(H351,H352)</f>
        <v>32.551227480000001</v>
      </c>
      <c r="I354" s="195"/>
      <c r="J354" s="195"/>
      <c r="K354" s="188">
        <f>SUM(K351,K352)</f>
        <v>33.653382683446182</v>
      </c>
      <c r="L354" s="196">
        <f>K354-H354</f>
        <v>1.1021552034461806</v>
      </c>
      <c r="M354" s="197">
        <f>IF((H354)=0,"",(L354/H354))</f>
        <v>3.3859098066988794E-2</v>
      </c>
    </row>
    <row r="355" spans="1:13" ht="15.75" thickBot="1" x14ac:dyDescent="0.3">
      <c r="A355" s="100" t="str">
        <f t="shared" si="47"/>
        <v>UNMETERED SCATTERED LOAD SERVICE CLASSIFICATION</v>
      </c>
      <c r="B355" s="100" t="s">
        <v>121</v>
      </c>
      <c r="C355" s="117"/>
      <c r="D355" s="165"/>
      <c r="E355" s="166"/>
      <c r="F355" s="202"/>
      <c r="G355" s="203"/>
      <c r="H355" s="204"/>
      <c r="I355" s="202"/>
      <c r="J355" s="205"/>
      <c r="K355" s="204"/>
      <c r="L355" s="206"/>
      <c r="M355" s="207"/>
    </row>
    <row r="358" spans="1:13" x14ac:dyDescent="0.25">
      <c r="C358" s="100"/>
      <c r="D358" s="101" t="s">
        <v>134</v>
      </c>
      <c r="E358" s="302" t="str">
        <f>D35</f>
        <v>SENTINEL LIGHTING SERVICE CLASSIFICATION</v>
      </c>
      <c r="F358" s="302"/>
      <c r="G358" s="302"/>
      <c r="H358" s="302"/>
      <c r="I358" s="302"/>
      <c r="J358" s="302"/>
      <c r="K358" s="100" t="str">
        <f>IF(N35="DEMAND - INTERVAL","RTSR - INTERVAL METERED","")</f>
        <v/>
      </c>
    </row>
    <row r="359" spans="1:13" x14ac:dyDescent="0.25">
      <c r="C359" s="100"/>
      <c r="D359" s="101" t="s">
        <v>135</v>
      </c>
      <c r="E359" s="303" t="str">
        <f>H35</f>
        <v>RPP</v>
      </c>
      <c r="F359" s="303"/>
      <c r="G359" s="303"/>
      <c r="H359" s="102"/>
      <c r="I359" s="102"/>
    </row>
    <row r="360" spans="1:13" ht="15.75" x14ac:dyDescent="0.25">
      <c r="C360" s="100"/>
      <c r="D360" s="101" t="s">
        <v>136</v>
      </c>
      <c r="E360" s="103">
        <f>K35</f>
        <v>650</v>
      </c>
      <c r="F360" s="104" t="s">
        <v>137</v>
      </c>
      <c r="G360" s="105"/>
      <c r="J360" s="106"/>
      <c r="K360" s="106"/>
      <c r="L360" s="106"/>
      <c r="M360" s="106"/>
    </row>
    <row r="361" spans="1:13" ht="15.75" x14ac:dyDescent="0.25">
      <c r="C361" s="100"/>
      <c r="D361" s="101" t="s">
        <v>138</v>
      </c>
      <c r="E361" s="103">
        <f>L35</f>
        <v>1</v>
      </c>
      <c r="F361" s="107" t="s">
        <v>139</v>
      </c>
      <c r="G361" s="108"/>
      <c r="H361" s="109"/>
      <c r="I361" s="109"/>
      <c r="J361" s="109"/>
    </row>
    <row r="362" spans="1:13" x14ac:dyDescent="0.25">
      <c r="C362" s="100"/>
      <c r="D362" s="101" t="s">
        <v>140</v>
      </c>
      <c r="E362" s="110">
        <f>I35</f>
        <v>1.056</v>
      </c>
    </row>
    <row r="363" spans="1:13" x14ac:dyDescent="0.25">
      <c r="C363" s="100"/>
      <c r="D363" s="101" t="s">
        <v>141</v>
      </c>
      <c r="E363" s="110">
        <f>J35</f>
        <v>1.056</v>
      </c>
    </row>
    <row r="364" spans="1:13" x14ac:dyDescent="0.25">
      <c r="C364" s="100"/>
      <c r="D364" s="105"/>
    </row>
    <row r="365" spans="1:13" x14ac:dyDescent="0.25">
      <c r="C365" s="100"/>
      <c r="D365" s="105"/>
      <c r="E365" s="111"/>
      <c r="F365" s="304" t="s">
        <v>142</v>
      </c>
      <c r="G365" s="305"/>
      <c r="H365" s="306"/>
      <c r="I365" s="304" t="s">
        <v>143</v>
      </c>
      <c r="J365" s="305"/>
      <c r="K365" s="306"/>
      <c r="L365" s="304" t="s">
        <v>144</v>
      </c>
      <c r="M365" s="306"/>
    </row>
    <row r="366" spans="1:13" x14ac:dyDescent="0.25">
      <c r="C366" s="100"/>
      <c r="D366" s="105"/>
      <c r="E366" s="295"/>
      <c r="F366" s="112" t="s">
        <v>145</v>
      </c>
      <c r="G366" s="112" t="s">
        <v>146</v>
      </c>
      <c r="H366" s="113" t="s">
        <v>147</v>
      </c>
      <c r="I366" s="112" t="s">
        <v>145</v>
      </c>
      <c r="J366" s="114" t="s">
        <v>146</v>
      </c>
      <c r="K366" s="113" t="s">
        <v>147</v>
      </c>
      <c r="L366" s="297" t="s">
        <v>148</v>
      </c>
      <c r="M366" s="299" t="s">
        <v>149</v>
      </c>
    </row>
    <row r="367" spans="1:13" x14ac:dyDescent="0.25">
      <c r="C367" s="100"/>
      <c r="D367" s="105"/>
      <c r="E367" s="296"/>
      <c r="F367" s="115" t="s">
        <v>150</v>
      </c>
      <c r="G367" s="115"/>
      <c r="H367" s="116" t="s">
        <v>150</v>
      </c>
      <c r="I367" s="115" t="s">
        <v>150</v>
      </c>
      <c r="J367" s="116"/>
      <c r="K367" s="116" t="s">
        <v>150</v>
      </c>
      <c r="L367" s="298"/>
      <c r="M367" s="300"/>
    </row>
    <row r="368" spans="1:13" x14ac:dyDescent="0.25">
      <c r="A368" s="100" t="str">
        <f>$E358</f>
        <v>SENTINEL LIGHTING SERVICE CLASSIFICATION</v>
      </c>
      <c r="C368" s="117"/>
      <c r="D368" s="118" t="s">
        <v>151</v>
      </c>
      <c r="E368" s="119"/>
      <c r="F368" s="120">
        <v>9.4700000000000006</v>
      </c>
      <c r="G368" s="121">
        <v>1</v>
      </c>
      <c r="H368" s="122">
        <f>G368*F368</f>
        <v>9.4700000000000006</v>
      </c>
      <c r="I368" s="123">
        <v>9.58</v>
      </c>
      <c r="J368" s="124">
        <f>G368</f>
        <v>1</v>
      </c>
      <c r="K368" s="122">
        <f>J368*I368</f>
        <v>9.58</v>
      </c>
      <c r="L368" s="125">
        <f t="shared" ref="L368:L389" si="52">K368-H368</f>
        <v>0.10999999999999943</v>
      </c>
      <c r="M368" s="126">
        <f>IF(ISERROR(L368/H368), "", L368/H368)</f>
        <v>1.1615628299894343E-2</v>
      </c>
    </row>
    <row r="369" spans="1:13" x14ac:dyDescent="0.25">
      <c r="A369" s="100" t="str">
        <f>A368</f>
        <v>SENTINEL LIGHTING SERVICE CLASSIFICATION</v>
      </c>
      <c r="C369" s="117"/>
      <c r="D369" s="118" t="s">
        <v>152</v>
      </c>
      <c r="E369" s="119"/>
      <c r="F369" s="127">
        <v>35.905000000000001</v>
      </c>
      <c r="G369" s="121">
        <f>IF($E361&gt;0, $E361, $E360)</f>
        <v>1</v>
      </c>
      <c r="H369" s="122">
        <f t="shared" ref="H369:H381" si="53">G369*F369</f>
        <v>35.905000000000001</v>
      </c>
      <c r="I369" s="128">
        <v>36.335900000000002</v>
      </c>
      <c r="J369" s="124">
        <f>IF($E361&gt;0, $E361, $E360)</f>
        <v>1</v>
      </c>
      <c r="K369" s="122">
        <f>J369*I369</f>
        <v>36.335900000000002</v>
      </c>
      <c r="L369" s="125">
        <f t="shared" si="52"/>
        <v>0.43090000000000117</v>
      </c>
      <c r="M369" s="126">
        <f t="shared" ref="M369:M379" si="54">IF(ISERROR(L369/H369), "", L369/H369)</f>
        <v>1.2001114050967864E-2</v>
      </c>
    </row>
    <row r="370" spans="1:13" x14ac:dyDescent="0.25">
      <c r="A370" s="100" t="str">
        <f t="shared" ref="A370:A411" si="55">A369</f>
        <v>SENTINEL LIGHTING SERVICE CLASSIFICATION</v>
      </c>
      <c r="C370" s="117"/>
      <c r="D370" s="118" t="s">
        <v>153</v>
      </c>
      <c r="E370" s="119"/>
      <c r="F370" s="127"/>
      <c r="G370" s="121"/>
      <c r="H370" s="122">
        <v>0</v>
      </c>
      <c r="I370" s="128"/>
      <c r="J370" s="124">
        <f>IF($E361&gt;0, $E361, $E360)</f>
        <v>1</v>
      </c>
      <c r="K370" s="122">
        <v>0</v>
      </c>
      <c r="L370" s="125"/>
      <c r="M370" s="126"/>
    </row>
    <row r="371" spans="1:13" x14ac:dyDescent="0.25">
      <c r="A371" s="100" t="str">
        <f t="shared" si="55"/>
        <v>SENTINEL LIGHTING SERVICE CLASSIFICATION</v>
      </c>
      <c r="C371" s="117"/>
      <c r="D371" s="118" t="s">
        <v>154</v>
      </c>
      <c r="E371" s="119"/>
      <c r="F371" s="127"/>
      <c r="G371" s="121">
        <f>IF($E361&gt;0, $E361, $E360)</f>
        <v>1</v>
      </c>
      <c r="H371" s="122">
        <v>0</v>
      </c>
      <c r="I371" s="128"/>
      <c r="J371" s="121">
        <f>IF($E361&gt;0, $E361, $E360)</f>
        <v>1</v>
      </c>
      <c r="K371" s="122">
        <v>0</v>
      </c>
      <c r="L371" s="125">
        <f>K371-H371</f>
        <v>0</v>
      </c>
      <c r="M371" s="126" t="str">
        <f>IF(ISERROR(L371/H371), "", L371/H371)</f>
        <v/>
      </c>
    </row>
    <row r="372" spans="1:13" x14ac:dyDescent="0.25">
      <c r="A372" s="100" t="str">
        <f t="shared" si="55"/>
        <v>SENTINEL LIGHTING SERVICE CLASSIFICATION</v>
      </c>
      <c r="C372" s="117"/>
      <c r="D372" s="129" t="s">
        <v>155</v>
      </c>
      <c r="E372" s="119"/>
      <c r="F372" s="120">
        <v>0</v>
      </c>
      <c r="G372" s="121">
        <v>1</v>
      </c>
      <c r="H372" s="122">
        <f t="shared" si="53"/>
        <v>0</v>
      </c>
      <c r="I372" s="226">
        <f>'Rate Riders'!O13</f>
        <v>1.6776337836026574</v>
      </c>
      <c r="J372" s="124">
        <f>G372</f>
        <v>1</v>
      </c>
      <c r="K372" s="122">
        <f t="shared" ref="K372:K379" si="56">J372*I372</f>
        <v>1.6776337836026574</v>
      </c>
      <c r="L372" s="125">
        <f t="shared" si="52"/>
        <v>1.6776337836026574</v>
      </c>
      <c r="M372" s="126" t="str">
        <f t="shared" si="54"/>
        <v/>
      </c>
    </row>
    <row r="373" spans="1:13" x14ac:dyDescent="0.25">
      <c r="A373" s="100" t="str">
        <f t="shared" si="55"/>
        <v>SENTINEL LIGHTING SERVICE CLASSIFICATION</v>
      </c>
      <c r="C373" s="117"/>
      <c r="D373" s="118" t="s">
        <v>156</v>
      </c>
      <c r="E373" s="119"/>
      <c r="F373" s="127">
        <v>0</v>
      </c>
      <c r="G373" s="121">
        <f>IF($E361&gt;0, $E361, $E360)</f>
        <v>1</v>
      </c>
      <c r="H373" s="122">
        <f t="shared" si="53"/>
        <v>0</v>
      </c>
      <c r="I373" s="227">
        <f>'Rate Riders'!Q13</f>
        <v>6.3606590285378468</v>
      </c>
      <c r="J373" s="124">
        <f>IF($E361&gt;0, $E361, $E360)</f>
        <v>1</v>
      </c>
      <c r="K373" s="122">
        <f t="shared" si="56"/>
        <v>6.3606590285378468</v>
      </c>
      <c r="L373" s="125">
        <f t="shared" si="52"/>
        <v>6.3606590285378468</v>
      </c>
      <c r="M373" s="126" t="str">
        <f t="shared" si="54"/>
        <v/>
      </c>
    </row>
    <row r="374" spans="1:13" x14ac:dyDescent="0.25">
      <c r="A374" s="100" t="str">
        <f t="shared" si="55"/>
        <v>SENTINEL LIGHTING SERVICE CLASSIFICATION</v>
      </c>
      <c r="B374" s="130" t="s">
        <v>157</v>
      </c>
      <c r="C374" s="117">
        <f>B35</f>
        <v>6</v>
      </c>
      <c r="D374" s="131" t="s">
        <v>158</v>
      </c>
      <c r="E374" s="132"/>
      <c r="F374" s="133"/>
      <c r="G374" s="134"/>
      <c r="H374" s="135">
        <f>SUM(H368:H373)</f>
        <v>45.375</v>
      </c>
      <c r="I374" s="136"/>
      <c r="J374" s="137"/>
      <c r="K374" s="135">
        <f>SUM(K368:K373)</f>
        <v>53.954192812140505</v>
      </c>
      <c r="L374" s="138">
        <f t="shared" si="52"/>
        <v>8.579192812140505</v>
      </c>
      <c r="M374" s="139">
        <f>IF((H374)=0,"",(L374/H374))</f>
        <v>0.18907311982678798</v>
      </c>
    </row>
    <row r="375" spans="1:13" x14ac:dyDescent="0.25">
      <c r="A375" s="100" t="str">
        <f t="shared" si="55"/>
        <v>SENTINEL LIGHTING SERVICE CLASSIFICATION</v>
      </c>
      <c r="C375" s="117"/>
      <c r="D375" s="140" t="s">
        <v>159</v>
      </c>
      <c r="E375" s="119"/>
      <c r="F375" s="127">
        <f>IF((E360*12&gt;=150000), 0, IF(E359="RPP",(F391*0.65+F392*0.17+F393*0.18),IF(E359="Non-RPP (Retailer)",F394,F395)))</f>
        <v>8.1990000000000007E-2</v>
      </c>
      <c r="G375" s="141">
        <f>IF(F375=0, 0, $E360*E362-E360)</f>
        <v>36.399999999999977</v>
      </c>
      <c r="H375" s="122">
        <f>G375*F375</f>
        <v>2.9844359999999983</v>
      </c>
      <c r="I375" s="128">
        <f>IF((E360*12&gt;=150000), 0, IF(E359="RPP",(I391*0.65+I392*0.17+I393*0.18),IF(E359="Non-RPP (Retailer)",I394,I395)))</f>
        <v>8.1990000000000007E-2</v>
      </c>
      <c r="J375" s="141">
        <f>IF(I375=0, 0, E360*E363-E360)</f>
        <v>36.399999999999977</v>
      </c>
      <c r="K375" s="122">
        <f>J375*I375</f>
        <v>2.9844359999999983</v>
      </c>
      <c r="L375" s="125">
        <f>K375-H375</f>
        <v>0</v>
      </c>
      <c r="M375" s="126">
        <f>IF(ISERROR(L375/H375), "", L375/H375)</f>
        <v>0</v>
      </c>
    </row>
    <row r="376" spans="1:13" ht="25.5" x14ac:dyDescent="0.25">
      <c r="A376" s="100" t="str">
        <f t="shared" si="55"/>
        <v>SENTINEL LIGHTING SERVICE CLASSIFICATION</v>
      </c>
      <c r="C376" s="117"/>
      <c r="D376" s="140" t="s">
        <v>160</v>
      </c>
      <c r="E376" s="119"/>
      <c r="F376" s="127">
        <v>-0.47110000000000002</v>
      </c>
      <c r="G376" s="142">
        <f>IF($E361&gt;0, $E361, $E360)</f>
        <v>1</v>
      </c>
      <c r="H376" s="122">
        <f t="shared" si="53"/>
        <v>-0.47110000000000002</v>
      </c>
      <c r="I376" s="128">
        <v>-1.9424999999999999</v>
      </c>
      <c r="J376" s="142">
        <f>IF($E361&gt;0, $E361, $E360)</f>
        <v>1</v>
      </c>
      <c r="K376" s="122">
        <f t="shared" si="56"/>
        <v>-1.9424999999999999</v>
      </c>
      <c r="L376" s="125">
        <f t="shared" si="52"/>
        <v>-1.4713999999999998</v>
      </c>
      <c r="M376" s="126">
        <f t="shared" si="54"/>
        <v>3.1233283803863294</v>
      </c>
    </row>
    <row r="377" spans="1:13" x14ac:dyDescent="0.25">
      <c r="A377" s="100" t="str">
        <f t="shared" si="55"/>
        <v>SENTINEL LIGHTING SERVICE CLASSIFICATION</v>
      </c>
      <c r="C377" s="117"/>
      <c r="D377" s="140" t="s">
        <v>161</v>
      </c>
      <c r="E377" s="119"/>
      <c r="F377" s="127">
        <v>-2.98E-2</v>
      </c>
      <c r="G377" s="142">
        <f>IF($E361&gt;0, $E361, $E360)</f>
        <v>1</v>
      </c>
      <c r="H377" s="122">
        <f>G377*F377</f>
        <v>-2.98E-2</v>
      </c>
      <c r="I377" s="128">
        <v>0</v>
      </c>
      <c r="J377" s="142">
        <f>IF($E361&gt;0, $E361, $E360)</f>
        <v>1</v>
      </c>
      <c r="K377" s="122">
        <f>J377*I377</f>
        <v>0</v>
      </c>
      <c r="L377" s="125">
        <f t="shared" si="52"/>
        <v>2.98E-2</v>
      </c>
      <c r="M377" s="126">
        <f t="shared" si="54"/>
        <v>-1</v>
      </c>
    </row>
    <row r="378" spans="1:13" x14ac:dyDescent="0.25">
      <c r="A378" s="100" t="str">
        <f t="shared" si="55"/>
        <v>SENTINEL LIGHTING SERVICE CLASSIFICATION</v>
      </c>
      <c r="C378" s="117"/>
      <c r="D378" s="140" t="s">
        <v>162</v>
      </c>
      <c r="E378" s="119"/>
      <c r="F378" s="127">
        <v>0</v>
      </c>
      <c r="G378" s="142">
        <f>E360</f>
        <v>650</v>
      </c>
      <c r="H378" s="122">
        <f>G378*F378</f>
        <v>0</v>
      </c>
      <c r="I378" s="128">
        <v>0</v>
      </c>
      <c r="J378" s="142">
        <f>E360</f>
        <v>650</v>
      </c>
      <c r="K378" s="122">
        <f t="shared" si="56"/>
        <v>0</v>
      </c>
      <c r="L378" s="125">
        <f t="shared" si="52"/>
        <v>0</v>
      </c>
      <c r="M378" s="126" t="str">
        <f t="shared" si="54"/>
        <v/>
      </c>
    </row>
    <row r="379" spans="1:13" x14ac:dyDescent="0.25">
      <c r="A379" s="100" t="str">
        <f t="shared" si="55"/>
        <v>SENTINEL LIGHTING SERVICE CLASSIFICATION</v>
      </c>
      <c r="C379" s="117"/>
      <c r="D379" s="143" t="s">
        <v>163</v>
      </c>
      <c r="E379" s="119"/>
      <c r="F379" s="127">
        <v>0.75470000000000004</v>
      </c>
      <c r="G379" s="142">
        <f>IF($E361&gt;0, $E361, $E360)</f>
        <v>1</v>
      </c>
      <c r="H379" s="122">
        <f t="shared" si="53"/>
        <v>0.75470000000000004</v>
      </c>
      <c r="I379" s="128">
        <v>0.75470000000000004</v>
      </c>
      <c r="J379" s="142">
        <f>IF($E361&gt;0, $E361, $E360)</f>
        <v>1</v>
      </c>
      <c r="K379" s="122">
        <f t="shared" si="56"/>
        <v>0.75470000000000004</v>
      </c>
      <c r="L379" s="125">
        <f t="shared" si="52"/>
        <v>0</v>
      </c>
      <c r="M379" s="126">
        <f t="shared" si="54"/>
        <v>0</v>
      </c>
    </row>
    <row r="380" spans="1:13" ht="25.5" x14ac:dyDescent="0.25">
      <c r="A380" s="100" t="str">
        <f t="shared" si="55"/>
        <v>SENTINEL LIGHTING SERVICE CLASSIFICATION</v>
      </c>
      <c r="C380" s="117"/>
      <c r="D380" s="144" t="s">
        <v>164</v>
      </c>
      <c r="E380" s="119"/>
      <c r="F380" s="145">
        <f>IF(OR(ISNUMBER(SEARCH("RESIDENTIAL", E358))=TRUE, ISNUMBER(SEARCH("GENERAL SERVICE LESS THAN 50", E358))=TRUE), SME, 0)</f>
        <v>0</v>
      </c>
      <c r="G380" s="121">
        <v>1</v>
      </c>
      <c r="H380" s="122">
        <f>G380*F380</f>
        <v>0</v>
      </c>
      <c r="I380" s="146">
        <f>IF(OR(ISNUMBER(SEARCH("RESIDENTIAL", E358))=TRUE, ISNUMBER(SEARCH("GENERAL SERVICE LESS THAN 50", E358))=TRUE), SME, 0)</f>
        <v>0</v>
      </c>
      <c r="J380" s="121">
        <v>1</v>
      </c>
      <c r="K380" s="122">
        <f>J380*I380</f>
        <v>0</v>
      </c>
      <c r="L380" s="125">
        <f t="shared" si="52"/>
        <v>0</v>
      </c>
      <c r="M380" s="126" t="str">
        <f>IF(ISERROR(L380/H380), "", L380/H380)</f>
        <v/>
      </c>
    </row>
    <row r="381" spans="1:13" x14ac:dyDescent="0.25">
      <c r="A381" s="100" t="str">
        <f t="shared" si="55"/>
        <v>SENTINEL LIGHTING SERVICE CLASSIFICATION</v>
      </c>
      <c r="C381" s="117"/>
      <c r="D381" s="143" t="s">
        <v>165</v>
      </c>
      <c r="E381" s="119"/>
      <c r="F381" s="120">
        <v>0</v>
      </c>
      <c r="G381" s="121">
        <v>1</v>
      </c>
      <c r="H381" s="122">
        <f t="shared" si="53"/>
        <v>0</v>
      </c>
      <c r="I381" s="123">
        <v>0</v>
      </c>
      <c r="J381" s="121">
        <v>1</v>
      </c>
      <c r="K381" s="122">
        <f>J381*I381</f>
        <v>0</v>
      </c>
      <c r="L381" s="125">
        <f>K381-H381</f>
        <v>0</v>
      </c>
      <c r="M381" s="126" t="str">
        <f>IF(ISERROR(L381/H381), "", L381/H381)</f>
        <v/>
      </c>
    </row>
    <row r="382" spans="1:13" x14ac:dyDescent="0.25">
      <c r="A382" s="100" t="str">
        <f t="shared" si="55"/>
        <v>SENTINEL LIGHTING SERVICE CLASSIFICATION</v>
      </c>
      <c r="C382" s="117"/>
      <c r="D382" s="143" t="s">
        <v>166</v>
      </c>
      <c r="E382" s="119"/>
      <c r="F382" s="127"/>
      <c r="G382" s="142">
        <f>IF($E361&gt;0, $E361, $E360)</f>
        <v>1</v>
      </c>
      <c r="H382" s="122">
        <f>G382*F382</f>
        <v>0</v>
      </c>
      <c r="I382" s="128">
        <v>0</v>
      </c>
      <c r="J382" s="142">
        <f>IF($E361&gt;0, $E361, $E360)</f>
        <v>1</v>
      </c>
      <c r="K382" s="122">
        <f>J382*I382</f>
        <v>0</v>
      </c>
      <c r="L382" s="125">
        <f t="shared" si="52"/>
        <v>0</v>
      </c>
      <c r="M382" s="126" t="str">
        <f>IF(ISERROR(L382/H382), "", L382/H382)</f>
        <v/>
      </c>
    </row>
    <row r="383" spans="1:13" ht="25.5" x14ac:dyDescent="0.25">
      <c r="A383" s="100" t="str">
        <f t="shared" si="55"/>
        <v>SENTINEL LIGHTING SERVICE CLASSIFICATION</v>
      </c>
      <c r="B383" s="105" t="s">
        <v>167</v>
      </c>
      <c r="C383" s="117">
        <f>B35</f>
        <v>6</v>
      </c>
      <c r="D383" s="147" t="s">
        <v>168</v>
      </c>
      <c r="E383" s="148"/>
      <c r="F383" s="149"/>
      <c r="G383" s="150"/>
      <c r="H383" s="151">
        <f>SUM(H374:H382)</f>
        <v>48.613235999999993</v>
      </c>
      <c r="I383" s="152"/>
      <c r="J383" s="153"/>
      <c r="K383" s="151">
        <f>SUM(K374:K382)</f>
        <v>55.750828812140497</v>
      </c>
      <c r="L383" s="138">
        <f t="shared" si="52"/>
        <v>7.1375928121405039</v>
      </c>
      <c r="M383" s="139">
        <f>IF((H383)=0,"",(L383/H383))</f>
        <v>0.14682406273346019</v>
      </c>
    </row>
    <row r="384" spans="1:13" x14ac:dyDescent="0.25">
      <c r="A384" s="100" t="str">
        <f t="shared" si="55"/>
        <v>SENTINEL LIGHTING SERVICE CLASSIFICATION</v>
      </c>
      <c r="C384" s="117"/>
      <c r="D384" s="154" t="s">
        <v>169</v>
      </c>
      <c r="E384" s="119"/>
      <c r="F384" s="127">
        <v>1.8704000000000001</v>
      </c>
      <c r="G384" s="141">
        <f>IF($E361&gt;0, $E361, $E360*$E362)</f>
        <v>1</v>
      </c>
      <c r="H384" s="122">
        <f>G384*F384</f>
        <v>1.8704000000000001</v>
      </c>
      <c r="I384" s="128">
        <v>1.7742</v>
      </c>
      <c r="J384" s="141">
        <f>IF($E361&gt;0, $E361, $E360*$E363)</f>
        <v>1</v>
      </c>
      <c r="K384" s="122">
        <f>J384*I384</f>
        <v>1.7742</v>
      </c>
      <c r="L384" s="125">
        <f t="shared" si="52"/>
        <v>-9.6200000000000063E-2</v>
      </c>
      <c r="M384" s="126">
        <f>IF(ISERROR(L384/H384), "", L384/H384)</f>
        <v>-5.1432848588537243E-2</v>
      </c>
    </row>
    <row r="385" spans="1:13" ht="25.5" x14ac:dyDescent="0.25">
      <c r="A385" s="100" t="str">
        <f t="shared" si="55"/>
        <v>SENTINEL LIGHTING SERVICE CLASSIFICATION</v>
      </c>
      <c r="C385" s="117"/>
      <c r="D385" s="155" t="s">
        <v>170</v>
      </c>
      <c r="E385" s="119"/>
      <c r="F385" s="127">
        <v>1.5942000000000001</v>
      </c>
      <c r="G385" s="141">
        <f>IF($E361&gt;0, $E361, $E360*$E362)</f>
        <v>1</v>
      </c>
      <c r="H385" s="122">
        <f>G385*F385</f>
        <v>1.5942000000000001</v>
      </c>
      <c r="I385" s="128">
        <v>1.5068999999999999</v>
      </c>
      <c r="J385" s="141">
        <f>IF($E361&gt;0, $E361, $E360*$E363)</f>
        <v>1</v>
      </c>
      <c r="K385" s="122">
        <f>J385*I385</f>
        <v>1.5068999999999999</v>
      </c>
      <c r="L385" s="125">
        <f t="shared" si="52"/>
        <v>-8.7300000000000155E-2</v>
      </c>
      <c r="M385" s="126">
        <f>IF(ISERROR(L385/H385), "", L385/H385)</f>
        <v>-5.4761008656379472E-2</v>
      </c>
    </row>
    <row r="386" spans="1:13" ht="25.5" x14ac:dyDescent="0.25">
      <c r="A386" s="100" t="str">
        <f t="shared" si="55"/>
        <v>SENTINEL LIGHTING SERVICE CLASSIFICATION</v>
      </c>
      <c r="B386" s="105" t="s">
        <v>171</v>
      </c>
      <c r="C386" s="117">
        <f>B35</f>
        <v>6</v>
      </c>
      <c r="D386" s="147" t="s">
        <v>172</v>
      </c>
      <c r="E386" s="132"/>
      <c r="F386" s="149"/>
      <c r="G386" s="150"/>
      <c r="H386" s="151">
        <f>SUM(H383:H385)</f>
        <v>52.077835999999991</v>
      </c>
      <c r="I386" s="152"/>
      <c r="J386" s="137"/>
      <c r="K386" s="151">
        <f>SUM(K383:K385)</f>
        <v>59.031928812140499</v>
      </c>
      <c r="L386" s="138">
        <f t="shared" si="52"/>
        <v>6.9540928121405088</v>
      </c>
      <c r="M386" s="139">
        <f>IF((H386)=0,"",(L386/H386))</f>
        <v>0.13353267620683221</v>
      </c>
    </row>
    <row r="387" spans="1:13" ht="25.5" x14ac:dyDescent="0.25">
      <c r="A387" s="100" t="str">
        <f t="shared" si="55"/>
        <v>SENTINEL LIGHTING SERVICE CLASSIFICATION</v>
      </c>
      <c r="C387" s="117"/>
      <c r="D387" s="156" t="s">
        <v>173</v>
      </c>
      <c r="E387" s="119"/>
      <c r="F387" s="127">
        <v>3.6000000000000003E-3</v>
      </c>
      <c r="G387" s="141">
        <f>E360*E362</f>
        <v>686.4</v>
      </c>
      <c r="H387" s="157">
        <f t="shared" ref="H387:H393" si="57">G387*F387</f>
        <v>2.4710400000000003</v>
      </c>
      <c r="I387" s="128">
        <v>3.6000000000000003E-3</v>
      </c>
      <c r="J387" s="141">
        <f>E360*E363</f>
        <v>686.4</v>
      </c>
      <c r="K387" s="157">
        <f t="shared" ref="K387:K393" si="58">J387*I387</f>
        <v>2.4710400000000003</v>
      </c>
      <c r="L387" s="125">
        <f t="shared" si="52"/>
        <v>0</v>
      </c>
      <c r="M387" s="126">
        <f t="shared" ref="M387:M395" si="59">IF(ISERROR(L387/H387), "", L387/H387)</f>
        <v>0</v>
      </c>
    </row>
    <row r="388" spans="1:13" ht="25.5" x14ac:dyDescent="0.25">
      <c r="A388" s="100" t="str">
        <f t="shared" si="55"/>
        <v>SENTINEL LIGHTING SERVICE CLASSIFICATION</v>
      </c>
      <c r="C388" s="117"/>
      <c r="D388" s="156" t="s">
        <v>174</v>
      </c>
      <c r="E388" s="119"/>
      <c r="F388" s="127">
        <f>'[1]17. Regulatory Charges'!$D$16</f>
        <v>2.9999999999999997E-4</v>
      </c>
      <c r="G388" s="141">
        <f>E360*E362</f>
        <v>686.4</v>
      </c>
      <c r="H388" s="157">
        <f t="shared" si="57"/>
        <v>0.20591999999999996</v>
      </c>
      <c r="I388" s="128">
        <v>2.9999999999999997E-4</v>
      </c>
      <c r="J388" s="141">
        <f>E360*E363</f>
        <v>686.4</v>
      </c>
      <c r="K388" s="157">
        <f t="shared" si="58"/>
        <v>0.20591999999999996</v>
      </c>
      <c r="L388" s="125">
        <f t="shared" si="52"/>
        <v>0</v>
      </c>
      <c r="M388" s="126">
        <f t="shared" si="59"/>
        <v>0</v>
      </c>
    </row>
    <row r="389" spans="1:13" x14ac:dyDescent="0.25">
      <c r="A389" s="100" t="str">
        <f t="shared" si="55"/>
        <v>SENTINEL LIGHTING SERVICE CLASSIFICATION</v>
      </c>
      <c r="C389" s="117"/>
      <c r="D389" s="158" t="s">
        <v>175</v>
      </c>
      <c r="E389" s="119"/>
      <c r="F389" s="145">
        <v>0.25</v>
      </c>
      <c r="G389" s="121">
        <v>1</v>
      </c>
      <c r="H389" s="157">
        <f t="shared" si="57"/>
        <v>0.25</v>
      </c>
      <c r="I389" s="146">
        <f>'[1]17. Regulatory Charges'!$D$17</f>
        <v>0.25</v>
      </c>
      <c r="J389" s="124">
        <v>1</v>
      </c>
      <c r="K389" s="157">
        <f t="shared" si="58"/>
        <v>0.25</v>
      </c>
      <c r="L389" s="125">
        <f t="shared" si="52"/>
        <v>0</v>
      </c>
      <c r="M389" s="126">
        <f t="shared" si="59"/>
        <v>0</v>
      </c>
    </row>
    <row r="390" spans="1:13" ht="25.5" x14ac:dyDescent="0.25">
      <c r="A390" s="100" t="str">
        <f t="shared" si="55"/>
        <v>SENTINEL LIGHTING SERVICE CLASSIFICATION</v>
      </c>
      <c r="C390" s="117"/>
      <c r="D390" s="156" t="s">
        <v>176</v>
      </c>
      <c r="E390" s="119"/>
      <c r="F390" s="127"/>
      <c r="G390" s="141"/>
      <c r="H390" s="157"/>
      <c r="I390" s="128"/>
      <c r="J390" s="141"/>
      <c r="K390" s="157"/>
      <c r="L390" s="125"/>
      <c r="M390" s="126"/>
    </row>
    <row r="391" spans="1:13" x14ac:dyDescent="0.25">
      <c r="A391" s="100" t="str">
        <f t="shared" si="55"/>
        <v>SENTINEL LIGHTING SERVICE CLASSIFICATION</v>
      </c>
      <c r="B391" s="105" t="s">
        <v>117</v>
      </c>
      <c r="C391" s="117"/>
      <c r="D391" s="159" t="s">
        <v>177</v>
      </c>
      <c r="E391" s="119"/>
      <c r="F391" s="160">
        <f>OffPeak</f>
        <v>6.5000000000000002E-2</v>
      </c>
      <c r="G391" s="161">
        <f>IF(AND(E360*12&gt;=150000),0.65*E360*E362,0.65*E360)</f>
        <v>422.5</v>
      </c>
      <c r="H391" s="157">
        <f t="shared" si="57"/>
        <v>27.462500000000002</v>
      </c>
      <c r="I391" s="162">
        <f>OffPeak</f>
        <v>6.5000000000000002E-2</v>
      </c>
      <c r="J391" s="161">
        <f>IF(AND(E360*12&gt;=150000),0.65*E360*E363,0.65*E360)</f>
        <v>422.5</v>
      </c>
      <c r="K391" s="157">
        <f t="shared" si="58"/>
        <v>27.462500000000002</v>
      </c>
      <c r="L391" s="125">
        <f>K391-H391</f>
        <v>0</v>
      </c>
      <c r="M391" s="126">
        <f t="shared" si="59"/>
        <v>0</v>
      </c>
    </row>
    <row r="392" spans="1:13" x14ac:dyDescent="0.25">
      <c r="A392" s="100" t="str">
        <f t="shared" si="55"/>
        <v>SENTINEL LIGHTING SERVICE CLASSIFICATION</v>
      </c>
      <c r="B392" s="105" t="s">
        <v>117</v>
      </c>
      <c r="C392" s="117"/>
      <c r="D392" s="159" t="s">
        <v>178</v>
      </c>
      <c r="E392" s="119"/>
      <c r="F392" s="160">
        <f>MidPeak</f>
        <v>9.4E-2</v>
      </c>
      <c r="G392" s="161">
        <f>IF(AND(E360*12&gt;=150000),0.17*E360*E362,0.17*E360)</f>
        <v>110.50000000000001</v>
      </c>
      <c r="H392" s="157">
        <f t="shared" si="57"/>
        <v>10.387000000000002</v>
      </c>
      <c r="I392" s="162">
        <f>MidPeak</f>
        <v>9.4E-2</v>
      </c>
      <c r="J392" s="161">
        <f>IF(AND(E360*12&gt;=150000),0.17*E360*E363,0.17*E360)</f>
        <v>110.50000000000001</v>
      </c>
      <c r="K392" s="157">
        <f t="shared" si="58"/>
        <v>10.387000000000002</v>
      </c>
      <c r="L392" s="125">
        <f>K392-H392</f>
        <v>0</v>
      </c>
      <c r="M392" s="126">
        <f t="shared" si="59"/>
        <v>0</v>
      </c>
    </row>
    <row r="393" spans="1:13" ht="15.75" thickBot="1" x14ac:dyDescent="0.3">
      <c r="A393" s="100" t="str">
        <f t="shared" si="55"/>
        <v>SENTINEL LIGHTING SERVICE CLASSIFICATION</v>
      </c>
      <c r="B393" s="105" t="s">
        <v>117</v>
      </c>
      <c r="C393" s="117"/>
      <c r="D393" s="105" t="s">
        <v>179</v>
      </c>
      <c r="E393" s="119"/>
      <c r="F393" s="160">
        <f>OnPeak</f>
        <v>0.13200000000000001</v>
      </c>
      <c r="G393" s="161">
        <f>IF(AND(E360*12&gt;=150000),0.18*E360*E362,0.18*E360)</f>
        <v>117</v>
      </c>
      <c r="H393" s="157">
        <f t="shared" si="57"/>
        <v>15.444000000000001</v>
      </c>
      <c r="I393" s="162">
        <f>OnPeak</f>
        <v>0.13200000000000001</v>
      </c>
      <c r="J393" s="161">
        <f>IF(AND(E360*12&gt;=150000),0.18*E360*E363,0.18*E360)</f>
        <v>117</v>
      </c>
      <c r="K393" s="157">
        <f t="shared" si="58"/>
        <v>15.444000000000001</v>
      </c>
      <c r="L393" s="125">
        <f>K393-H393</f>
        <v>0</v>
      </c>
      <c r="M393" s="126">
        <f t="shared" si="59"/>
        <v>0</v>
      </c>
    </row>
    <row r="394" spans="1:13" hidden="1" x14ac:dyDescent="0.25">
      <c r="A394" s="100" t="str">
        <f t="shared" si="55"/>
        <v>SENTINEL LIGHTING SERVICE CLASSIFICATION</v>
      </c>
      <c r="B394" s="100" t="s">
        <v>180</v>
      </c>
      <c r="C394" s="117"/>
      <c r="D394" s="159" t="s">
        <v>181</v>
      </c>
      <c r="E394" s="119"/>
      <c r="F394" s="163">
        <v>0.1101</v>
      </c>
      <c r="G394" s="161">
        <f>IF(AND(E360*12&gt;=150000),E360*E362,E360)</f>
        <v>650</v>
      </c>
      <c r="H394" s="157">
        <f>G394*F394</f>
        <v>71.564999999999998</v>
      </c>
      <c r="I394" s="164">
        <f>F394</f>
        <v>0.1101</v>
      </c>
      <c r="J394" s="161">
        <f>IF(AND(E360*12&gt;=150000),E360*E363,E360)</f>
        <v>650</v>
      </c>
      <c r="K394" s="157">
        <f>J394*I394</f>
        <v>71.564999999999998</v>
      </c>
      <c r="L394" s="125">
        <f>K394-H394</f>
        <v>0</v>
      </c>
      <c r="M394" s="126">
        <f t="shared" si="59"/>
        <v>0</v>
      </c>
    </row>
    <row r="395" spans="1:13" ht="15.75" hidden="1" thickBot="1" x14ac:dyDescent="0.3">
      <c r="A395" s="100" t="str">
        <f t="shared" si="55"/>
        <v>SENTINEL LIGHTING SERVICE CLASSIFICATION</v>
      </c>
      <c r="B395" s="100" t="s">
        <v>121</v>
      </c>
      <c r="C395" s="117"/>
      <c r="D395" s="159" t="s">
        <v>182</v>
      </c>
      <c r="E395" s="119"/>
      <c r="F395" s="163">
        <v>0.1101</v>
      </c>
      <c r="G395" s="161">
        <f>IF(AND(E360*12&gt;=150000),E360*E362,E360)</f>
        <v>650</v>
      </c>
      <c r="H395" s="157">
        <f>G395*F395</f>
        <v>71.564999999999998</v>
      </c>
      <c r="I395" s="164">
        <f>F395</f>
        <v>0.1101</v>
      </c>
      <c r="J395" s="161">
        <f>IF(AND(E360*12&gt;=150000),E360*E363,E360)</f>
        <v>650</v>
      </c>
      <c r="K395" s="157">
        <f>J395*I395</f>
        <v>71.564999999999998</v>
      </c>
      <c r="L395" s="125">
        <f>K395-H395</f>
        <v>0</v>
      </c>
      <c r="M395" s="126">
        <f t="shared" si="59"/>
        <v>0</v>
      </c>
    </row>
    <row r="396" spans="1:13" ht="15.75" thickBot="1" x14ac:dyDescent="0.3">
      <c r="A396" s="100" t="str">
        <f t="shared" si="55"/>
        <v>SENTINEL LIGHTING SERVICE CLASSIFICATION</v>
      </c>
      <c r="B396" s="105"/>
      <c r="C396" s="117"/>
      <c r="D396" s="165"/>
      <c r="E396" s="166"/>
      <c r="F396" s="167"/>
      <c r="G396" s="168"/>
      <c r="H396" s="169"/>
      <c r="I396" s="167"/>
      <c r="J396" s="170"/>
      <c r="K396" s="169"/>
      <c r="L396" s="171"/>
      <c r="M396" s="172"/>
    </row>
    <row r="397" spans="1:13" x14ac:dyDescent="0.25">
      <c r="A397" s="100" t="str">
        <f t="shared" si="55"/>
        <v>SENTINEL LIGHTING SERVICE CLASSIFICATION</v>
      </c>
      <c r="B397" s="105" t="s">
        <v>117</v>
      </c>
      <c r="C397" s="117"/>
      <c r="D397" s="173" t="s">
        <v>183</v>
      </c>
      <c r="E397" s="158"/>
      <c r="F397" s="174"/>
      <c r="G397" s="175"/>
      <c r="H397" s="176">
        <f>SUM(H387:H393,H386)</f>
        <v>108.29829599999999</v>
      </c>
      <c r="I397" s="177"/>
      <c r="J397" s="177"/>
      <c r="K397" s="176">
        <f>SUM(K387:K393,K386)</f>
        <v>115.25238881214051</v>
      </c>
      <c r="L397" s="178">
        <f>K397-H397</f>
        <v>6.9540928121405159</v>
      </c>
      <c r="M397" s="179">
        <f>IF((H397)=0,"",(L397/H397))</f>
        <v>6.421239362935606E-2</v>
      </c>
    </row>
    <row r="398" spans="1:13" x14ac:dyDescent="0.25">
      <c r="A398" s="100" t="str">
        <f t="shared" si="55"/>
        <v>SENTINEL LIGHTING SERVICE CLASSIFICATION</v>
      </c>
      <c r="B398" s="105" t="s">
        <v>117</v>
      </c>
      <c r="C398" s="117"/>
      <c r="D398" s="180" t="s">
        <v>184</v>
      </c>
      <c r="E398" s="158"/>
      <c r="F398" s="174">
        <v>0.13</v>
      </c>
      <c r="G398" s="181"/>
      <c r="H398" s="182">
        <f>H397*F398</f>
        <v>14.07877848</v>
      </c>
      <c r="I398" s="183">
        <v>0.13</v>
      </c>
      <c r="J398" s="121"/>
      <c r="K398" s="182">
        <f>K397*I398</f>
        <v>14.982810545578266</v>
      </c>
      <c r="L398" s="184">
        <f>K398-H398</f>
        <v>0.90403206557826543</v>
      </c>
      <c r="M398" s="185">
        <f>IF((H398)=0,"",(L398/H398))</f>
        <v>6.4212393629355935E-2</v>
      </c>
    </row>
    <row r="399" spans="1:13" x14ac:dyDescent="0.25">
      <c r="A399" s="100" t="str">
        <f t="shared" si="55"/>
        <v>SENTINEL LIGHTING SERVICE CLASSIFICATION</v>
      </c>
      <c r="B399" s="105" t="s">
        <v>117</v>
      </c>
      <c r="C399" s="117"/>
      <c r="D399" s="180" t="s">
        <v>185</v>
      </c>
      <c r="E399" s="158"/>
      <c r="F399" s="174">
        <v>0.08</v>
      </c>
      <c r="G399" s="181"/>
      <c r="H399" s="182">
        <v>0</v>
      </c>
      <c r="I399" s="174">
        <v>0.08</v>
      </c>
      <c r="J399" s="121"/>
      <c r="K399" s="182">
        <v>0</v>
      </c>
      <c r="L399" s="184">
        <f>K399-H399</f>
        <v>0</v>
      </c>
      <c r="M399" s="185"/>
    </row>
    <row r="400" spans="1:13" ht="15.75" thickBot="1" x14ac:dyDescent="0.3">
      <c r="A400" s="100" t="str">
        <f t="shared" si="55"/>
        <v>SENTINEL LIGHTING SERVICE CLASSIFICATION</v>
      </c>
      <c r="B400" s="105" t="s">
        <v>186</v>
      </c>
      <c r="C400" s="117">
        <f>B35</f>
        <v>6</v>
      </c>
      <c r="D400" s="301" t="s">
        <v>187</v>
      </c>
      <c r="E400" s="301"/>
      <c r="F400" s="186"/>
      <c r="G400" s="187"/>
      <c r="H400" s="188">
        <f>H397+H398+H399</f>
        <v>122.37707447999999</v>
      </c>
      <c r="I400" s="189"/>
      <c r="J400" s="189"/>
      <c r="K400" s="190">
        <f>K397+K398+K399</f>
        <v>130.23519935771878</v>
      </c>
      <c r="L400" s="191">
        <f>K400-H400</f>
        <v>7.8581248777187938</v>
      </c>
      <c r="M400" s="192">
        <f>IF((H400)=0,"",(L400/H400))</f>
        <v>6.4212393629356143E-2</v>
      </c>
    </row>
    <row r="401" spans="1:13" ht="15.75" hidden="1" thickBot="1" x14ac:dyDescent="0.3">
      <c r="A401" s="100" t="str">
        <f t="shared" si="55"/>
        <v>SENTINEL LIGHTING SERVICE CLASSIFICATION</v>
      </c>
      <c r="B401" s="100" t="s">
        <v>117</v>
      </c>
      <c r="C401" s="117"/>
      <c r="D401" s="165"/>
      <c r="E401" s="166"/>
      <c r="F401" s="167"/>
      <c r="G401" s="168"/>
      <c r="H401" s="169"/>
      <c r="I401" s="167"/>
      <c r="J401" s="170"/>
      <c r="K401" s="169"/>
      <c r="L401" s="171"/>
      <c r="M401" s="172"/>
    </row>
    <row r="402" spans="1:13" hidden="1" x14ac:dyDescent="0.25">
      <c r="A402" s="100" t="str">
        <f t="shared" si="55"/>
        <v>SENTINEL LIGHTING SERVICE CLASSIFICATION</v>
      </c>
      <c r="B402" s="100" t="s">
        <v>180</v>
      </c>
      <c r="C402" s="117"/>
      <c r="D402" s="173" t="s">
        <v>188</v>
      </c>
      <c r="E402" s="158"/>
      <c r="F402" s="174"/>
      <c r="G402" s="175"/>
      <c r="H402" s="176">
        <f>SUM(H394,H387:H390,H386)</f>
        <v>126.569796</v>
      </c>
      <c r="I402" s="177"/>
      <c r="J402" s="177"/>
      <c r="K402" s="176">
        <f>SUM(K394,K387:K390,K386)</f>
        <v>133.52388881214051</v>
      </c>
      <c r="L402" s="178">
        <f>K402-H402</f>
        <v>6.9540928121405159</v>
      </c>
      <c r="M402" s="179">
        <f>IF((H402)=0,"",(L402/H402))</f>
        <v>5.4942751208515148E-2</v>
      </c>
    </row>
    <row r="403" spans="1:13" hidden="1" x14ac:dyDescent="0.25">
      <c r="A403" s="100" t="str">
        <f t="shared" si="55"/>
        <v>SENTINEL LIGHTING SERVICE CLASSIFICATION</v>
      </c>
      <c r="B403" s="100" t="s">
        <v>180</v>
      </c>
      <c r="C403" s="117"/>
      <c r="D403" s="180" t="s">
        <v>184</v>
      </c>
      <c r="E403" s="158"/>
      <c r="F403" s="174">
        <v>0.13</v>
      </c>
      <c r="G403" s="175"/>
      <c r="H403" s="182">
        <f>H402*F403</f>
        <v>16.454073480000002</v>
      </c>
      <c r="I403" s="174">
        <v>0.13</v>
      </c>
      <c r="J403" s="183"/>
      <c r="K403" s="182">
        <f>K402*I403</f>
        <v>17.358105545578269</v>
      </c>
      <c r="L403" s="184">
        <f>K403-H403</f>
        <v>0.90403206557826721</v>
      </c>
      <c r="M403" s="185">
        <f>IF((H403)=0,"",(L403/H403))</f>
        <v>5.4942751208515155E-2</v>
      </c>
    </row>
    <row r="404" spans="1:13" hidden="1" x14ac:dyDescent="0.25">
      <c r="A404" s="100" t="str">
        <f t="shared" si="55"/>
        <v>SENTINEL LIGHTING SERVICE CLASSIFICATION</v>
      </c>
      <c r="B404" s="100" t="s">
        <v>180</v>
      </c>
      <c r="C404" s="117"/>
      <c r="D404" s="180" t="s">
        <v>185</v>
      </c>
      <c r="E404" s="158"/>
      <c r="F404" s="174">
        <v>0.08</v>
      </c>
      <c r="G404" s="175"/>
      <c r="H404" s="182">
        <v>0</v>
      </c>
      <c r="I404" s="174">
        <v>0.08</v>
      </c>
      <c r="J404" s="183"/>
      <c r="K404" s="182">
        <v>0</v>
      </c>
      <c r="L404" s="184"/>
      <c r="M404" s="185"/>
    </row>
    <row r="405" spans="1:13" ht="15.75" hidden="1" thickBot="1" x14ac:dyDescent="0.3">
      <c r="A405" s="100" t="str">
        <f t="shared" si="55"/>
        <v>SENTINEL LIGHTING SERVICE CLASSIFICATION</v>
      </c>
      <c r="B405" s="100" t="s">
        <v>189</v>
      </c>
      <c r="C405" s="117"/>
      <c r="D405" s="301" t="s">
        <v>188</v>
      </c>
      <c r="E405" s="301"/>
      <c r="F405" s="193"/>
      <c r="G405" s="194"/>
      <c r="H405" s="188">
        <f>SUM(H402,H403)</f>
        <v>143.02386948</v>
      </c>
      <c r="I405" s="195"/>
      <c r="J405" s="195"/>
      <c r="K405" s="188">
        <f>SUM(K402,K403)</f>
        <v>150.88199435771878</v>
      </c>
      <c r="L405" s="196">
        <f>K405-H405</f>
        <v>7.8581248777187795</v>
      </c>
      <c r="M405" s="197">
        <f>IF((H405)=0,"",(L405/H405))</f>
        <v>5.4942751208515127E-2</v>
      </c>
    </row>
    <row r="406" spans="1:13" ht="15.75" hidden="1" thickBot="1" x14ac:dyDescent="0.3">
      <c r="A406" s="100" t="str">
        <f t="shared" si="55"/>
        <v>SENTINEL LIGHTING SERVICE CLASSIFICATION</v>
      </c>
      <c r="B406" s="100" t="s">
        <v>180</v>
      </c>
      <c r="C406" s="117"/>
      <c r="D406" s="165"/>
      <c r="E406" s="166"/>
      <c r="F406" s="198"/>
      <c r="G406" s="199"/>
      <c r="H406" s="200"/>
      <c r="I406" s="198"/>
      <c r="J406" s="168"/>
      <c r="K406" s="200"/>
      <c r="L406" s="201"/>
      <c r="M406" s="172"/>
    </row>
    <row r="407" spans="1:13" hidden="1" x14ac:dyDescent="0.25">
      <c r="A407" s="100" t="str">
        <f t="shared" si="55"/>
        <v>SENTINEL LIGHTING SERVICE CLASSIFICATION</v>
      </c>
      <c r="B407" s="100" t="s">
        <v>121</v>
      </c>
      <c r="C407" s="117"/>
      <c r="D407" s="173" t="s">
        <v>190</v>
      </c>
      <c r="E407" s="158"/>
      <c r="F407" s="174"/>
      <c r="G407" s="175"/>
      <c r="H407" s="176">
        <f>SUM(H395,H387:H390,H386)</f>
        <v>126.569796</v>
      </c>
      <c r="I407" s="177"/>
      <c r="J407" s="177"/>
      <c r="K407" s="176">
        <f>SUM(K395,K387:K390,K386)</f>
        <v>133.52388881214051</v>
      </c>
      <c r="L407" s="178">
        <f>K407-H407</f>
        <v>6.9540928121405159</v>
      </c>
      <c r="M407" s="179">
        <f>IF((H407)=0,"",(L407/H407))</f>
        <v>5.4942751208515148E-2</v>
      </c>
    </row>
    <row r="408" spans="1:13" hidden="1" x14ac:dyDescent="0.25">
      <c r="A408" s="100" t="str">
        <f t="shared" si="55"/>
        <v>SENTINEL LIGHTING SERVICE CLASSIFICATION</v>
      </c>
      <c r="B408" s="100" t="s">
        <v>121</v>
      </c>
      <c r="C408" s="117"/>
      <c r="D408" s="180" t="s">
        <v>184</v>
      </c>
      <c r="E408" s="158"/>
      <c r="F408" s="174">
        <v>0.13</v>
      </c>
      <c r="G408" s="175"/>
      <c r="H408" s="182">
        <f>H407*F408</f>
        <v>16.454073480000002</v>
      </c>
      <c r="I408" s="174">
        <v>0.13</v>
      </c>
      <c r="J408" s="183"/>
      <c r="K408" s="182">
        <f>K407*I408</f>
        <v>17.358105545578269</v>
      </c>
      <c r="L408" s="184">
        <f>K408-H408</f>
        <v>0.90403206557826721</v>
      </c>
      <c r="M408" s="185">
        <f>IF((H408)=0,"",(L408/H408))</f>
        <v>5.4942751208515155E-2</v>
      </c>
    </row>
    <row r="409" spans="1:13" hidden="1" x14ac:dyDescent="0.25">
      <c r="A409" s="100" t="str">
        <f t="shared" si="55"/>
        <v>SENTINEL LIGHTING SERVICE CLASSIFICATION</v>
      </c>
      <c r="B409" s="100" t="s">
        <v>121</v>
      </c>
      <c r="C409" s="117"/>
      <c r="D409" s="180" t="s">
        <v>185</v>
      </c>
      <c r="E409" s="158"/>
      <c r="F409" s="174">
        <v>0.08</v>
      </c>
      <c r="G409" s="175"/>
      <c r="H409" s="182">
        <v>0</v>
      </c>
      <c r="I409" s="174">
        <v>0.08</v>
      </c>
      <c r="J409" s="183"/>
      <c r="K409" s="182">
        <v>0</v>
      </c>
      <c r="L409" s="184"/>
      <c r="M409" s="185"/>
    </row>
    <row r="410" spans="1:13" ht="15.75" hidden="1" thickBot="1" x14ac:dyDescent="0.3">
      <c r="A410" s="100" t="str">
        <f t="shared" si="55"/>
        <v>SENTINEL LIGHTING SERVICE CLASSIFICATION</v>
      </c>
      <c r="B410" s="100" t="s">
        <v>191</v>
      </c>
      <c r="C410" s="117"/>
      <c r="D410" s="301" t="s">
        <v>190</v>
      </c>
      <c r="E410" s="301"/>
      <c r="F410" s="193"/>
      <c r="G410" s="194"/>
      <c r="H410" s="188">
        <f>SUM(H407,H408)</f>
        <v>143.02386948</v>
      </c>
      <c r="I410" s="195"/>
      <c r="J410" s="195"/>
      <c r="K410" s="188">
        <f>SUM(K407,K408)</f>
        <v>150.88199435771878</v>
      </c>
      <c r="L410" s="196">
        <f>K410-H410</f>
        <v>7.8581248777187795</v>
      </c>
      <c r="M410" s="197">
        <f>IF((H410)=0,"",(L410/H410))</f>
        <v>5.4942751208515127E-2</v>
      </c>
    </row>
    <row r="411" spans="1:13" ht="15.75" thickBot="1" x14ac:dyDescent="0.3">
      <c r="A411" s="100" t="str">
        <f t="shared" si="55"/>
        <v>SENTINEL LIGHTING SERVICE CLASSIFICATION</v>
      </c>
      <c r="B411" s="100" t="s">
        <v>121</v>
      </c>
      <c r="C411" s="117"/>
      <c r="D411" s="165"/>
      <c r="E411" s="166"/>
      <c r="F411" s="202"/>
      <c r="G411" s="203"/>
      <c r="H411" s="204"/>
      <c r="I411" s="202"/>
      <c r="J411" s="205"/>
      <c r="K411" s="204"/>
      <c r="L411" s="206"/>
      <c r="M411" s="207"/>
    </row>
    <row r="414" spans="1:13" x14ac:dyDescent="0.25">
      <c r="C414" s="100"/>
      <c r="D414" s="101" t="s">
        <v>134</v>
      </c>
      <c r="E414" s="302" t="str">
        <f>D36</f>
        <v>STREET LIGHTING SERVICE CLASSIFICATION</v>
      </c>
      <c r="F414" s="302"/>
      <c r="G414" s="302"/>
      <c r="H414" s="302"/>
      <c r="I414" s="302"/>
      <c r="J414" s="302"/>
      <c r="K414" s="100" t="str">
        <f>IF(N36="DEMAND - INTERVAL","RTSR - INTERVAL METERED","")</f>
        <v/>
      </c>
    </row>
    <row r="415" spans="1:13" x14ac:dyDescent="0.25">
      <c r="C415" s="100"/>
      <c r="D415" s="101" t="s">
        <v>135</v>
      </c>
      <c r="E415" s="303" t="str">
        <f>H36</f>
        <v>Non-RPP (Other)</v>
      </c>
      <c r="F415" s="303"/>
      <c r="G415" s="303"/>
      <c r="H415" s="102"/>
      <c r="I415" s="102"/>
    </row>
    <row r="416" spans="1:13" ht="15.75" x14ac:dyDescent="0.25">
      <c r="C416" s="100"/>
      <c r="D416" s="101" t="s">
        <v>136</v>
      </c>
      <c r="E416" s="103">
        <f>K36</f>
        <v>94033.37</v>
      </c>
      <c r="F416" s="104" t="s">
        <v>137</v>
      </c>
      <c r="G416" s="105"/>
      <c r="J416" s="106"/>
      <c r="K416" s="106"/>
      <c r="L416" s="106"/>
      <c r="M416" s="106"/>
    </row>
    <row r="417" spans="1:13" ht="15.75" x14ac:dyDescent="0.25">
      <c r="C417" s="100"/>
      <c r="D417" s="101" t="s">
        <v>138</v>
      </c>
      <c r="E417" s="103">
        <f>L36</f>
        <v>251</v>
      </c>
      <c r="F417" s="107" t="s">
        <v>139</v>
      </c>
      <c r="G417" s="108"/>
      <c r="H417" s="109"/>
      <c r="I417" s="109"/>
      <c r="J417" s="109"/>
    </row>
    <row r="418" spans="1:13" x14ac:dyDescent="0.25">
      <c r="C418" s="100"/>
      <c r="D418" s="101" t="s">
        <v>140</v>
      </c>
      <c r="E418" s="110">
        <f>I36</f>
        <v>1.056</v>
      </c>
    </row>
    <row r="419" spans="1:13" x14ac:dyDescent="0.25">
      <c r="C419" s="100"/>
      <c r="D419" s="101" t="s">
        <v>141</v>
      </c>
      <c r="E419" s="110">
        <f>J36</f>
        <v>1.056</v>
      </c>
    </row>
    <row r="420" spans="1:13" x14ac:dyDescent="0.25">
      <c r="C420" s="100"/>
      <c r="D420" s="105"/>
    </row>
    <row r="421" spans="1:13" x14ac:dyDescent="0.25">
      <c r="C421" s="100"/>
      <c r="D421" s="105"/>
      <c r="E421" s="111"/>
      <c r="F421" s="304" t="s">
        <v>142</v>
      </c>
      <c r="G421" s="305"/>
      <c r="H421" s="306"/>
      <c r="I421" s="304" t="s">
        <v>143</v>
      </c>
      <c r="J421" s="305"/>
      <c r="K421" s="306"/>
      <c r="L421" s="304" t="s">
        <v>144</v>
      </c>
      <c r="M421" s="306"/>
    </row>
    <row r="422" spans="1:13" x14ac:dyDescent="0.25">
      <c r="C422" s="100"/>
      <c r="D422" s="105"/>
      <c r="E422" s="295"/>
      <c r="F422" s="112" t="s">
        <v>145</v>
      </c>
      <c r="G422" s="112" t="s">
        <v>146</v>
      </c>
      <c r="H422" s="113" t="s">
        <v>147</v>
      </c>
      <c r="I422" s="112" t="s">
        <v>145</v>
      </c>
      <c r="J422" s="114" t="s">
        <v>146</v>
      </c>
      <c r="K422" s="113" t="s">
        <v>147</v>
      </c>
      <c r="L422" s="297" t="s">
        <v>148</v>
      </c>
      <c r="M422" s="299" t="s">
        <v>149</v>
      </c>
    </row>
    <row r="423" spans="1:13" x14ac:dyDescent="0.25">
      <c r="C423" s="100"/>
      <c r="D423" s="105"/>
      <c r="E423" s="296"/>
      <c r="F423" s="115" t="s">
        <v>150</v>
      </c>
      <c r="G423" s="115"/>
      <c r="H423" s="116" t="s">
        <v>150</v>
      </c>
      <c r="I423" s="115" t="s">
        <v>150</v>
      </c>
      <c r="J423" s="116"/>
      <c r="K423" s="116" t="s">
        <v>150</v>
      </c>
      <c r="L423" s="298"/>
      <c r="M423" s="300"/>
    </row>
    <row r="424" spans="1:13" x14ac:dyDescent="0.25">
      <c r="A424" s="100" t="str">
        <f>$E414</f>
        <v>STREET LIGHTING SERVICE CLASSIFICATION</v>
      </c>
      <c r="C424" s="117"/>
      <c r="D424" s="118" t="s">
        <v>151</v>
      </c>
      <c r="E424" s="119"/>
      <c r="F424" s="120">
        <v>2.2999999999999998</v>
      </c>
      <c r="G424" s="121">
        <v>1</v>
      </c>
      <c r="H424" s="122">
        <f>G424*F424</f>
        <v>2.2999999999999998</v>
      </c>
      <c r="I424" s="123">
        <v>2.33</v>
      </c>
      <c r="J424" s="124">
        <f>G424</f>
        <v>1</v>
      </c>
      <c r="K424" s="122">
        <f>J424*I424</f>
        <v>2.33</v>
      </c>
      <c r="L424" s="125">
        <f t="shared" ref="L424:L445" si="60">K424-H424</f>
        <v>3.0000000000000249E-2</v>
      </c>
      <c r="M424" s="126">
        <f>IF(ISERROR(L424/H424), "", L424/H424)</f>
        <v>1.3043478260869674E-2</v>
      </c>
    </row>
    <row r="425" spans="1:13" x14ac:dyDescent="0.25">
      <c r="A425" s="100" t="str">
        <f>A424</f>
        <v>STREET LIGHTING SERVICE CLASSIFICATION</v>
      </c>
      <c r="C425" s="117"/>
      <c r="D425" s="118" t="s">
        <v>152</v>
      </c>
      <c r="E425" s="119"/>
      <c r="F425" s="127">
        <v>1.5523</v>
      </c>
      <c r="G425" s="121">
        <f>IF($E417&gt;0, $E417, $E416)</f>
        <v>251</v>
      </c>
      <c r="H425" s="122">
        <f t="shared" ref="H425:H437" si="61">G425*F425</f>
        <v>389.62729999999999</v>
      </c>
      <c r="I425" s="128">
        <v>1.5709</v>
      </c>
      <c r="J425" s="124">
        <f>IF($E417&gt;0, $E417, $E416)</f>
        <v>251</v>
      </c>
      <c r="K425" s="122">
        <f>J425*I425</f>
        <v>394.29590000000002</v>
      </c>
      <c r="L425" s="125">
        <f t="shared" si="60"/>
        <v>4.6686000000000263</v>
      </c>
      <c r="M425" s="126">
        <f t="shared" ref="M425:M435" si="62">IF(ISERROR(L425/H425), "", L425/H425)</f>
        <v>1.1982219931714298E-2</v>
      </c>
    </row>
    <row r="426" spans="1:13" x14ac:dyDescent="0.25">
      <c r="A426" s="100" t="str">
        <f t="shared" ref="A426:A467" si="63">A425</f>
        <v>STREET LIGHTING SERVICE CLASSIFICATION</v>
      </c>
      <c r="C426" s="117"/>
      <c r="D426" s="118" t="s">
        <v>153</v>
      </c>
      <c r="E426" s="119"/>
      <c r="F426" s="127"/>
      <c r="G426" s="121"/>
      <c r="H426" s="122">
        <v>0</v>
      </c>
      <c r="I426" s="128"/>
      <c r="J426" s="124">
        <f>IF($E417&gt;0, $E417, $E416)</f>
        <v>251</v>
      </c>
      <c r="K426" s="122">
        <v>0</v>
      </c>
      <c r="L426" s="125"/>
      <c r="M426" s="126"/>
    </row>
    <row r="427" spans="1:13" x14ac:dyDescent="0.25">
      <c r="A427" s="100" t="str">
        <f t="shared" si="63"/>
        <v>STREET LIGHTING SERVICE CLASSIFICATION</v>
      </c>
      <c r="C427" s="117"/>
      <c r="D427" s="118" t="s">
        <v>154</v>
      </c>
      <c r="E427" s="119"/>
      <c r="F427" s="127"/>
      <c r="G427" s="121">
        <f>IF($E417&gt;0, $E417, $E416)</f>
        <v>251</v>
      </c>
      <c r="H427" s="122">
        <v>0</v>
      </c>
      <c r="I427" s="128"/>
      <c r="J427" s="121">
        <f>IF($E417&gt;0, $E417, $E416)</f>
        <v>251</v>
      </c>
      <c r="K427" s="122">
        <v>0</v>
      </c>
      <c r="L427" s="125">
        <f>K427-H427</f>
        <v>0</v>
      </c>
      <c r="M427" s="126" t="str">
        <f>IF(ISERROR(L427/H427), "", L427/H427)</f>
        <v/>
      </c>
    </row>
    <row r="428" spans="1:13" x14ac:dyDescent="0.25">
      <c r="A428" s="100" t="str">
        <f t="shared" si="63"/>
        <v>STREET LIGHTING SERVICE CLASSIFICATION</v>
      </c>
      <c r="C428" s="117"/>
      <c r="D428" s="129" t="s">
        <v>155</v>
      </c>
      <c r="E428" s="119"/>
      <c r="F428" s="120">
        <v>0</v>
      </c>
      <c r="G428" s="121">
        <v>1</v>
      </c>
      <c r="H428" s="122">
        <f t="shared" si="61"/>
        <v>0</v>
      </c>
      <c r="I428" s="226">
        <f>'Rate Riders'!O14</f>
        <v>0.40745065494045524</v>
      </c>
      <c r="J428" s="124">
        <f>G428</f>
        <v>1</v>
      </c>
      <c r="K428" s="122">
        <f t="shared" ref="K428:K435" si="64">J428*I428</f>
        <v>0.40745065494045524</v>
      </c>
      <c r="L428" s="125">
        <f t="shared" si="60"/>
        <v>0.40745065494045524</v>
      </c>
      <c r="M428" s="126" t="str">
        <f t="shared" si="62"/>
        <v/>
      </c>
    </row>
    <row r="429" spans="1:13" x14ac:dyDescent="0.25">
      <c r="A429" s="100" t="str">
        <f t="shared" si="63"/>
        <v>STREET LIGHTING SERVICE CLASSIFICATION</v>
      </c>
      <c r="C429" s="117"/>
      <c r="D429" s="118" t="s">
        <v>156</v>
      </c>
      <c r="E429" s="119"/>
      <c r="F429" s="127">
        <v>0</v>
      </c>
      <c r="G429" s="121">
        <f>IF($E417&gt;0, $E417, $E416)</f>
        <v>251</v>
      </c>
      <c r="H429" s="122">
        <f t="shared" si="61"/>
        <v>0</v>
      </c>
      <c r="I429" s="227">
        <f>'Rate Riders'!Q14</f>
        <v>0.27499376159307343</v>
      </c>
      <c r="J429" s="124">
        <f>IF($E417&gt;0, $E417, $E416)</f>
        <v>251</v>
      </c>
      <c r="K429" s="122">
        <f t="shared" si="64"/>
        <v>69.023434159861424</v>
      </c>
      <c r="L429" s="125">
        <f t="shared" si="60"/>
        <v>69.023434159861424</v>
      </c>
      <c r="M429" s="126" t="str">
        <f t="shared" si="62"/>
        <v/>
      </c>
    </row>
    <row r="430" spans="1:13" x14ac:dyDescent="0.25">
      <c r="A430" s="100" t="str">
        <f t="shared" si="63"/>
        <v>STREET LIGHTING SERVICE CLASSIFICATION</v>
      </c>
      <c r="B430" s="130" t="s">
        <v>157</v>
      </c>
      <c r="C430" s="117">
        <f>B36</f>
        <v>7</v>
      </c>
      <c r="D430" s="131" t="s">
        <v>158</v>
      </c>
      <c r="E430" s="132"/>
      <c r="F430" s="133"/>
      <c r="G430" s="134"/>
      <c r="H430" s="135">
        <f>SUM(H424:H429)</f>
        <v>391.9273</v>
      </c>
      <c r="I430" s="136"/>
      <c r="J430" s="137"/>
      <c r="K430" s="135">
        <f>SUM(K424:K429)</f>
        <v>466.05678481480192</v>
      </c>
      <c r="L430" s="138">
        <f t="shared" si="60"/>
        <v>74.129484814801913</v>
      </c>
      <c r="M430" s="139">
        <f>IF((H430)=0,"",(L430/H430))</f>
        <v>0.18914090652731236</v>
      </c>
    </row>
    <row r="431" spans="1:13" x14ac:dyDescent="0.25">
      <c r="A431" s="100" t="str">
        <f t="shared" si="63"/>
        <v>STREET LIGHTING SERVICE CLASSIFICATION</v>
      </c>
      <c r="C431" s="117"/>
      <c r="D431" s="140" t="s">
        <v>159</v>
      </c>
      <c r="E431" s="119"/>
      <c r="F431" s="127">
        <f>IF((E416*12&gt;=150000), 0, IF(E415="RPP",(F447*0.65+F448*0.17+F449*0.18),IF(E415="Non-RPP (Retailer)",F450,F451)))</f>
        <v>0</v>
      </c>
      <c r="G431" s="141">
        <f>IF(F431=0, 0, $E416*E418-E416)</f>
        <v>0</v>
      </c>
      <c r="H431" s="122">
        <f>G431*F431</f>
        <v>0</v>
      </c>
      <c r="I431" s="128">
        <f>IF((E416*12&gt;=150000), 0, IF(E415="RPP",(I447*0.65+I448*0.17+I449*0.18),IF(E415="Non-RPP (Retailer)",I450,I451)))</f>
        <v>0</v>
      </c>
      <c r="J431" s="141">
        <f>IF(I431=0, 0, E416*E419-E416)</f>
        <v>0</v>
      </c>
      <c r="K431" s="122">
        <f>J431*I431</f>
        <v>0</v>
      </c>
      <c r="L431" s="125">
        <f>K431-H431</f>
        <v>0</v>
      </c>
      <c r="M431" s="126" t="str">
        <f>IF(ISERROR(L431/H431), "", L431/H431)</f>
        <v/>
      </c>
    </row>
    <row r="432" spans="1:13" ht="25.5" x14ac:dyDescent="0.25">
      <c r="A432" s="100" t="str">
        <f t="shared" si="63"/>
        <v>STREET LIGHTING SERVICE CLASSIFICATION</v>
      </c>
      <c r="C432" s="117"/>
      <c r="D432" s="140" t="s">
        <v>160</v>
      </c>
      <c r="E432" s="119"/>
      <c r="F432" s="127">
        <v>-0.97850000000000004</v>
      </c>
      <c r="G432" s="142">
        <f>IF($E417&gt;0, $E417, $E416)</f>
        <v>251</v>
      </c>
      <c r="H432" s="122">
        <f t="shared" si="61"/>
        <v>-245.6035</v>
      </c>
      <c r="I432" s="128">
        <v>-1.8794</v>
      </c>
      <c r="J432" s="142">
        <f>IF($E417&gt;0, $E417, $E416)</f>
        <v>251</v>
      </c>
      <c r="K432" s="122">
        <f t="shared" si="64"/>
        <v>-471.7294</v>
      </c>
      <c r="L432" s="125">
        <f t="shared" si="60"/>
        <v>-226.1259</v>
      </c>
      <c r="M432" s="126">
        <f t="shared" si="62"/>
        <v>0.92069494123658668</v>
      </c>
    </row>
    <row r="433" spans="1:13" x14ac:dyDescent="0.25">
      <c r="A433" s="100" t="str">
        <f t="shared" si="63"/>
        <v>STREET LIGHTING SERVICE CLASSIFICATION</v>
      </c>
      <c r="C433" s="117"/>
      <c r="D433" s="140" t="s">
        <v>161</v>
      </c>
      <c r="E433" s="119"/>
      <c r="F433" s="127">
        <v>-2.8500000000000001E-2</v>
      </c>
      <c r="G433" s="142">
        <f>IF($E417&gt;0, $E417, $E416)</f>
        <v>251</v>
      </c>
      <c r="H433" s="122">
        <f>G433*F433</f>
        <v>-7.1535000000000002</v>
      </c>
      <c r="I433" s="128">
        <v>0</v>
      </c>
      <c r="J433" s="142">
        <f>IF($E417&gt;0, $E417, $E416)</f>
        <v>251</v>
      </c>
      <c r="K433" s="122">
        <f>J433*I433</f>
        <v>0</v>
      </c>
      <c r="L433" s="125">
        <f t="shared" si="60"/>
        <v>7.1535000000000002</v>
      </c>
      <c r="M433" s="126">
        <f t="shared" si="62"/>
        <v>-1</v>
      </c>
    </row>
    <row r="434" spans="1:13" x14ac:dyDescent="0.25">
      <c r="A434" s="100" t="str">
        <f t="shared" si="63"/>
        <v>STREET LIGHTING SERVICE CLASSIFICATION</v>
      </c>
      <c r="C434" s="117"/>
      <c r="D434" s="140" t="s">
        <v>162</v>
      </c>
      <c r="E434" s="119"/>
      <c r="F434" s="127">
        <v>-1E-3</v>
      </c>
      <c r="G434" s="142">
        <f>E416</f>
        <v>94033.37</v>
      </c>
      <c r="H434" s="122">
        <f>G434*F434</f>
        <v>-94.033369999999991</v>
      </c>
      <c r="I434" s="128">
        <v>1.37E-2</v>
      </c>
      <c r="J434" s="142">
        <f>E416</f>
        <v>94033.37</v>
      </c>
      <c r="K434" s="122">
        <f t="shared" si="64"/>
        <v>1288.257169</v>
      </c>
      <c r="L434" s="125">
        <f t="shared" si="60"/>
        <v>1382.2905390000001</v>
      </c>
      <c r="M434" s="126">
        <f t="shared" si="62"/>
        <v>-14.700000000000003</v>
      </c>
    </row>
    <row r="435" spans="1:13" x14ac:dyDescent="0.25">
      <c r="A435" s="100" t="str">
        <f t="shared" si="63"/>
        <v>STREET LIGHTING SERVICE CLASSIFICATION</v>
      </c>
      <c r="C435" s="117"/>
      <c r="D435" s="143" t="s">
        <v>163</v>
      </c>
      <c r="E435" s="119"/>
      <c r="F435" s="127">
        <v>0.73929999999999996</v>
      </c>
      <c r="G435" s="142">
        <f>IF($E417&gt;0, $E417, $E416)</f>
        <v>251</v>
      </c>
      <c r="H435" s="122">
        <f t="shared" si="61"/>
        <v>185.5643</v>
      </c>
      <c r="I435" s="128">
        <v>0.73929999999999996</v>
      </c>
      <c r="J435" s="142">
        <f>IF($E417&gt;0, $E417, $E416)</f>
        <v>251</v>
      </c>
      <c r="K435" s="122">
        <f t="shared" si="64"/>
        <v>185.5643</v>
      </c>
      <c r="L435" s="125">
        <f t="shared" si="60"/>
        <v>0</v>
      </c>
      <c r="M435" s="126">
        <f t="shared" si="62"/>
        <v>0</v>
      </c>
    </row>
    <row r="436" spans="1:13" ht="25.5" x14ac:dyDescent="0.25">
      <c r="A436" s="100" t="str">
        <f t="shared" si="63"/>
        <v>STREET LIGHTING SERVICE CLASSIFICATION</v>
      </c>
      <c r="C436" s="117"/>
      <c r="D436" s="144" t="s">
        <v>164</v>
      </c>
      <c r="E436" s="119"/>
      <c r="F436" s="145">
        <f>IF(OR(ISNUMBER(SEARCH("RESIDENTIAL", E414))=TRUE, ISNUMBER(SEARCH("GENERAL SERVICE LESS THAN 50", E414))=TRUE), SME, 0)</f>
        <v>0</v>
      </c>
      <c r="G436" s="121">
        <v>1</v>
      </c>
      <c r="H436" s="122">
        <f>G436*F436</f>
        <v>0</v>
      </c>
      <c r="I436" s="146">
        <f>IF(OR(ISNUMBER(SEARCH("RESIDENTIAL", E414))=TRUE, ISNUMBER(SEARCH("GENERAL SERVICE LESS THAN 50", E414))=TRUE), SME, 0)</f>
        <v>0</v>
      </c>
      <c r="J436" s="121">
        <v>1</v>
      </c>
      <c r="K436" s="122">
        <f>J436*I436</f>
        <v>0</v>
      </c>
      <c r="L436" s="125">
        <f t="shared" si="60"/>
        <v>0</v>
      </c>
      <c r="M436" s="126" t="str">
        <f>IF(ISERROR(L436/H436), "", L436/H436)</f>
        <v/>
      </c>
    </row>
    <row r="437" spans="1:13" x14ac:dyDescent="0.25">
      <c r="A437" s="100" t="str">
        <f t="shared" si="63"/>
        <v>STREET LIGHTING SERVICE CLASSIFICATION</v>
      </c>
      <c r="C437" s="117"/>
      <c r="D437" s="143" t="s">
        <v>165</v>
      </c>
      <c r="E437" s="119"/>
      <c r="F437" s="120">
        <v>0</v>
      </c>
      <c r="G437" s="121">
        <v>1</v>
      </c>
      <c r="H437" s="122">
        <f t="shared" si="61"/>
        <v>0</v>
      </c>
      <c r="I437" s="123">
        <v>0</v>
      </c>
      <c r="J437" s="121">
        <v>1</v>
      </c>
      <c r="K437" s="122">
        <f>J437*I437</f>
        <v>0</v>
      </c>
      <c r="L437" s="125">
        <f>K437-H437</f>
        <v>0</v>
      </c>
      <c r="M437" s="126" t="str">
        <f>IF(ISERROR(L437/H437), "", L437/H437)</f>
        <v/>
      </c>
    </row>
    <row r="438" spans="1:13" x14ac:dyDescent="0.25">
      <c r="A438" s="100" t="str">
        <f t="shared" si="63"/>
        <v>STREET LIGHTING SERVICE CLASSIFICATION</v>
      </c>
      <c r="C438" s="117"/>
      <c r="D438" s="143" t="s">
        <v>166</v>
      </c>
      <c r="E438" s="119"/>
      <c r="F438" s="127"/>
      <c r="G438" s="142">
        <f>IF($E417&gt;0, $E417, $E416)</f>
        <v>251</v>
      </c>
      <c r="H438" s="122">
        <f>G438*F438</f>
        <v>0</v>
      </c>
      <c r="I438" s="128">
        <v>0</v>
      </c>
      <c r="J438" s="142">
        <f>IF($E417&gt;0, $E417, $E416)</f>
        <v>251</v>
      </c>
      <c r="K438" s="122">
        <f>J438*I438</f>
        <v>0</v>
      </c>
      <c r="L438" s="125">
        <f t="shared" si="60"/>
        <v>0</v>
      </c>
      <c r="M438" s="126" t="str">
        <f>IF(ISERROR(L438/H438), "", L438/H438)</f>
        <v/>
      </c>
    </row>
    <row r="439" spans="1:13" ht="25.5" x14ac:dyDescent="0.25">
      <c r="A439" s="100" t="str">
        <f t="shared" si="63"/>
        <v>STREET LIGHTING SERVICE CLASSIFICATION</v>
      </c>
      <c r="B439" s="105" t="s">
        <v>167</v>
      </c>
      <c r="C439" s="117">
        <f>B36</f>
        <v>7</v>
      </c>
      <c r="D439" s="147" t="s">
        <v>168</v>
      </c>
      <c r="E439" s="148"/>
      <c r="F439" s="149"/>
      <c r="G439" s="150"/>
      <c r="H439" s="151">
        <f>SUM(H430:H438)</f>
        <v>230.70123000000001</v>
      </c>
      <c r="I439" s="152"/>
      <c r="J439" s="153"/>
      <c r="K439" s="151">
        <f>SUM(K430:K438)</f>
        <v>1468.1488538148019</v>
      </c>
      <c r="L439" s="138">
        <f t="shared" si="60"/>
        <v>1237.4476238148018</v>
      </c>
      <c r="M439" s="139">
        <f>IF((H439)=0,"",(L439/H439))</f>
        <v>5.3638536032720836</v>
      </c>
    </row>
    <row r="440" spans="1:13" x14ac:dyDescent="0.25">
      <c r="A440" s="100" t="str">
        <f t="shared" si="63"/>
        <v>STREET LIGHTING SERVICE CLASSIFICATION</v>
      </c>
      <c r="C440" s="117"/>
      <c r="D440" s="154" t="s">
        <v>169</v>
      </c>
      <c r="E440" s="119"/>
      <c r="F440" s="127">
        <v>1.8616999999999999</v>
      </c>
      <c r="G440" s="141">
        <f>IF($E417&gt;0, $E417, $E416*$E418)</f>
        <v>251</v>
      </c>
      <c r="H440" s="122">
        <f>G440*F440</f>
        <v>467.2867</v>
      </c>
      <c r="I440" s="128">
        <v>1.766</v>
      </c>
      <c r="J440" s="141">
        <f>IF($E417&gt;0, $E417, $E416*$E419)</f>
        <v>251</v>
      </c>
      <c r="K440" s="122">
        <f>J440*I440</f>
        <v>443.26600000000002</v>
      </c>
      <c r="L440" s="125">
        <f t="shared" si="60"/>
        <v>-24.020699999999977</v>
      </c>
      <c r="M440" s="126">
        <f>IF(ISERROR(L440/H440), "", L440/H440)</f>
        <v>-5.1404630176720152E-2</v>
      </c>
    </row>
    <row r="441" spans="1:13" ht="25.5" x14ac:dyDescent="0.25">
      <c r="A441" s="100" t="str">
        <f t="shared" si="63"/>
        <v>STREET LIGHTING SERVICE CLASSIFICATION</v>
      </c>
      <c r="C441" s="117"/>
      <c r="D441" s="155" t="s">
        <v>170</v>
      </c>
      <c r="E441" s="119"/>
      <c r="F441" s="127">
        <v>1.5617000000000001</v>
      </c>
      <c r="G441" s="141">
        <f>IF($E417&gt;0, $E417, $E416*$E418)</f>
        <v>251</v>
      </c>
      <c r="H441" s="122">
        <f>G441*F441</f>
        <v>391.98670000000004</v>
      </c>
      <c r="I441" s="128">
        <v>1.4761</v>
      </c>
      <c r="J441" s="141">
        <f>IF($E417&gt;0, $E417, $E416*$E419)</f>
        <v>251</v>
      </c>
      <c r="K441" s="122">
        <f>J441*I441</f>
        <v>370.50110000000001</v>
      </c>
      <c r="L441" s="125">
        <f t="shared" si="60"/>
        <v>-21.485600000000034</v>
      </c>
      <c r="M441" s="126">
        <f>IF(ISERROR(L441/H441), "", L441/H441)</f>
        <v>-5.4812063776653729E-2</v>
      </c>
    </row>
    <row r="442" spans="1:13" ht="25.5" x14ac:dyDescent="0.25">
      <c r="A442" s="100" t="str">
        <f t="shared" si="63"/>
        <v>STREET LIGHTING SERVICE CLASSIFICATION</v>
      </c>
      <c r="B442" s="105" t="s">
        <v>171</v>
      </c>
      <c r="C442" s="117">
        <f>B36</f>
        <v>7</v>
      </c>
      <c r="D442" s="147" t="s">
        <v>172</v>
      </c>
      <c r="E442" s="132"/>
      <c r="F442" s="149"/>
      <c r="G442" s="150"/>
      <c r="H442" s="151">
        <f>SUM(H439:H441)</f>
        <v>1089.9746300000002</v>
      </c>
      <c r="I442" s="152"/>
      <c r="J442" s="137"/>
      <c r="K442" s="151">
        <f>SUM(K439:K441)</f>
        <v>2281.9159538148019</v>
      </c>
      <c r="L442" s="138">
        <f t="shared" si="60"/>
        <v>1191.9413238148018</v>
      </c>
      <c r="M442" s="139">
        <f>IF((H442)=0,"",(L442/H442))</f>
        <v>1.0935496029066305</v>
      </c>
    </row>
    <row r="443" spans="1:13" ht="25.5" x14ac:dyDescent="0.25">
      <c r="A443" s="100" t="str">
        <f t="shared" si="63"/>
        <v>STREET LIGHTING SERVICE CLASSIFICATION</v>
      </c>
      <c r="C443" s="117"/>
      <c r="D443" s="156" t="s">
        <v>173</v>
      </c>
      <c r="E443" s="119"/>
      <c r="F443" s="127">
        <v>3.6000000000000003E-3</v>
      </c>
      <c r="G443" s="141">
        <f>E416*E418</f>
        <v>99299.238719999994</v>
      </c>
      <c r="H443" s="157">
        <f t="shared" ref="H443:H449" si="65">G443*F443</f>
        <v>357.47725939200001</v>
      </c>
      <c r="I443" s="128">
        <v>3.6000000000000003E-3</v>
      </c>
      <c r="J443" s="141">
        <f>E416*E419</f>
        <v>99299.238719999994</v>
      </c>
      <c r="K443" s="157">
        <f t="shared" ref="K443:K449" si="66">J443*I443</f>
        <v>357.47725939200001</v>
      </c>
      <c r="L443" s="125">
        <f t="shared" si="60"/>
        <v>0</v>
      </c>
      <c r="M443" s="126">
        <f t="shared" ref="M443:M451" si="67">IF(ISERROR(L443/H443), "", L443/H443)</f>
        <v>0</v>
      </c>
    </row>
    <row r="444" spans="1:13" ht="25.5" x14ac:dyDescent="0.25">
      <c r="A444" s="100" t="str">
        <f t="shared" si="63"/>
        <v>STREET LIGHTING SERVICE CLASSIFICATION</v>
      </c>
      <c r="C444" s="117"/>
      <c r="D444" s="156" t="s">
        <v>174</v>
      </c>
      <c r="E444" s="119"/>
      <c r="F444" s="127">
        <f>'[1]17. Regulatory Charges'!$D$16</f>
        <v>2.9999999999999997E-4</v>
      </c>
      <c r="G444" s="141">
        <f>E416*E418</f>
        <v>99299.238719999994</v>
      </c>
      <c r="H444" s="157">
        <f t="shared" si="65"/>
        <v>29.789771615999996</v>
      </c>
      <c r="I444" s="128">
        <v>2.9999999999999997E-4</v>
      </c>
      <c r="J444" s="141">
        <f>E416*E419</f>
        <v>99299.238719999994</v>
      </c>
      <c r="K444" s="157">
        <f t="shared" si="66"/>
        <v>29.789771615999996</v>
      </c>
      <c r="L444" s="125">
        <f t="shared" si="60"/>
        <v>0</v>
      </c>
      <c r="M444" s="126">
        <f t="shared" si="67"/>
        <v>0</v>
      </c>
    </row>
    <row r="445" spans="1:13" x14ac:dyDescent="0.25">
      <c r="A445" s="100" t="str">
        <f t="shared" si="63"/>
        <v>STREET LIGHTING SERVICE CLASSIFICATION</v>
      </c>
      <c r="C445" s="117"/>
      <c r="D445" s="158" t="s">
        <v>175</v>
      </c>
      <c r="E445" s="119"/>
      <c r="F445" s="145">
        <v>0.25</v>
      </c>
      <c r="G445" s="121">
        <v>1</v>
      </c>
      <c r="H445" s="157">
        <f t="shared" si="65"/>
        <v>0.25</v>
      </c>
      <c r="I445" s="146">
        <f>'[1]17. Regulatory Charges'!$D$17</f>
        <v>0.25</v>
      </c>
      <c r="J445" s="124">
        <v>1</v>
      </c>
      <c r="K445" s="157">
        <f t="shared" si="66"/>
        <v>0.25</v>
      </c>
      <c r="L445" s="125">
        <f t="shared" si="60"/>
        <v>0</v>
      </c>
      <c r="M445" s="126">
        <f t="shared" si="67"/>
        <v>0</v>
      </c>
    </row>
    <row r="446" spans="1:13" ht="25.5" x14ac:dyDescent="0.25">
      <c r="A446" s="100" t="str">
        <f t="shared" si="63"/>
        <v>STREET LIGHTING SERVICE CLASSIFICATION</v>
      </c>
      <c r="C446" s="117"/>
      <c r="D446" s="156" t="s">
        <v>176</v>
      </c>
      <c r="E446" s="119"/>
      <c r="F446" s="127"/>
      <c r="G446" s="141"/>
      <c r="H446" s="157"/>
      <c r="I446" s="128"/>
      <c r="J446" s="141"/>
      <c r="K446" s="157"/>
      <c r="L446" s="125"/>
      <c r="M446" s="126"/>
    </row>
    <row r="447" spans="1:13" hidden="1" x14ac:dyDescent="0.25">
      <c r="A447" s="100" t="str">
        <f t="shared" si="63"/>
        <v>STREET LIGHTING SERVICE CLASSIFICATION</v>
      </c>
      <c r="B447" s="105" t="s">
        <v>117</v>
      </c>
      <c r="C447" s="117"/>
      <c r="D447" s="159" t="s">
        <v>177</v>
      </c>
      <c r="E447" s="119"/>
      <c r="F447" s="160">
        <f>OffPeak</f>
        <v>6.5000000000000002E-2</v>
      </c>
      <c r="G447" s="161">
        <f>IF(AND(E416*12&gt;=150000),0.65*E416*E418,0.65*E416)</f>
        <v>64544.505168000003</v>
      </c>
      <c r="H447" s="157">
        <f t="shared" si="65"/>
        <v>4195.3928359199999</v>
      </c>
      <c r="I447" s="162">
        <f>OffPeak</f>
        <v>6.5000000000000002E-2</v>
      </c>
      <c r="J447" s="161">
        <f>IF(AND(E416*12&gt;=150000),0.65*E416*E419,0.65*E416)</f>
        <v>64544.505168000003</v>
      </c>
      <c r="K447" s="157">
        <f t="shared" si="66"/>
        <v>4195.3928359199999</v>
      </c>
      <c r="L447" s="125">
        <f>K447-H447</f>
        <v>0</v>
      </c>
      <c r="M447" s="126">
        <f t="shared" si="67"/>
        <v>0</v>
      </c>
    </row>
    <row r="448" spans="1:13" hidden="1" x14ac:dyDescent="0.25">
      <c r="A448" s="100" t="str">
        <f t="shared" si="63"/>
        <v>STREET LIGHTING SERVICE CLASSIFICATION</v>
      </c>
      <c r="B448" s="105" t="s">
        <v>117</v>
      </c>
      <c r="C448" s="117"/>
      <c r="D448" s="159" t="s">
        <v>178</v>
      </c>
      <c r="E448" s="119"/>
      <c r="F448" s="160">
        <f>MidPeak</f>
        <v>9.4E-2</v>
      </c>
      <c r="G448" s="161">
        <f>IF(AND(E416*12&gt;=150000),0.17*E416*E418,0.17*E416)</f>
        <v>16880.870582399999</v>
      </c>
      <c r="H448" s="157">
        <f t="shared" si="65"/>
        <v>1586.8018347456</v>
      </c>
      <c r="I448" s="162">
        <f>MidPeak</f>
        <v>9.4E-2</v>
      </c>
      <c r="J448" s="161">
        <f>IF(AND(E416*12&gt;=150000),0.17*E416*E419,0.17*E416)</f>
        <v>16880.870582399999</v>
      </c>
      <c r="K448" s="157">
        <f t="shared" si="66"/>
        <v>1586.8018347456</v>
      </c>
      <c r="L448" s="125">
        <f>K448-H448</f>
        <v>0</v>
      </c>
      <c r="M448" s="126">
        <f t="shared" si="67"/>
        <v>0</v>
      </c>
    </row>
    <row r="449" spans="1:13" hidden="1" x14ac:dyDescent="0.25">
      <c r="A449" s="100" t="str">
        <f t="shared" si="63"/>
        <v>STREET LIGHTING SERVICE CLASSIFICATION</v>
      </c>
      <c r="B449" s="105" t="s">
        <v>117</v>
      </c>
      <c r="C449" s="117"/>
      <c r="D449" s="105" t="s">
        <v>179</v>
      </c>
      <c r="E449" s="119"/>
      <c r="F449" s="160">
        <f>OnPeak</f>
        <v>0.13200000000000001</v>
      </c>
      <c r="G449" s="161">
        <f>IF(AND(E416*12&gt;=150000),0.18*E416*E418,0.18*E416)</f>
        <v>17873.862969599999</v>
      </c>
      <c r="H449" s="157">
        <f t="shared" si="65"/>
        <v>2359.3499119871999</v>
      </c>
      <c r="I449" s="162">
        <f>OnPeak</f>
        <v>0.13200000000000001</v>
      </c>
      <c r="J449" s="161">
        <f>IF(AND(E416*12&gt;=150000),0.18*E416*E419,0.18*E416)</f>
        <v>17873.862969599999</v>
      </c>
      <c r="K449" s="157">
        <f t="shared" si="66"/>
        <v>2359.3499119871999</v>
      </c>
      <c r="L449" s="125">
        <f>K449-H449</f>
        <v>0</v>
      </c>
      <c r="M449" s="126">
        <f t="shared" si="67"/>
        <v>0</v>
      </c>
    </row>
    <row r="450" spans="1:13" hidden="1" x14ac:dyDescent="0.25">
      <c r="A450" s="100" t="str">
        <f t="shared" si="63"/>
        <v>STREET LIGHTING SERVICE CLASSIFICATION</v>
      </c>
      <c r="B450" s="100" t="s">
        <v>180</v>
      </c>
      <c r="C450" s="117"/>
      <c r="D450" s="159" t="s">
        <v>181</v>
      </c>
      <c r="E450" s="119"/>
      <c r="F450" s="163">
        <v>0.1101</v>
      </c>
      <c r="G450" s="161">
        <f>IF(AND(E416*12&gt;=150000),E416*E418,E416)</f>
        <v>99299.238719999994</v>
      </c>
      <c r="H450" s="157">
        <f>G450*F450</f>
        <v>10932.846183071999</v>
      </c>
      <c r="I450" s="164">
        <f>F450</f>
        <v>0.1101</v>
      </c>
      <c r="J450" s="161">
        <f>IF(AND(E416*12&gt;=150000),E416*E419,E416)</f>
        <v>99299.238719999994</v>
      </c>
      <c r="K450" s="157">
        <f>J450*I450</f>
        <v>10932.846183071999</v>
      </c>
      <c r="L450" s="125">
        <f>K450-H450</f>
        <v>0</v>
      </c>
      <c r="M450" s="126">
        <f t="shared" si="67"/>
        <v>0</v>
      </c>
    </row>
    <row r="451" spans="1:13" ht="15.75" thickBot="1" x14ac:dyDescent="0.3">
      <c r="A451" s="100" t="str">
        <f t="shared" si="63"/>
        <v>STREET LIGHTING SERVICE CLASSIFICATION</v>
      </c>
      <c r="B451" s="100" t="s">
        <v>121</v>
      </c>
      <c r="C451" s="117"/>
      <c r="D451" s="159" t="s">
        <v>182</v>
      </c>
      <c r="E451" s="119"/>
      <c r="F451" s="163">
        <v>0.1101</v>
      </c>
      <c r="G451" s="161">
        <f>IF(AND(E416*12&gt;=150000),E416*E418,E416)</f>
        <v>99299.238719999994</v>
      </c>
      <c r="H451" s="157">
        <f>G451*F451</f>
        <v>10932.846183071999</v>
      </c>
      <c r="I451" s="164">
        <f>F451</f>
        <v>0.1101</v>
      </c>
      <c r="J451" s="161">
        <f>IF(AND(E416*12&gt;=150000),E416*E419,E416)</f>
        <v>99299.238719999994</v>
      </c>
      <c r="K451" s="157">
        <f>J451*I451</f>
        <v>10932.846183071999</v>
      </c>
      <c r="L451" s="125">
        <f>K451-H451</f>
        <v>0</v>
      </c>
      <c r="M451" s="126">
        <f t="shared" si="67"/>
        <v>0</v>
      </c>
    </row>
    <row r="452" spans="1:13" ht="15.75" thickBot="1" x14ac:dyDescent="0.3">
      <c r="A452" s="100" t="str">
        <f t="shared" si="63"/>
        <v>STREET LIGHTING SERVICE CLASSIFICATION</v>
      </c>
      <c r="B452" s="105"/>
      <c r="C452" s="117"/>
      <c r="D452" s="165"/>
      <c r="E452" s="166"/>
      <c r="F452" s="167"/>
      <c r="G452" s="168"/>
      <c r="H452" s="169"/>
      <c r="I452" s="167"/>
      <c r="J452" s="170"/>
      <c r="K452" s="169"/>
      <c r="L452" s="171"/>
      <c r="M452" s="172"/>
    </row>
    <row r="453" spans="1:13" hidden="1" x14ac:dyDescent="0.25">
      <c r="A453" s="100" t="str">
        <f t="shared" si="63"/>
        <v>STREET LIGHTING SERVICE CLASSIFICATION</v>
      </c>
      <c r="B453" s="105" t="s">
        <v>117</v>
      </c>
      <c r="C453" s="117"/>
      <c r="D453" s="173" t="s">
        <v>183</v>
      </c>
      <c r="E453" s="158"/>
      <c r="F453" s="174"/>
      <c r="G453" s="175"/>
      <c r="H453" s="176">
        <f>SUM(H443:H449,H442)</f>
        <v>9619.0362436608011</v>
      </c>
      <c r="I453" s="177"/>
      <c r="J453" s="177"/>
      <c r="K453" s="176">
        <f>SUM(K443:K449,K442)</f>
        <v>10810.977567475602</v>
      </c>
      <c r="L453" s="178">
        <f>K453-H453</f>
        <v>1191.9413238148009</v>
      </c>
      <c r="M453" s="179">
        <f>IF((H453)=0,"",(L453/H453))</f>
        <v>0.12391483862017066</v>
      </c>
    </row>
    <row r="454" spans="1:13" hidden="1" x14ac:dyDescent="0.25">
      <c r="A454" s="100" t="str">
        <f t="shared" si="63"/>
        <v>STREET LIGHTING SERVICE CLASSIFICATION</v>
      </c>
      <c r="B454" s="105" t="s">
        <v>117</v>
      </c>
      <c r="C454" s="117"/>
      <c r="D454" s="180" t="s">
        <v>184</v>
      </c>
      <c r="E454" s="158"/>
      <c r="F454" s="174">
        <v>0.13</v>
      </c>
      <c r="G454" s="181"/>
      <c r="H454" s="182">
        <f>H453*F454</f>
        <v>1250.4747116759042</v>
      </c>
      <c r="I454" s="183">
        <v>0.13</v>
      </c>
      <c r="J454" s="121"/>
      <c r="K454" s="182">
        <f>K453*I454</f>
        <v>1405.4270837718284</v>
      </c>
      <c r="L454" s="184">
        <f>K454-H454</f>
        <v>154.95237209592415</v>
      </c>
      <c r="M454" s="185">
        <f>IF((H454)=0,"",(L454/H454))</f>
        <v>0.12391483862017069</v>
      </c>
    </row>
    <row r="455" spans="1:13" hidden="1" x14ac:dyDescent="0.25">
      <c r="A455" s="100" t="str">
        <f t="shared" si="63"/>
        <v>STREET LIGHTING SERVICE CLASSIFICATION</v>
      </c>
      <c r="B455" s="105" t="s">
        <v>117</v>
      </c>
      <c r="C455" s="117"/>
      <c r="D455" s="180" t="s">
        <v>185</v>
      </c>
      <c r="E455" s="158"/>
      <c r="F455" s="174">
        <v>0.08</v>
      </c>
      <c r="G455" s="181"/>
      <c r="H455" s="182">
        <v>0</v>
      </c>
      <c r="I455" s="174">
        <v>0.08</v>
      </c>
      <c r="J455" s="121"/>
      <c r="K455" s="182">
        <v>0</v>
      </c>
      <c r="L455" s="184">
        <f>K455-H455</f>
        <v>0</v>
      </c>
      <c r="M455" s="185"/>
    </row>
    <row r="456" spans="1:13" ht="15.75" hidden="1" thickBot="1" x14ac:dyDescent="0.3">
      <c r="A456" s="100" t="str">
        <f t="shared" si="63"/>
        <v>STREET LIGHTING SERVICE CLASSIFICATION</v>
      </c>
      <c r="B456" s="105" t="s">
        <v>186</v>
      </c>
      <c r="C456" s="117"/>
      <c r="D456" s="301" t="s">
        <v>187</v>
      </c>
      <c r="E456" s="301"/>
      <c r="F456" s="186"/>
      <c r="G456" s="187"/>
      <c r="H456" s="188">
        <f>H453+H454+H455</f>
        <v>10869.510955336706</v>
      </c>
      <c r="I456" s="189"/>
      <c r="J456" s="189"/>
      <c r="K456" s="190">
        <f>K453+K454+K455</f>
        <v>12216.404651247431</v>
      </c>
      <c r="L456" s="191">
        <f>K456-H456</f>
        <v>1346.893695910725</v>
      </c>
      <c r="M456" s="192">
        <f>IF((H456)=0,"",(L456/H456))</f>
        <v>0.12391483862017066</v>
      </c>
    </row>
    <row r="457" spans="1:13" ht="15.75" hidden="1" thickBot="1" x14ac:dyDescent="0.3">
      <c r="A457" s="100" t="str">
        <f t="shared" si="63"/>
        <v>STREET LIGHTING SERVICE CLASSIFICATION</v>
      </c>
      <c r="B457" s="100" t="s">
        <v>117</v>
      </c>
      <c r="C457" s="117"/>
      <c r="D457" s="165"/>
      <c r="E457" s="166"/>
      <c r="F457" s="167"/>
      <c r="G457" s="168"/>
      <c r="H457" s="169"/>
      <c r="I457" s="167"/>
      <c r="J457" s="170"/>
      <c r="K457" s="169"/>
      <c r="L457" s="171"/>
      <c r="M457" s="172"/>
    </row>
    <row r="458" spans="1:13" hidden="1" x14ac:dyDescent="0.25">
      <c r="A458" s="100" t="str">
        <f t="shared" si="63"/>
        <v>STREET LIGHTING SERVICE CLASSIFICATION</v>
      </c>
      <c r="B458" s="100" t="s">
        <v>180</v>
      </c>
      <c r="C458" s="117"/>
      <c r="D458" s="173" t="s">
        <v>188</v>
      </c>
      <c r="E458" s="158"/>
      <c r="F458" s="174"/>
      <c r="G458" s="175"/>
      <c r="H458" s="176">
        <f>SUM(H450,H443:H446,H442)</f>
        <v>12410.337844080001</v>
      </c>
      <c r="I458" s="177"/>
      <c r="J458" s="177"/>
      <c r="K458" s="176">
        <f>SUM(K450,K443:K446,K442)</f>
        <v>13602.279167894802</v>
      </c>
      <c r="L458" s="178">
        <f>K458-H458</f>
        <v>1191.9413238148009</v>
      </c>
      <c r="M458" s="179">
        <f>IF((H458)=0,"",(L458/H458))</f>
        <v>9.6044228512552746E-2</v>
      </c>
    </row>
    <row r="459" spans="1:13" hidden="1" x14ac:dyDescent="0.25">
      <c r="A459" s="100" t="str">
        <f t="shared" si="63"/>
        <v>STREET LIGHTING SERVICE CLASSIFICATION</v>
      </c>
      <c r="B459" s="100" t="s">
        <v>180</v>
      </c>
      <c r="C459" s="117"/>
      <c r="D459" s="180" t="s">
        <v>184</v>
      </c>
      <c r="E459" s="158"/>
      <c r="F459" s="174">
        <v>0.13</v>
      </c>
      <c r="G459" s="175"/>
      <c r="H459" s="182">
        <f>H458*F459</f>
        <v>1613.3439197304001</v>
      </c>
      <c r="I459" s="174">
        <v>0.13</v>
      </c>
      <c r="J459" s="183"/>
      <c r="K459" s="182">
        <f>K458*I459</f>
        <v>1768.2962918263242</v>
      </c>
      <c r="L459" s="184">
        <f>K459-H459</f>
        <v>154.95237209592415</v>
      </c>
      <c r="M459" s="185">
        <f>IF((H459)=0,"",(L459/H459))</f>
        <v>9.6044228512552773E-2</v>
      </c>
    </row>
    <row r="460" spans="1:13" hidden="1" x14ac:dyDescent="0.25">
      <c r="A460" s="100" t="str">
        <f t="shared" si="63"/>
        <v>STREET LIGHTING SERVICE CLASSIFICATION</v>
      </c>
      <c r="B460" s="100" t="s">
        <v>180</v>
      </c>
      <c r="C460" s="117"/>
      <c r="D460" s="180" t="s">
        <v>185</v>
      </c>
      <c r="E460" s="158"/>
      <c r="F460" s="174">
        <v>0.08</v>
      </c>
      <c r="G460" s="175"/>
      <c r="H460" s="182">
        <v>0</v>
      </c>
      <c r="I460" s="174">
        <v>0.08</v>
      </c>
      <c r="J460" s="183"/>
      <c r="K460" s="182">
        <v>0</v>
      </c>
      <c r="L460" s="184"/>
      <c r="M460" s="185"/>
    </row>
    <row r="461" spans="1:13" ht="15.75" hidden="1" thickBot="1" x14ac:dyDescent="0.3">
      <c r="A461" s="100" t="str">
        <f t="shared" si="63"/>
        <v>STREET LIGHTING SERVICE CLASSIFICATION</v>
      </c>
      <c r="B461" s="100" t="s">
        <v>189</v>
      </c>
      <c r="C461" s="117"/>
      <c r="D461" s="301" t="s">
        <v>188</v>
      </c>
      <c r="E461" s="301"/>
      <c r="F461" s="193"/>
      <c r="G461" s="194"/>
      <c r="H461" s="188">
        <f>SUM(H458,H459)</f>
        <v>14023.6817638104</v>
      </c>
      <c r="I461" s="195"/>
      <c r="J461" s="195"/>
      <c r="K461" s="188">
        <f>SUM(K458,K459)</f>
        <v>15370.575459721125</v>
      </c>
      <c r="L461" s="196">
        <f>K461-H461</f>
        <v>1346.893695910725</v>
      </c>
      <c r="M461" s="197">
        <f>IF((H461)=0,"",(L461/H461))</f>
        <v>9.604422851255276E-2</v>
      </c>
    </row>
    <row r="462" spans="1:13" ht="15.75" hidden="1" thickBot="1" x14ac:dyDescent="0.3">
      <c r="A462" s="100" t="str">
        <f t="shared" si="63"/>
        <v>STREET LIGHTING SERVICE CLASSIFICATION</v>
      </c>
      <c r="B462" s="100" t="s">
        <v>180</v>
      </c>
      <c r="C462" s="117"/>
      <c r="D462" s="165"/>
      <c r="E462" s="166"/>
      <c r="F462" s="198"/>
      <c r="G462" s="199"/>
      <c r="H462" s="200"/>
      <c r="I462" s="198"/>
      <c r="J462" s="168"/>
      <c r="K462" s="200"/>
      <c r="L462" s="201"/>
      <c r="M462" s="172"/>
    </row>
    <row r="463" spans="1:13" x14ac:dyDescent="0.25">
      <c r="A463" s="100" t="str">
        <f t="shared" si="63"/>
        <v>STREET LIGHTING SERVICE CLASSIFICATION</v>
      </c>
      <c r="B463" s="100" t="s">
        <v>121</v>
      </c>
      <c r="C463" s="117"/>
      <c r="D463" s="173" t="s">
        <v>190</v>
      </c>
      <c r="E463" s="158"/>
      <c r="F463" s="174"/>
      <c r="G463" s="175"/>
      <c r="H463" s="176">
        <f>SUM(H451,H443:H446,H442)</f>
        <v>12410.337844080001</v>
      </c>
      <c r="I463" s="177"/>
      <c r="J463" s="177"/>
      <c r="K463" s="176">
        <f>SUM(K451,K443:K446,K442)</f>
        <v>13602.279167894802</v>
      </c>
      <c r="L463" s="178">
        <f>K463-H463</f>
        <v>1191.9413238148009</v>
      </c>
      <c r="M463" s="179">
        <f>IF((H463)=0,"",(L463/H463))</f>
        <v>9.6044228512552746E-2</v>
      </c>
    </row>
    <row r="464" spans="1:13" x14ac:dyDescent="0.25">
      <c r="A464" s="100" t="str">
        <f t="shared" si="63"/>
        <v>STREET LIGHTING SERVICE CLASSIFICATION</v>
      </c>
      <c r="B464" s="100" t="s">
        <v>121</v>
      </c>
      <c r="C464" s="117"/>
      <c r="D464" s="180" t="s">
        <v>184</v>
      </c>
      <c r="E464" s="158"/>
      <c r="F464" s="174">
        <v>0.13</v>
      </c>
      <c r="G464" s="175"/>
      <c r="H464" s="182">
        <f>H463*F464</f>
        <v>1613.3439197304001</v>
      </c>
      <c r="I464" s="174">
        <v>0.13</v>
      </c>
      <c r="J464" s="183"/>
      <c r="K464" s="182">
        <f>K463*I464</f>
        <v>1768.2962918263242</v>
      </c>
      <c r="L464" s="184">
        <f>K464-H464</f>
        <v>154.95237209592415</v>
      </c>
      <c r="M464" s="185">
        <f>IF((H464)=0,"",(L464/H464))</f>
        <v>9.6044228512552773E-2</v>
      </c>
    </row>
    <row r="465" spans="1:13" x14ac:dyDescent="0.25">
      <c r="A465" s="100" t="str">
        <f t="shared" si="63"/>
        <v>STREET LIGHTING SERVICE CLASSIFICATION</v>
      </c>
      <c r="B465" s="100" t="s">
        <v>121</v>
      </c>
      <c r="C465" s="117"/>
      <c r="D465" s="180" t="s">
        <v>185</v>
      </c>
      <c r="E465" s="158"/>
      <c r="F465" s="174">
        <v>0.08</v>
      </c>
      <c r="G465" s="175"/>
      <c r="H465" s="182">
        <v>0</v>
      </c>
      <c r="I465" s="174">
        <v>0.08</v>
      </c>
      <c r="J465" s="183"/>
      <c r="K465" s="182">
        <v>0</v>
      </c>
      <c r="L465" s="184"/>
      <c r="M465" s="185"/>
    </row>
    <row r="466" spans="1:13" ht="15.75" thickBot="1" x14ac:dyDescent="0.3">
      <c r="A466" s="100" t="str">
        <f t="shared" si="63"/>
        <v>STREET LIGHTING SERVICE CLASSIFICATION</v>
      </c>
      <c r="B466" s="100" t="s">
        <v>191</v>
      </c>
      <c r="C466" s="117">
        <f>B36</f>
        <v>7</v>
      </c>
      <c r="D466" s="301" t="s">
        <v>190</v>
      </c>
      <c r="E466" s="301"/>
      <c r="F466" s="193"/>
      <c r="G466" s="194"/>
      <c r="H466" s="188">
        <f>SUM(H463,H464)</f>
        <v>14023.6817638104</v>
      </c>
      <c r="I466" s="195"/>
      <c r="J466" s="195"/>
      <c r="K466" s="188">
        <f>SUM(K463,K464)</f>
        <v>15370.575459721125</v>
      </c>
      <c r="L466" s="196">
        <f>K466-H466</f>
        <v>1346.893695910725</v>
      </c>
      <c r="M466" s="197">
        <f>IF((H466)=0,"",(L466/H466))</f>
        <v>9.604422851255276E-2</v>
      </c>
    </row>
    <row r="467" spans="1:13" ht="15.75" thickBot="1" x14ac:dyDescent="0.3">
      <c r="A467" s="100" t="str">
        <f t="shared" si="63"/>
        <v>STREET LIGHTING SERVICE CLASSIFICATION</v>
      </c>
      <c r="B467" s="100" t="s">
        <v>121</v>
      </c>
      <c r="C467" s="117"/>
      <c r="D467" s="165"/>
      <c r="E467" s="166"/>
      <c r="F467" s="202"/>
      <c r="G467" s="203"/>
      <c r="H467" s="204"/>
      <c r="I467" s="202"/>
      <c r="J467" s="205"/>
      <c r="K467" s="204"/>
      <c r="L467" s="206"/>
      <c r="M467" s="207"/>
    </row>
    <row r="470" spans="1:13" x14ac:dyDescent="0.25">
      <c r="C470" s="100"/>
      <c r="D470" s="101" t="s">
        <v>134</v>
      </c>
      <c r="E470" s="302" t="str">
        <f>D37</f>
        <v>RESIDENTIAL SERVICE CLASSIFICATION</v>
      </c>
      <c r="F470" s="302"/>
      <c r="G470" s="302"/>
      <c r="H470" s="302"/>
      <c r="I470" s="302"/>
      <c r="J470" s="302"/>
      <c r="K470" s="100" t="str">
        <f>IF(N37="DEMAND - INTERVAL","RTSR - INTERVAL METERED","")</f>
        <v/>
      </c>
    </row>
    <row r="471" spans="1:13" x14ac:dyDescent="0.25">
      <c r="C471" s="100"/>
      <c r="D471" s="101" t="s">
        <v>135</v>
      </c>
      <c r="E471" s="303" t="str">
        <f>H37</f>
        <v>RPP</v>
      </c>
      <c r="F471" s="303"/>
      <c r="G471" s="303"/>
      <c r="H471" s="102"/>
      <c r="I471" s="102"/>
    </row>
    <row r="472" spans="1:13" ht="15.75" x14ac:dyDescent="0.25">
      <c r="C472" s="100"/>
      <c r="D472" s="101" t="s">
        <v>136</v>
      </c>
      <c r="E472" s="103">
        <f>K37</f>
        <v>342</v>
      </c>
      <c r="F472" s="104" t="s">
        <v>137</v>
      </c>
      <c r="G472" s="105"/>
      <c r="J472" s="106"/>
      <c r="K472" s="106"/>
      <c r="L472" s="106"/>
      <c r="M472" s="106"/>
    </row>
    <row r="473" spans="1:13" ht="15.75" x14ac:dyDescent="0.25">
      <c r="C473" s="100"/>
      <c r="D473" s="101" t="s">
        <v>138</v>
      </c>
      <c r="E473" s="103">
        <f>L37</f>
        <v>0</v>
      </c>
      <c r="F473" s="107" t="s">
        <v>139</v>
      </c>
      <c r="G473" s="108"/>
      <c r="H473" s="109"/>
      <c r="I473" s="109"/>
      <c r="J473" s="109"/>
    </row>
    <row r="474" spans="1:13" x14ac:dyDescent="0.25">
      <c r="C474" s="100"/>
      <c r="D474" s="101" t="s">
        <v>140</v>
      </c>
      <c r="E474" s="110">
        <f>I37</f>
        <v>1.056</v>
      </c>
    </row>
    <row r="475" spans="1:13" x14ac:dyDescent="0.25">
      <c r="C475" s="100"/>
      <c r="D475" s="101" t="s">
        <v>141</v>
      </c>
      <c r="E475" s="110">
        <f>J37</f>
        <v>1.056</v>
      </c>
    </row>
    <row r="476" spans="1:13" x14ac:dyDescent="0.25">
      <c r="C476" s="100"/>
      <c r="D476" s="105"/>
    </row>
    <row r="477" spans="1:13" x14ac:dyDescent="0.25">
      <c r="C477" s="100"/>
      <c r="D477" s="105"/>
      <c r="E477" s="111"/>
      <c r="F477" s="304" t="s">
        <v>142</v>
      </c>
      <c r="G477" s="305"/>
      <c r="H477" s="306"/>
      <c r="I477" s="304" t="s">
        <v>143</v>
      </c>
      <c r="J477" s="305"/>
      <c r="K477" s="306"/>
      <c r="L477" s="304" t="s">
        <v>144</v>
      </c>
      <c r="M477" s="306"/>
    </row>
    <row r="478" spans="1:13" x14ac:dyDescent="0.25">
      <c r="C478" s="100"/>
      <c r="D478" s="105"/>
      <c r="E478" s="295"/>
      <c r="F478" s="112" t="s">
        <v>145</v>
      </c>
      <c r="G478" s="112" t="s">
        <v>146</v>
      </c>
      <c r="H478" s="113" t="s">
        <v>147</v>
      </c>
      <c r="I478" s="112" t="s">
        <v>145</v>
      </c>
      <c r="J478" s="114" t="s">
        <v>146</v>
      </c>
      <c r="K478" s="113" t="s">
        <v>147</v>
      </c>
      <c r="L478" s="297" t="s">
        <v>148</v>
      </c>
      <c r="M478" s="299" t="s">
        <v>149</v>
      </c>
    </row>
    <row r="479" spans="1:13" x14ac:dyDescent="0.25">
      <c r="C479" s="100"/>
      <c r="D479" s="105"/>
      <c r="E479" s="296"/>
      <c r="F479" s="115" t="s">
        <v>150</v>
      </c>
      <c r="G479" s="115"/>
      <c r="H479" s="116" t="s">
        <v>150</v>
      </c>
      <c r="I479" s="115" t="s">
        <v>150</v>
      </c>
      <c r="J479" s="116"/>
      <c r="K479" s="116" t="s">
        <v>150</v>
      </c>
      <c r="L479" s="298"/>
      <c r="M479" s="300"/>
    </row>
    <row r="480" spans="1:13" x14ac:dyDescent="0.25">
      <c r="A480" s="100" t="str">
        <f>$E470</f>
        <v>RESIDENTIAL SERVICE CLASSIFICATION</v>
      </c>
      <c r="C480" s="117"/>
      <c r="D480" s="118" t="s">
        <v>151</v>
      </c>
      <c r="E480" s="119"/>
      <c r="F480" s="120">
        <v>23.48</v>
      </c>
      <c r="G480" s="121">
        <v>1</v>
      </c>
      <c r="H480" s="122">
        <f>G480*F480</f>
        <v>23.48</v>
      </c>
      <c r="I480" s="123">
        <v>26.72</v>
      </c>
      <c r="J480" s="124">
        <f>G480</f>
        <v>1</v>
      </c>
      <c r="K480" s="122">
        <f>J480*I480</f>
        <v>26.72</v>
      </c>
      <c r="L480" s="125">
        <f t="shared" ref="L480:L501" si="68">K480-H480</f>
        <v>3.2399999999999984</v>
      </c>
      <c r="M480" s="126">
        <f>IF(ISERROR(L480/H480), "", L480/H480)</f>
        <v>0.13798977853492328</v>
      </c>
    </row>
    <row r="481" spans="1:13" x14ac:dyDescent="0.25">
      <c r="A481" s="100" t="str">
        <f>A480</f>
        <v>RESIDENTIAL SERVICE CLASSIFICATION</v>
      </c>
      <c r="C481" s="117"/>
      <c r="D481" s="118" t="s">
        <v>152</v>
      </c>
      <c r="E481" s="119"/>
      <c r="F481" s="127">
        <v>3.3999999999999998E-3</v>
      </c>
      <c r="G481" s="121">
        <f>IF($E473&gt;0, $E473, $E472)</f>
        <v>342</v>
      </c>
      <c r="H481" s="122">
        <f t="shared" ref="H481:H493" si="69">G481*F481</f>
        <v>1.1627999999999998</v>
      </c>
      <c r="I481" s="128">
        <v>0</v>
      </c>
      <c r="J481" s="124">
        <f>IF($E473&gt;0, $E473, $E472)</f>
        <v>342</v>
      </c>
      <c r="K481" s="122">
        <f>J481*I481</f>
        <v>0</v>
      </c>
      <c r="L481" s="125">
        <f t="shared" si="68"/>
        <v>-1.1627999999999998</v>
      </c>
      <c r="M481" s="126">
        <f t="shared" ref="M481:M491" si="70">IF(ISERROR(L481/H481), "", L481/H481)</f>
        <v>-1</v>
      </c>
    </row>
    <row r="482" spans="1:13" x14ac:dyDescent="0.25">
      <c r="A482" s="100" t="str">
        <f t="shared" ref="A482:A523" si="71">A481</f>
        <v>RESIDENTIAL SERVICE CLASSIFICATION</v>
      </c>
      <c r="C482" s="117"/>
      <c r="D482" s="118" t="s">
        <v>153</v>
      </c>
      <c r="E482" s="119"/>
      <c r="F482" s="127"/>
      <c r="G482" s="121">
        <f>IF($E473&gt;0, $E473, $E472)</f>
        <v>342</v>
      </c>
      <c r="H482" s="122">
        <v>0</v>
      </c>
      <c r="I482" s="128"/>
      <c r="J482" s="124">
        <f>IF($E473&gt;0, $E473, $E472)</f>
        <v>342</v>
      </c>
      <c r="K482" s="122">
        <v>0</v>
      </c>
      <c r="L482" s="125"/>
      <c r="M482" s="126"/>
    </row>
    <row r="483" spans="1:13" x14ac:dyDescent="0.25">
      <c r="A483" s="100" t="str">
        <f t="shared" si="71"/>
        <v>RESIDENTIAL SERVICE CLASSIFICATION</v>
      </c>
      <c r="C483" s="117"/>
      <c r="D483" s="118" t="s">
        <v>154</v>
      </c>
      <c r="E483" s="119"/>
      <c r="F483" s="127"/>
      <c r="G483" s="121">
        <f>IF($E473&gt;0, $E473, $E472)</f>
        <v>342</v>
      </c>
      <c r="H483" s="122">
        <v>0</v>
      </c>
      <c r="I483" s="128"/>
      <c r="J483" s="121">
        <f>IF($E473&gt;0, $E473, $E472)</f>
        <v>342</v>
      </c>
      <c r="K483" s="122">
        <v>0</v>
      </c>
      <c r="L483" s="125">
        <f>K483-H483</f>
        <v>0</v>
      </c>
      <c r="M483" s="126" t="str">
        <f>IF(ISERROR(L483/H483), "", L483/H483)</f>
        <v/>
      </c>
    </row>
    <row r="484" spans="1:13" x14ac:dyDescent="0.25">
      <c r="A484" s="100" t="str">
        <f t="shared" si="71"/>
        <v>RESIDENTIAL SERVICE CLASSIFICATION</v>
      </c>
      <c r="C484" s="117"/>
      <c r="D484" s="129" t="s">
        <v>155</v>
      </c>
      <c r="E484" s="119"/>
      <c r="F484" s="120">
        <v>0</v>
      </c>
      <c r="G484" s="121">
        <v>1</v>
      </c>
      <c r="H484" s="122">
        <f t="shared" si="69"/>
        <v>0</v>
      </c>
      <c r="I484" s="226">
        <f>'Rate Riders'!O8</f>
        <v>4.6409135104517185</v>
      </c>
      <c r="J484" s="124">
        <f>G484</f>
        <v>1</v>
      </c>
      <c r="K484" s="122">
        <f t="shared" ref="K484:K491" si="72">J484*I484</f>
        <v>4.6409135104517185</v>
      </c>
      <c r="L484" s="125">
        <f t="shared" si="68"/>
        <v>4.6409135104517185</v>
      </c>
      <c r="M484" s="126" t="str">
        <f t="shared" si="70"/>
        <v/>
      </c>
    </row>
    <row r="485" spans="1:13" x14ac:dyDescent="0.25">
      <c r="A485" s="100" t="str">
        <f t="shared" si="71"/>
        <v>RESIDENTIAL SERVICE CLASSIFICATION</v>
      </c>
      <c r="C485" s="117"/>
      <c r="D485" s="118" t="s">
        <v>156</v>
      </c>
      <c r="E485" s="119"/>
      <c r="F485" s="127">
        <v>0</v>
      </c>
      <c r="G485" s="121">
        <f>IF($E473&gt;0, $E473, $E472)</f>
        <v>342</v>
      </c>
      <c r="H485" s="122">
        <f t="shared" si="69"/>
        <v>0</v>
      </c>
      <c r="I485" s="227">
        <v>0</v>
      </c>
      <c r="J485" s="124">
        <f>IF($E473&gt;0, $E473, $E472)</f>
        <v>342</v>
      </c>
      <c r="K485" s="122">
        <f t="shared" si="72"/>
        <v>0</v>
      </c>
      <c r="L485" s="125">
        <f t="shared" si="68"/>
        <v>0</v>
      </c>
      <c r="M485" s="126" t="str">
        <f t="shared" si="70"/>
        <v/>
      </c>
    </row>
    <row r="486" spans="1:13" x14ac:dyDescent="0.25">
      <c r="A486" s="100" t="str">
        <f t="shared" si="71"/>
        <v>RESIDENTIAL SERVICE CLASSIFICATION</v>
      </c>
      <c r="B486" s="130" t="s">
        <v>157</v>
      </c>
      <c r="C486" s="117">
        <f>B37</f>
        <v>8</v>
      </c>
      <c r="D486" s="131" t="s">
        <v>158</v>
      </c>
      <c r="E486" s="132"/>
      <c r="F486" s="133"/>
      <c r="G486" s="134"/>
      <c r="H486" s="135">
        <f>SUM(H480:H485)</f>
        <v>24.642800000000001</v>
      </c>
      <c r="I486" s="136"/>
      <c r="J486" s="137"/>
      <c r="K486" s="135">
        <f>SUM(K480:K485)</f>
        <v>31.360913510451716</v>
      </c>
      <c r="L486" s="138">
        <f t="shared" si="68"/>
        <v>6.7181135104517153</v>
      </c>
      <c r="M486" s="139">
        <f>IF((H486)=0,"",(L486/H486))</f>
        <v>0.27261973113654758</v>
      </c>
    </row>
    <row r="487" spans="1:13" x14ac:dyDescent="0.25">
      <c r="A487" s="100" t="str">
        <f t="shared" si="71"/>
        <v>RESIDENTIAL SERVICE CLASSIFICATION</v>
      </c>
      <c r="C487" s="117"/>
      <c r="D487" s="140" t="s">
        <v>159</v>
      </c>
      <c r="E487" s="119"/>
      <c r="F487" s="127">
        <f>IF((E472*12&gt;=150000), 0, IF(E471="RPP",(F503*0.65+F504*0.17+F505*0.18),IF(E471="Non-RPP (Retailer)",F506,F507)))</f>
        <v>8.1990000000000007E-2</v>
      </c>
      <c r="G487" s="141">
        <f>IF(F487=0, 0, $E472*E474-E472)</f>
        <v>19.152000000000044</v>
      </c>
      <c r="H487" s="122">
        <f>G487*F487</f>
        <v>1.5702724800000036</v>
      </c>
      <c r="I487" s="128">
        <f>IF((E472*12&gt;=150000), 0, IF(E471="RPP",(I503*0.65+I504*0.17+I505*0.18),IF(E471="Non-RPP (Retailer)",I506,I507)))</f>
        <v>8.1990000000000007E-2</v>
      </c>
      <c r="J487" s="141">
        <f>IF(I487=0, 0, E472*E475-E472)</f>
        <v>19.152000000000044</v>
      </c>
      <c r="K487" s="122">
        <f>J487*I487</f>
        <v>1.5702724800000036</v>
      </c>
      <c r="L487" s="125">
        <f>K487-H487</f>
        <v>0</v>
      </c>
      <c r="M487" s="126">
        <f>IF(ISERROR(L487/H487), "", L487/H487)</f>
        <v>0</v>
      </c>
    </row>
    <row r="488" spans="1:13" ht="25.5" x14ac:dyDescent="0.25">
      <c r="A488" s="100" t="str">
        <f t="shared" si="71"/>
        <v>RESIDENTIAL SERVICE CLASSIFICATION</v>
      </c>
      <c r="C488" s="117"/>
      <c r="D488" s="140" t="s">
        <v>160</v>
      </c>
      <c r="E488" s="119"/>
      <c r="F488" s="127">
        <v>-1.4E-3</v>
      </c>
      <c r="G488" s="142">
        <f>IF($E473&gt;0, $E473, $E472)</f>
        <v>342</v>
      </c>
      <c r="H488" s="122">
        <f t="shared" si="69"/>
        <v>-0.4788</v>
      </c>
      <c r="I488" s="128">
        <v>-5.3E-3</v>
      </c>
      <c r="J488" s="142">
        <f>IF($E473&gt;0, $E473, $E472)</f>
        <v>342</v>
      </c>
      <c r="K488" s="122">
        <f t="shared" si="72"/>
        <v>-1.8126</v>
      </c>
      <c r="L488" s="125">
        <f t="shared" si="68"/>
        <v>-1.3338000000000001</v>
      </c>
      <c r="M488" s="126">
        <f t="shared" si="70"/>
        <v>2.785714285714286</v>
      </c>
    </row>
    <row r="489" spans="1:13" x14ac:dyDescent="0.25">
      <c r="A489" s="100" t="str">
        <f t="shared" si="71"/>
        <v>RESIDENTIAL SERVICE CLASSIFICATION</v>
      </c>
      <c r="C489" s="117"/>
      <c r="D489" s="140" t="s">
        <v>161</v>
      </c>
      <c r="E489" s="119"/>
      <c r="F489" s="127">
        <v>-1E-4</v>
      </c>
      <c r="G489" s="142">
        <f>IF($E473&gt;0, $E473, $E472)</f>
        <v>342</v>
      </c>
      <c r="H489" s="122">
        <f>G489*F489</f>
        <v>-3.4200000000000001E-2</v>
      </c>
      <c r="I489" s="128">
        <v>0</v>
      </c>
      <c r="J489" s="142">
        <f>IF($E473&gt;0, $E473, $E472)</f>
        <v>342</v>
      </c>
      <c r="K489" s="122">
        <f>J489*I489</f>
        <v>0</v>
      </c>
      <c r="L489" s="125">
        <f t="shared" si="68"/>
        <v>3.4200000000000001E-2</v>
      </c>
      <c r="M489" s="126">
        <f t="shared" si="70"/>
        <v>-1</v>
      </c>
    </row>
    <row r="490" spans="1:13" x14ac:dyDescent="0.25">
      <c r="A490" s="100" t="str">
        <f t="shared" si="71"/>
        <v>RESIDENTIAL SERVICE CLASSIFICATION</v>
      </c>
      <c r="C490" s="117"/>
      <c r="D490" s="140" t="s">
        <v>162</v>
      </c>
      <c r="E490" s="119"/>
      <c r="F490" s="127">
        <v>0</v>
      </c>
      <c r="G490" s="142">
        <f>E472</f>
        <v>342</v>
      </c>
      <c r="H490" s="122">
        <f>G490*F490</f>
        <v>0</v>
      </c>
      <c r="I490" s="128">
        <v>0</v>
      </c>
      <c r="J490" s="142">
        <f>E472</f>
        <v>342</v>
      </c>
      <c r="K490" s="122">
        <f t="shared" si="72"/>
        <v>0</v>
      </c>
      <c r="L490" s="125">
        <f t="shared" si="68"/>
        <v>0</v>
      </c>
      <c r="M490" s="126" t="str">
        <f t="shared" si="70"/>
        <v/>
      </c>
    </row>
    <row r="491" spans="1:13" x14ac:dyDescent="0.25">
      <c r="A491" s="100" t="str">
        <f t="shared" si="71"/>
        <v>RESIDENTIAL SERVICE CLASSIFICATION</v>
      </c>
      <c r="C491" s="117"/>
      <c r="D491" s="143" t="s">
        <v>163</v>
      </c>
      <c r="E491" s="119"/>
      <c r="F491" s="127">
        <v>2.5999999999999999E-3</v>
      </c>
      <c r="G491" s="142">
        <f>IF($E473&gt;0, $E473, $E472)</f>
        <v>342</v>
      </c>
      <c r="H491" s="122">
        <f t="shared" si="69"/>
        <v>0.88919999999999999</v>
      </c>
      <c r="I491" s="128">
        <v>2.5999999999999999E-3</v>
      </c>
      <c r="J491" s="142">
        <f>IF($E473&gt;0, $E473, $E472)</f>
        <v>342</v>
      </c>
      <c r="K491" s="122">
        <f t="shared" si="72"/>
        <v>0.88919999999999999</v>
      </c>
      <c r="L491" s="125">
        <f t="shared" si="68"/>
        <v>0</v>
      </c>
      <c r="M491" s="126">
        <f t="shared" si="70"/>
        <v>0</v>
      </c>
    </row>
    <row r="492" spans="1:13" ht="25.5" x14ac:dyDescent="0.25">
      <c r="A492" s="100" t="str">
        <f t="shared" si="71"/>
        <v>RESIDENTIAL SERVICE CLASSIFICATION</v>
      </c>
      <c r="C492" s="117"/>
      <c r="D492" s="144" t="s">
        <v>164</v>
      </c>
      <c r="E492" s="119"/>
      <c r="F492" s="145">
        <f>IF(OR(ISNUMBER(SEARCH("RESIDENTIAL", E470))=TRUE, ISNUMBER(SEARCH("GENERAL SERVICE LESS THAN 50", E470))=TRUE), SME, 0)</f>
        <v>0.56999999999999995</v>
      </c>
      <c r="G492" s="121">
        <v>1</v>
      </c>
      <c r="H492" s="122">
        <f>G492*F492</f>
        <v>0.56999999999999995</v>
      </c>
      <c r="I492" s="146">
        <f>IF(OR(ISNUMBER(SEARCH("RESIDENTIAL", E470))=TRUE, ISNUMBER(SEARCH("GENERAL SERVICE LESS THAN 50", E470))=TRUE), SME, 0)</f>
        <v>0.56999999999999995</v>
      </c>
      <c r="J492" s="121">
        <v>1</v>
      </c>
      <c r="K492" s="122">
        <f>J492*I492</f>
        <v>0.56999999999999995</v>
      </c>
      <c r="L492" s="125">
        <f t="shared" si="68"/>
        <v>0</v>
      </c>
      <c r="M492" s="126">
        <f>IF(ISERROR(L492/H492), "", L492/H492)</f>
        <v>0</v>
      </c>
    </row>
    <row r="493" spans="1:13" x14ac:dyDescent="0.25">
      <c r="A493" s="100" t="str">
        <f t="shared" si="71"/>
        <v>RESIDENTIAL SERVICE CLASSIFICATION</v>
      </c>
      <c r="C493" s="117"/>
      <c r="D493" s="143" t="s">
        <v>165</v>
      </c>
      <c r="E493" s="119"/>
      <c r="F493" s="120">
        <v>0</v>
      </c>
      <c r="G493" s="121">
        <v>1</v>
      </c>
      <c r="H493" s="122">
        <f t="shared" si="69"/>
        <v>0</v>
      </c>
      <c r="I493" s="123">
        <v>0</v>
      </c>
      <c r="J493" s="121">
        <v>1</v>
      </c>
      <c r="K493" s="122">
        <f>J493*I493</f>
        <v>0</v>
      </c>
      <c r="L493" s="125">
        <f>K493-H493</f>
        <v>0</v>
      </c>
      <c r="M493" s="126" t="str">
        <f>IF(ISERROR(L493/H493), "", L493/H493)</f>
        <v/>
      </c>
    </row>
    <row r="494" spans="1:13" x14ac:dyDescent="0.25">
      <c r="A494" s="100" t="str">
        <f t="shared" si="71"/>
        <v>RESIDENTIAL SERVICE CLASSIFICATION</v>
      </c>
      <c r="C494" s="117"/>
      <c r="D494" s="143" t="s">
        <v>166</v>
      </c>
      <c r="E494" s="119"/>
      <c r="F494" s="127"/>
      <c r="G494" s="142">
        <f>IF($E473&gt;0, $E473, $E472)</f>
        <v>342</v>
      </c>
      <c r="H494" s="122">
        <f>G494*F494</f>
        <v>0</v>
      </c>
      <c r="I494" s="128">
        <v>0</v>
      </c>
      <c r="J494" s="142">
        <f>IF($E473&gt;0, $E473, $E472)</f>
        <v>342</v>
      </c>
      <c r="K494" s="122">
        <f>J494*I494</f>
        <v>0</v>
      </c>
      <c r="L494" s="125">
        <f t="shared" si="68"/>
        <v>0</v>
      </c>
      <c r="M494" s="126" t="str">
        <f>IF(ISERROR(L494/H494), "", L494/H494)</f>
        <v/>
      </c>
    </row>
    <row r="495" spans="1:13" ht="25.5" x14ac:dyDescent="0.25">
      <c r="A495" s="100" t="str">
        <f t="shared" si="71"/>
        <v>RESIDENTIAL SERVICE CLASSIFICATION</v>
      </c>
      <c r="B495" s="105" t="s">
        <v>167</v>
      </c>
      <c r="C495" s="117">
        <f>B37</f>
        <v>8</v>
      </c>
      <c r="D495" s="147" t="s">
        <v>168</v>
      </c>
      <c r="E495" s="148"/>
      <c r="F495" s="149"/>
      <c r="G495" s="150"/>
      <c r="H495" s="151">
        <f>SUM(H486:H494)</f>
        <v>27.159272480000006</v>
      </c>
      <c r="I495" s="152"/>
      <c r="J495" s="153"/>
      <c r="K495" s="151">
        <f>SUM(K486:K494)</f>
        <v>32.577785990451723</v>
      </c>
      <c r="L495" s="138">
        <f t="shared" si="68"/>
        <v>5.4185135104517173</v>
      </c>
      <c r="M495" s="139">
        <f>IF((H495)=0,"",(L495/H495))</f>
        <v>0.19950878707969413</v>
      </c>
    </row>
    <row r="496" spans="1:13" x14ac:dyDescent="0.25">
      <c r="A496" s="100" t="str">
        <f t="shared" si="71"/>
        <v>RESIDENTIAL SERVICE CLASSIFICATION</v>
      </c>
      <c r="C496" s="117"/>
      <c r="D496" s="154" t="s">
        <v>169</v>
      </c>
      <c r="E496" s="119"/>
      <c r="F496" s="127">
        <v>6.7999999999999996E-3</v>
      </c>
      <c r="G496" s="141">
        <f>IF($E473&gt;0, $E473, $E472*$E474)</f>
        <v>361.15200000000004</v>
      </c>
      <c r="H496" s="122">
        <f>G496*F496</f>
        <v>2.4558336000000001</v>
      </c>
      <c r="I496" s="128">
        <v>6.4999999999999997E-3</v>
      </c>
      <c r="J496" s="141">
        <f>IF($E473&gt;0, $E473, $E472*$E475)</f>
        <v>361.15200000000004</v>
      </c>
      <c r="K496" s="122">
        <f>J496*I496</f>
        <v>2.3474880000000002</v>
      </c>
      <c r="L496" s="125">
        <f t="shared" si="68"/>
        <v>-0.10834559999999982</v>
      </c>
      <c r="M496" s="126">
        <f>IF(ISERROR(L496/H496), "", L496/H496)</f>
        <v>-4.4117647058823456E-2</v>
      </c>
    </row>
    <row r="497" spans="1:13" ht="25.5" x14ac:dyDescent="0.25">
      <c r="A497" s="100" t="str">
        <f t="shared" si="71"/>
        <v>RESIDENTIAL SERVICE CLASSIFICATION</v>
      </c>
      <c r="C497" s="117"/>
      <c r="D497" s="155" t="s">
        <v>170</v>
      </c>
      <c r="E497" s="119"/>
      <c r="F497" s="127">
        <v>5.5999999999999999E-3</v>
      </c>
      <c r="G497" s="141">
        <f>IF($E473&gt;0, $E473, $E472*$E474)</f>
        <v>361.15200000000004</v>
      </c>
      <c r="H497" s="122">
        <f>G497*F497</f>
        <v>2.0224512000000003</v>
      </c>
      <c r="I497" s="128">
        <v>5.3E-3</v>
      </c>
      <c r="J497" s="141">
        <f>IF($E473&gt;0, $E473, $E472*$E475)</f>
        <v>361.15200000000004</v>
      </c>
      <c r="K497" s="122">
        <f>J497*I497</f>
        <v>1.9141056000000003</v>
      </c>
      <c r="L497" s="125">
        <f t="shared" si="68"/>
        <v>-0.10834560000000004</v>
      </c>
      <c r="M497" s="126">
        <f>IF(ISERROR(L497/H497), "", L497/H497)</f>
        <v>-5.3571428571428582E-2</v>
      </c>
    </row>
    <row r="498" spans="1:13" ht="25.5" x14ac:dyDescent="0.25">
      <c r="A498" s="100" t="str">
        <f t="shared" si="71"/>
        <v>RESIDENTIAL SERVICE CLASSIFICATION</v>
      </c>
      <c r="B498" s="105" t="s">
        <v>171</v>
      </c>
      <c r="C498" s="117">
        <f>B37</f>
        <v>8</v>
      </c>
      <c r="D498" s="147" t="s">
        <v>172</v>
      </c>
      <c r="E498" s="132"/>
      <c r="F498" s="149"/>
      <c r="G498" s="150"/>
      <c r="H498" s="151">
        <f>SUM(H495:H497)</f>
        <v>31.637557280000003</v>
      </c>
      <c r="I498" s="152"/>
      <c r="J498" s="137"/>
      <c r="K498" s="151">
        <f>SUM(K495:K497)</f>
        <v>36.839379590451721</v>
      </c>
      <c r="L498" s="138">
        <f t="shared" si="68"/>
        <v>5.2018223104517176</v>
      </c>
      <c r="M498" s="139">
        <f>IF((H498)=0,"",(L498/H498))</f>
        <v>0.16441921430325157</v>
      </c>
    </row>
    <row r="499" spans="1:13" ht="25.5" x14ac:dyDescent="0.25">
      <c r="A499" s="100" t="str">
        <f t="shared" si="71"/>
        <v>RESIDENTIAL SERVICE CLASSIFICATION</v>
      </c>
      <c r="C499" s="117"/>
      <c r="D499" s="156" t="s">
        <v>173</v>
      </c>
      <c r="E499" s="119"/>
      <c r="F499" s="127">
        <v>3.6000000000000003E-3</v>
      </c>
      <c r="G499" s="141">
        <f>E472*E474</f>
        <v>361.15200000000004</v>
      </c>
      <c r="H499" s="157">
        <f t="shared" ref="H499:H505" si="73">G499*F499</f>
        <v>1.3001472000000003</v>
      </c>
      <c r="I499" s="128">
        <v>3.6000000000000003E-3</v>
      </c>
      <c r="J499" s="141">
        <f>E472*E475</f>
        <v>361.15200000000004</v>
      </c>
      <c r="K499" s="157">
        <f t="shared" ref="K499:K505" si="74">J499*I499</f>
        <v>1.3001472000000003</v>
      </c>
      <c r="L499" s="125">
        <f t="shared" si="68"/>
        <v>0</v>
      </c>
      <c r="M499" s="126">
        <f t="shared" ref="M499:M507" si="75">IF(ISERROR(L499/H499), "", L499/H499)</f>
        <v>0</v>
      </c>
    </row>
    <row r="500" spans="1:13" ht="25.5" x14ac:dyDescent="0.25">
      <c r="A500" s="100" t="str">
        <f t="shared" si="71"/>
        <v>RESIDENTIAL SERVICE CLASSIFICATION</v>
      </c>
      <c r="C500" s="117"/>
      <c r="D500" s="156" t="s">
        <v>174</v>
      </c>
      <c r="E500" s="119"/>
      <c r="F500" s="127">
        <f>'[1]17. Regulatory Charges'!$D$16</f>
        <v>2.9999999999999997E-4</v>
      </c>
      <c r="G500" s="141">
        <f>E472*E474</f>
        <v>361.15200000000004</v>
      </c>
      <c r="H500" s="157">
        <f t="shared" si="73"/>
        <v>0.1083456</v>
      </c>
      <c r="I500" s="128">
        <v>2.9999999999999997E-4</v>
      </c>
      <c r="J500" s="141">
        <f>E472*E475</f>
        <v>361.15200000000004</v>
      </c>
      <c r="K500" s="157">
        <f t="shared" si="74"/>
        <v>0.1083456</v>
      </c>
      <c r="L500" s="125">
        <f t="shared" si="68"/>
        <v>0</v>
      </c>
      <c r="M500" s="126">
        <f t="shared" si="75"/>
        <v>0</v>
      </c>
    </row>
    <row r="501" spans="1:13" x14ac:dyDescent="0.25">
      <c r="A501" s="100" t="str">
        <f t="shared" si="71"/>
        <v>RESIDENTIAL SERVICE CLASSIFICATION</v>
      </c>
      <c r="C501" s="117"/>
      <c r="D501" s="158" t="s">
        <v>175</v>
      </c>
      <c r="E501" s="119"/>
      <c r="F501" s="145">
        <v>0.25</v>
      </c>
      <c r="G501" s="121">
        <v>1</v>
      </c>
      <c r="H501" s="157">
        <f t="shared" si="73"/>
        <v>0.25</v>
      </c>
      <c r="I501" s="146">
        <f>'[1]17. Regulatory Charges'!$D$17</f>
        <v>0.25</v>
      </c>
      <c r="J501" s="124">
        <v>1</v>
      </c>
      <c r="K501" s="157">
        <f t="shared" si="74"/>
        <v>0.25</v>
      </c>
      <c r="L501" s="125">
        <f t="shared" si="68"/>
        <v>0</v>
      </c>
      <c r="M501" s="126">
        <f t="shared" si="75"/>
        <v>0</v>
      </c>
    </row>
    <row r="502" spans="1:13" ht="25.5" x14ac:dyDescent="0.25">
      <c r="A502" s="100" t="str">
        <f t="shared" si="71"/>
        <v>RESIDENTIAL SERVICE CLASSIFICATION</v>
      </c>
      <c r="C502" s="117"/>
      <c r="D502" s="156" t="s">
        <v>176</v>
      </c>
      <c r="E502" s="119"/>
      <c r="F502" s="127"/>
      <c r="G502" s="141"/>
      <c r="H502" s="157"/>
      <c r="I502" s="128"/>
      <c r="J502" s="141"/>
      <c r="K502" s="157"/>
      <c r="L502" s="125"/>
      <c r="M502" s="126"/>
    </row>
    <row r="503" spans="1:13" x14ac:dyDescent="0.25">
      <c r="A503" s="100" t="str">
        <f t="shared" si="71"/>
        <v>RESIDENTIAL SERVICE CLASSIFICATION</v>
      </c>
      <c r="B503" s="105" t="s">
        <v>117</v>
      </c>
      <c r="C503" s="117"/>
      <c r="D503" s="159" t="s">
        <v>177</v>
      </c>
      <c r="E503" s="119"/>
      <c r="F503" s="160">
        <f>OffPeak</f>
        <v>6.5000000000000002E-2</v>
      </c>
      <c r="G503" s="161">
        <f>IF(AND(E472*12&gt;=150000),0.65*E472*E474,0.65*E472)</f>
        <v>222.3</v>
      </c>
      <c r="H503" s="157">
        <f t="shared" si="73"/>
        <v>14.4495</v>
      </c>
      <c r="I503" s="162">
        <f>OffPeak</f>
        <v>6.5000000000000002E-2</v>
      </c>
      <c r="J503" s="161">
        <f>IF(AND(E472*12&gt;=150000),0.65*E472*E475,0.65*E472)</f>
        <v>222.3</v>
      </c>
      <c r="K503" s="157">
        <f t="shared" si="74"/>
        <v>14.4495</v>
      </c>
      <c r="L503" s="125">
        <f>K503-H503</f>
        <v>0</v>
      </c>
      <c r="M503" s="126">
        <f t="shared" si="75"/>
        <v>0</v>
      </c>
    </row>
    <row r="504" spans="1:13" x14ac:dyDescent="0.25">
      <c r="A504" s="100" t="str">
        <f t="shared" si="71"/>
        <v>RESIDENTIAL SERVICE CLASSIFICATION</v>
      </c>
      <c r="B504" s="105" t="s">
        <v>117</v>
      </c>
      <c r="C504" s="117"/>
      <c r="D504" s="159" t="s">
        <v>178</v>
      </c>
      <c r="E504" s="119"/>
      <c r="F504" s="160">
        <f>MidPeak</f>
        <v>9.4E-2</v>
      </c>
      <c r="G504" s="161">
        <f>IF(AND(E472*12&gt;=150000),0.17*E472*E474,0.17*E472)</f>
        <v>58.140000000000008</v>
      </c>
      <c r="H504" s="157">
        <f t="shared" si="73"/>
        <v>5.4651600000000009</v>
      </c>
      <c r="I504" s="162">
        <f>MidPeak</f>
        <v>9.4E-2</v>
      </c>
      <c r="J504" s="161">
        <f>IF(AND(E472*12&gt;=150000),0.17*E472*E475,0.17*E472)</f>
        <v>58.140000000000008</v>
      </c>
      <c r="K504" s="157">
        <f t="shared" si="74"/>
        <v>5.4651600000000009</v>
      </c>
      <c r="L504" s="125">
        <f>K504-H504</f>
        <v>0</v>
      </c>
      <c r="M504" s="126">
        <f t="shared" si="75"/>
        <v>0</v>
      </c>
    </row>
    <row r="505" spans="1:13" ht="15.75" thickBot="1" x14ac:dyDescent="0.3">
      <c r="A505" s="100" t="str">
        <f t="shared" si="71"/>
        <v>RESIDENTIAL SERVICE CLASSIFICATION</v>
      </c>
      <c r="B505" s="105" t="s">
        <v>117</v>
      </c>
      <c r="C505" s="117"/>
      <c r="D505" s="105" t="s">
        <v>179</v>
      </c>
      <c r="E505" s="119"/>
      <c r="F505" s="160">
        <f>OnPeak</f>
        <v>0.13200000000000001</v>
      </c>
      <c r="G505" s="161">
        <f>IF(AND(E472*12&gt;=150000),0.18*E472*E474,0.18*E472)</f>
        <v>61.559999999999995</v>
      </c>
      <c r="H505" s="157">
        <f t="shared" si="73"/>
        <v>8.1259199999999989</v>
      </c>
      <c r="I505" s="162">
        <f>OnPeak</f>
        <v>0.13200000000000001</v>
      </c>
      <c r="J505" s="161">
        <f>IF(AND(E472*12&gt;=150000),0.18*E472*E475,0.18*E472)</f>
        <v>61.559999999999995</v>
      </c>
      <c r="K505" s="157">
        <f t="shared" si="74"/>
        <v>8.1259199999999989</v>
      </c>
      <c r="L505" s="125">
        <f>K505-H505</f>
        <v>0</v>
      </c>
      <c r="M505" s="126">
        <f t="shared" si="75"/>
        <v>0</v>
      </c>
    </row>
    <row r="506" spans="1:13" hidden="1" x14ac:dyDescent="0.25">
      <c r="A506" s="100" t="str">
        <f t="shared" si="71"/>
        <v>RESIDENTIAL SERVICE CLASSIFICATION</v>
      </c>
      <c r="B506" s="100" t="s">
        <v>180</v>
      </c>
      <c r="C506" s="117"/>
      <c r="D506" s="159" t="s">
        <v>181</v>
      </c>
      <c r="E506" s="119"/>
      <c r="F506" s="163">
        <v>0.1101</v>
      </c>
      <c r="G506" s="161">
        <f>IF(AND(E472*12&gt;=150000),E472*E474,E472)</f>
        <v>342</v>
      </c>
      <c r="H506" s="157">
        <f>G506*F506</f>
        <v>37.654200000000003</v>
      </c>
      <c r="I506" s="164">
        <f>F506</f>
        <v>0.1101</v>
      </c>
      <c r="J506" s="161">
        <f>IF(AND(E472*12&gt;=150000),E472*E475,E472)</f>
        <v>342</v>
      </c>
      <c r="K506" s="157">
        <f>J506*I506</f>
        <v>37.654200000000003</v>
      </c>
      <c r="L506" s="125">
        <f>K506-H506</f>
        <v>0</v>
      </c>
      <c r="M506" s="126">
        <f t="shared" si="75"/>
        <v>0</v>
      </c>
    </row>
    <row r="507" spans="1:13" ht="15.75" hidden="1" thickBot="1" x14ac:dyDescent="0.3">
      <c r="A507" s="100" t="str">
        <f t="shared" si="71"/>
        <v>RESIDENTIAL SERVICE CLASSIFICATION</v>
      </c>
      <c r="B507" s="100" t="s">
        <v>121</v>
      </c>
      <c r="C507" s="117"/>
      <c r="D507" s="159" t="s">
        <v>182</v>
      </c>
      <c r="E507" s="119"/>
      <c r="F507" s="163">
        <v>0.1101</v>
      </c>
      <c r="G507" s="161">
        <f>IF(AND(E472*12&gt;=150000),E472*E474,E472)</f>
        <v>342</v>
      </c>
      <c r="H507" s="157">
        <f>G507*F507</f>
        <v>37.654200000000003</v>
      </c>
      <c r="I507" s="164">
        <f>F507</f>
        <v>0.1101</v>
      </c>
      <c r="J507" s="161">
        <f>IF(AND(E472*12&gt;=150000),E472*E475,E472)</f>
        <v>342</v>
      </c>
      <c r="K507" s="157">
        <f>J507*I507</f>
        <v>37.654200000000003</v>
      </c>
      <c r="L507" s="125">
        <f>K507-H507</f>
        <v>0</v>
      </c>
      <c r="M507" s="126">
        <f t="shared" si="75"/>
        <v>0</v>
      </c>
    </row>
    <row r="508" spans="1:13" ht="15.75" thickBot="1" x14ac:dyDescent="0.3">
      <c r="A508" s="100" t="str">
        <f t="shared" si="71"/>
        <v>RESIDENTIAL SERVICE CLASSIFICATION</v>
      </c>
      <c r="B508" s="105"/>
      <c r="C508" s="117"/>
      <c r="D508" s="165"/>
      <c r="E508" s="166"/>
      <c r="F508" s="167"/>
      <c r="G508" s="168"/>
      <c r="H508" s="169"/>
      <c r="I508" s="167"/>
      <c r="J508" s="170"/>
      <c r="K508" s="169"/>
      <c r="L508" s="171"/>
      <c r="M508" s="172"/>
    </row>
    <row r="509" spans="1:13" x14ac:dyDescent="0.25">
      <c r="A509" s="100" t="str">
        <f t="shared" si="71"/>
        <v>RESIDENTIAL SERVICE CLASSIFICATION</v>
      </c>
      <c r="B509" s="105" t="s">
        <v>117</v>
      </c>
      <c r="C509" s="117"/>
      <c r="D509" s="173" t="s">
        <v>183</v>
      </c>
      <c r="E509" s="158"/>
      <c r="F509" s="174"/>
      <c r="G509" s="175"/>
      <c r="H509" s="176">
        <f>SUM(H499:H505,H498)</f>
        <v>61.336630080000006</v>
      </c>
      <c r="I509" s="177"/>
      <c r="J509" s="177"/>
      <c r="K509" s="176">
        <f>SUM(K499:K505,K498)</f>
        <v>66.538452390451724</v>
      </c>
      <c r="L509" s="178">
        <f>K509-H509</f>
        <v>5.2018223104517176</v>
      </c>
      <c r="M509" s="179">
        <f>IF((H509)=0,"",(L509/H509))</f>
        <v>8.4807761751291136E-2</v>
      </c>
    </row>
    <row r="510" spans="1:13" x14ac:dyDescent="0.25">
      <c r="A510" s="100" t="str">
        <f t="shared" si="71"/>
        <v>RESIDENTIAL SERVICE CLASSIFICATION</v>
      </c>
      <c r="B510" s="105" t="s">
        <v>117</v>
      </c>
      <c r="C510" s="117"/>
      <c r="D510" s="180" t="s">
        <v>184</v>
      </c>
      <c r="E510" s="158"/>
      <c r="F510" s="174">
        <v>0.13</v>
      </c>
      <c r="G510" s="181"/>
      <c r="H510" s="182">
        <f>H509*F510</f>
        <v>7.9737619104000013</v>
      </c>
      <c r="I510" s="183">
        <v>0.13</v>
      </c>
      <c r="J510" s="121"/>
      <c r="K510" s="182">
        <f>K509*I510</f>
        <v>8.6499988107587242</v>
      </c>
      <c r="L510" s="184">
        <f>K510-H510</f>
        <v>0.67623690035872297</v>
      </c>
      <c r="M510" s="185">
        <f>IF((H510)=0,"",(L510/H510))</f>
        <v>8.480776175129108E-2</v>
      </c>
    </row>
    <row r="511" spans="1:13" x14ac:dyDescent="0.25">
      <c r="A511" s="100" t="str">
        <f t="shared" si="71"/>
        <v>RESIDENTIAL SERVICE CLASSIFICATION</v>
      </c>
      <c r="B511" s="105" t="s">
        <v>117</v>
      </c>
      <c r="C511" s="117"/>
      <c r="D511" s="180" t="s">
        <v>185</v>
      </c>
      <c r="E511" s="158"/>
      <c r="F511" s="174">
        <v>0.08</v>
      </c>
      <c r="G511" s="181"/>
      <c r="H511" s="182">
        <f>H509*-F511</f>
        <v>-4.9069304064000008</v>
      </c>
      <c r="I511" s="174">
        <v>0.08</v>
      </c>
      <c r="J511" s="121"/>
      <c r="K511" s="182">
        <f>K509*-I511</f>
        <v>-5.3230761912361384</v>
      </c>
      <c r="L511" s="184">
        <f>K511-H511</f>
        <v>-0.41614578483613762</v>
      </c>
      <c r="M511" s="185"/>
    </row>
    <row r="512" spans="1:13" ht="15.75" thickBot="1" x14ac:dyDescent="0.3">
      <c r="A512" s="100" t="str">
        <f t="shared" si="71"/>
        <v>RESIDENTIAL SERVICE CLASSIFICATION</v>
      </c>
      <c r="B512" s="105" t="s">
        <v>186</v>
      </c>
      <c r="C512" s="117">
        <f>B37</f>
        <v>8</v>
      </c>
      <c r="D512" s="301" t="s">
        <v>187</v>
      </c>
      <c r="E512" s="301"/>
      <c r="F512" s="186"/>
      <c r="G512" s="187"/>
      <c r="H512" s="188">
        <f>H509+H510+H511</f>
        <v>64.403461584000013</v>
      </c>
      <c r="I512" s="189"/>
      <c r="J512" s="189"/>
      <c r="K512" s="190">
        <f>K509+K510+K511</f>
        <v>69.865375009974315</v>
      </c>
      <c r="L512" s="191">
        <f>K512-H512</f>
        <v>5.4619134259743021</v>
      </c>
      <c r="M512" s="192">
        <f>IF((H512)=0,"",(L512/H512))</f>
        <v>8.4807761751291094E-2</v>
      </c>
    </row>
    <row r="513" spans="1:13" ht="15.75" hidden="1" thickBot="1" x14ac:dyDescent="0.3">
      <c r="A513" s="100" t="str">
        <f t="shared" si="71"/>
        <v>RESIDENTIAL SERVICE CLASSIFICATION</v>
      </c>
      <c r="B513" s="100" t="s">
        <v>117</v>
      </c>
      <c r="C513" s="117"/>
      <c r="D513" s="165"/>
      <c r="E513" s="166"/>
      <c r="F513" s="167"/>
      <c r="G513" s="168"/>
      <c r="H513" s="169"/>
      <c r="I513" s="167"/>
      <c r="J513" s="170"/>
      <c r="K513" s="169"/>
      <c r="L513" s="171"/>
      <c r="M513" s="172"/>
    </row>
    <row r="514" spans="1:13" hidden="1" x14ac:dyDescent="0.25">
      <c r="A514" s="100" t="str">
        <f t="shared" si="71"/>
        <v>RESIDENTIAL SERVICE CLASSIFICATION</v>
      </c>
      <c r="B514" s="100" t="s">
        <v>180</v>
      </c>
      <c r="C514" s="117"/>
      <c r="D514" s="173" t="s">
        <v>188</v>
      </c>
      <c r="E514" s="158"/>
      <c r="F514" s="174"/>
      <c r="G514" s="175"/>
      <c r="H514" s="176">
        <f>SUM(H506,H499:H502,H498)</f>
        <v>70.950250080000004</v>
      </c>
      <c r="I514" s="177"/>
      <c r="J514" s="177"/>
      <c r="K514" s="176">
        <f>SUM(K506,K499:K502,K498)</f>
        <v>76.152072390451721</v>
      </c>
      <c r="L514" s="178">
        <f>K514-H514</f>
        <v>5.2018223104517176</v>
      </c>
      <c r="M514" s="179">
        <f>IF((H514)=0,"",(L514/H514))</f>
        <v>7.3316476046051973E-2</v>
      </c>
    </row>
    <row r="515" spans="1:13" hidden="1" x14ac:dyDescent="0.25">
      <c r="A515" s="100" t="str">
        <f t="shared" si="71"/>
        <v>RESIDENTIAL SERVICE CLASSIFICATION</v>
      </c>
      <c r="B515" s="100" t="s">
        <v>180</v>
      </c>
      <c r="C515" s="117"/>
      <c r="D515" s="180" t="s">
        <v>184</v>
      </c>
      <c r="E515" s="158"/>
      <c r="F515" s="174">
        <v>0.13</v>
      </c>
      <c r="G515" s="175"/>
      <c r="H515" s="182">
        <f>H514*F515</f>
        <v>9.2235325104000001</v>
      </c>
      <c r="I515" s="174">
        <v>0.13</v>
      </c>
      <c r="J515" s="183"/>
      <c r="K515" s="182">
        <f>K514*I515</f>
        <v>9.899769410758724</v>
      </c>
      <c r="L515" s="184">
        <f>K515-H515</f>
        <v>0.67623690035872386</v>
      </c>
      <c r="M515" s="185">
        <f>IF((H515)=0,"",(L515/H515))</f>
        <v>7.3316476046052043E-2</v>
      </c>
    </row>
    <row r="516" spans="1:13" hidden="1" x14ac:dyDescent="0.25">
      <c r="A516" s="100" t="str">
        <f t="shared" si="71"/>
        <v>RESIDENTIAL SERVICE CLASSIFICATION</v>
      </c>
      <c r="B516" s="100" t="s">
        <v>180</v>
      </c>
      <c r="C516" s="117"/>
      <c r="D516" s="180" t="s">
        <v>185</v>
      </c>
      <c r="E516" s="158"/>
      <c r="F516" s="174">
        <v>0.08</v>
      </c>
      <c r="G516" s="175"/>
      <c r="H516" s="182"/>
      <c r="I516" s="174">
        <v>0.08</v>
      </c>
      <c r="J516" s="183"/>
      <c r="K516" s="182"/>
      <c r="L516" s="184"/>
      <c r="M516" s="185"/>
    </row>
    <row r="517" spans="1:13" ht="15.75" hidden="1" thickBot="1" x14ac:dyDescent="0.3">
      <c r="A517" s="100" t="str">
        <f t="shared" si="71"/>
        <v>RESIDENTIAL SERVICE CLASSIFICATION</v>
      </c>
      <c r="B517" s="100" t="s">
        <v>189</v>
      </c>
      <c r="C517" s="117"/>
      <c r="D517" s="301" t="s">
        <v>188</v>
      </c>
      <c r="E517" s="301"/>
      <c r="F517" s="193"/>
      <c r="G517" s="194"/>
      <c r="H517" s="188">
        <f>SUM(H514,H515)</f>
        <v>80.173782590400009</v>
      </c>
      <c r="I517" s="195"/>
      <c r="J517" s="195"/>
      <c r="K517" s="188">
        <f>SUM(K514,K515)</f>
        <v>86.051841801210443</v>
      </c>
      <c r="L517" s="196">
        <f>K517-H517</f>
        <v>5.8780592108104344</v>
      </c>
      <c r="M517" s="197">
        <f>IF((H517)=0,"",(L517/H517))</f>
        <v>7.331647604605189E-2</v>
      </c>
    </row>
    <row r="518" spans="1:13" ht="15.75" hidden="1" thickBot="1" x14ac:dyDescent="0.3">
      <c r="A518" s="100" t="str">
        <f t="shared" si="71"/>
        <v>RESIDENTIAL SERVICE CLASSIFICATION</v>
      </c>
      <c r="B518" s="100" t="s">
        <v>180</v>
      </c>
      <c r="C518" s="117"/>
      <c r="D518" s="165"/>
      <c r="E518" s="166"/>
      <c r="F518" s="198"/>
      <c r="G518" s="199"/>
      <c r="H518" s="200"/>
      <c r="I518" s="198"/>
      <c r="J518" s="168"/>
      <c r="K518" s="200"/>
      <c r="L518" s="201"/>
      <c r="M518" s="172"/>
    </row>
    <row r="519" spans="1:13" hidden="1" x14ac:dyDescent="0.25">
      <c r="A519" s="100" t="str">
        <f t="shared" si="71"/>
        <v>RESIDENTIAL SERVICE CLASSIFICATION</v>
      </c>
      <c r="B519" s="100" t="s">
        <v>121</v>
      </c>
      <c r="C519" s="117"/>
      <c r="D519" s="173" t="s">
        <v>190</v>
      </c>
      <c r="E519" s="158"/>
      <c r="F519" s="174"/>
      <c r="G519" s="175"/>
      <c r="H519" s="176">
        <f>SUM(H507,H499:H502,H498)</f>
        <v>70.950250080000004</v>
      </c>
      <c r="I519" s="177"/>
      <c r="J519" s="177"/>
      <c r="K519" s="176">
        <f>SUM(K507,K499:K502,K498)</f>
        <v>76.152072390451721</v>
      </c>
      <c r="L519" s="178">
        <f>K519-H519</f>
        <v>5.2018223104517176</v>
      </c>
      <c r="M519" s="179">
        <f>IF((H519)=0,"",(L519/H519))</f>
        <v>7.3316476046051973E-2</v>
      </c>
    </row>
    <row r="520" spans="1:13" hidden="1" x14ac:dyDescent="0.25">
      <c r="A520" s="100" t="str">
        <f t="shared" si="71"/>
        <v>RESIDENTIAL SERVICE CLASSIFICATION</v>
      </c>
      <c r="B520" s="100" t="s">
        <v>121</v>
      </c>
      <c r="C520" s="117"/>
      <c r="D520" s="180" t="s">
        <v>184</v>
      </c>
      <c r="E520" s="158"/>
      <c r="F520" s="174">
        <v>0.13</v>
      </c>
      <c r="G520" s="175"/>
      <c r="H520" s="182">
        <f>H519*F520</f>
        <v>9.2235325104000001</v>
      </c>
      <c r="I520" s="174">
        <v>0.13</v>
      </c>
      <c r="J520" s="183"/>
      <c r="K520" s="182">
        <f>K519*I520</f>
        <v>9.899769410758724</v>
      </c>
      <c r="L520" s="184">
        <f>K520-H520</f>
        <v>0.67623690035872386</v>
      </c>
      <c r="M520" s="185">
        <f>IF((H520)=0,"",(L520/H520))</f>
        <v>7.3316476046052043E-2</v>
      </c>
    </row>
    <row r="521" spans="1:13" hidden="1" x14ac:dyDescent="0.25">
      <c r="A521" s="100" t="str">
        <f t="shared" si="71"/>
        <v>RESIDENTIAL SERVICE CLASSIFICATION</v>
      </c>
      <c r="B521" s="100" t="s">
        <v>121</v>
      </c>
      <c r="C521" s="117"/>
      <c r="D521" s="180" t="s">
        <v>185</v>
      </c>
      <c r="E521" s="158"/>
      <c r="F521" s="174">
        <v>0.08</v>
      </c>
      <c r="G521" s="175"/>
      <c r="H521" s="182"/>
      <c r="I521" s="174">
        <v>0.08</v>
      </c>
      <c r="J521" s="183"/>
      <c r="K521" s="182"/>
      <c r="L521" s="184"/>
      <c r="M521" s="185"/>
    </row>
    <row r="522" spans="1:13" ht="15.75" hidden="1" thickBot="1" x14ac:dyDescent="0.3">
      <c r="A522" s="100" t="str">
        <f t="shared" si="71"/>
        <v>RESIDENTIAL SERVICE CLASSIFICATION</v>
      </c>
      <c r="B522" s="100" t="s">
        <v>191</v>
      </c>
      <c r="C522" s="117"/>
      <c r="D522" s="301" t="s">
        <v>190</v>
      </c>
      <c r="E522" s="301"/>
      <c r="F522" s="193"/>
      <c r="G522" s="194"/>
      <c r="H522" s="188">
        <f>SUM(H519,H520)</f>
        <v>80.173782590400009</v>
      </c>
      <c r="I522" s="195"/>
      <c r="J522" s="195"/>
      <c r="K522" s="188">
        <f>SUM(K519,K520)</f>
        <v>86.051841801210443</v>
      </c>
      <c r="L522" s="196">
        <f>K522-H522</f>
        <v>5.8780592108104344</v>
      </c>
      <c r="M522" s="197">
        <f>IF((H522)=0,"",(L522/H522))</f>
        <v>7.331647604605189E-2</v>
      </c>
    </row>
    <row r="523" spans="1:13" ht="15.75" thickBot="1" x14ac:dyDescent="0.3">
      <c r="A523" s="100" t="str">
        <f t="shared" si="71"/>
        <v>RESIDENTIAL SERVICE CLASSIFICATION</v>
      </c>
      <c r="B523" s="100" t="s">
        <v>121</v>
      </c>
      <c r="C523" s="117"/>
      <c r="D523" s="165"/>
      <c r="E523" s="166"/>
      <c r="F523" s="202"/>
      <c r="G523" s="203"/>
      <c r="H523" s="204"/>
      <c r="I523" s="202"/>
      <c r="J523" s="205"/>
      <c r="K523" s="204"/>
      <c r="L523" s="206"/>
      <c r="M523" s="207"/>
    </row>
    <row r="526" spans="1:13" x14ac:dyDescent="0.25">
      <c r="C526" s="100"/>
      <c r="D526" s="101" t="s">
        <v>134</v>
      </c>
      <c r="E526" s="302" t="str">
        <f>D38</f>
        <v>RESIDENTIAL SERVICE CLASSIFICATION</v>
      </c>
      <c r="F526" s="302"/>
      <c r="G526" s="302"/>
      <c r="H526" s="302"/>
      <c r="I526" s="302"/>
      <c r="J526" s="302"/>
      <c r="K526" s="100" t="str">
        <f>IF(N38="DEMAND - INTERVAL","RTSR - INTERVAL METERED","")</f>
        <v/>
      </c>
    </row>
    <row r="527" spans="1:13" x14ac:dyDescent="0.25">
      <c r="C527" s="100"/>
      <c r="D527" s="101" t="s">
        <v>135</v>
      </c>
      <c r="E527" s="303" t="str">
        <f>H38</f>
        <v>RPP</v>
      </c>
      <c r="F527" s="303"/>
      <c r="G527" s="303"/>
      <c r="H527" s="102"/>
      <c r="I527" s="102"/>
    </row>
    <row r="528" spans="1:13" ht="15.75" x14ac:dyDescent="0.25">
      <c r="C528" s="100"/>
      <c r="D528" s="101" t="s">
        <v>136</v>
      </c>
      <c r="E528" s="103">
        <f>K38</f>
        <v>1000</v>
      </c>
      <c r="F528" s="104" t="s">
        <v>137</v>
      </c>
      <c r="G528" s="105"/>
      <c r="J528" s="106"/>
      <c r="K528" s="106"/>
      <c r="L528" s="106"/>
      <c r="M528" s="106"/>
    </row>
    <row r="529" spans="1:13" ht="15.75" x14ac:dyDescent="0.25">
      <c r="C529" s="100"/>
      <c r="D529" s="101" t="s">
        <v>138</v>
      </c>
      <c r="E529" s="103">
        <f>L38</f>
        <v>0</v>
      </c>
      <c r="F529" s="107" t="s">
        <v>139</v>
      </c>
      <c r="G529" s="108"/>
      <c r="H529" s="109"/>
      <c r="I529" s="109"/>
      <c r="J529" s="109"/>
    </row>
    <row r="530" spans="1:13" x14ac:dyDescent="0.25">
      <c r="C530" s="100"/>
      <c r="D530" s="101" t="s">
        <v>140</v>
      </c>
      <c r="E530" s="110">
        <f>I38</f>
        <v>1.056</v>
      </c>
    </row>
    <row r="531" spans="1:13" x14ac:dyDescent="0.25">
      <c r="C531" s="100"/>
      <c r="D531" s="101" t="s">
        <v>141</v>
      </c>
      <c r="E531" s="110">
        <f>J38</f>
        <v>1.056</v>
      </c>
    </row>
    <row r="532" spans="1:13" x14ac:dyDescent="0.25">
      <c r="C532" s="100"/>
      <c r="D532" s="105"/>
    </row>
    <row r="533" spans="1:13" x14ac:dyDescent="0.25">
      <c r="C533" s="100"/>
      <c r="D533" s="105"/>
      <c r="E533" s="111"/>
      <c r="F533" s="304" t="s">
        <v>142</v>
      </c>
      <c r="G533" s="305"/>
      <c r="H533" s="306"/>
      <c r="I533" s="304" t="s">
        <v>143</v>
      </c>
      <c r="J533" s="305"/>
      <c r="K533" s="306"/>
      <c r="L533" s="304" t="s">
        <v>144</v>
      </c>
      <c r="M533" s="306"/>
    </row>
    <row r="534" spans="1:13" x14ac:dyDescent="0.25">
      <c r="C534" s="100"/>
      <c r="D534" s="105"/>
      <c r="E534" s="295"/>
      <c r="F534" s="112" t="s">
        <v>145</v>
      </c>
      <c r="G534" s="112" t="s">
        <v>146</v>
      </c>
      <c r="H534" s="113" t="s">
        <v>147</v>
      </c>
      <c r="I534" s="112" t="s">
        <v>145</v>
      </c>
      <c r="J534" s="114" t="s">
        <v>146</v>
      </c>
      <c r="K534" s="113" t="s">
        <v>147</v>
      </c>
      <c r="L534" s="297" t="s">
        <v>148</v>
      </c>
      <c r="M534" s="299" t="s">
        <v>149</v>
      </c>
    </row>
    <row r="535" spans="1:13" x14ac:dyDescent="0.25">
      <c r="C535" s="100"/>
      <c r="D535" s="105"/>
      <c r="E535" s="296"/>
      <c r="F535" s="115" t="s">
        <v>150</v>
      </c>
      <c r="G535" s="115"/>
      <c r="H535" s="116" t="s">
        <v>150</v>
      </c>
      <c r="I535" s="115" t="s">
        <v>150</v>
      </c>
      <c r="J535" s="116"/>
      <c r="K535" s="116" t="s">
        <v>150</v>
      </c>
      <c r="L535" s="298"/>
      <c r="M535" s="300"/>
    </row>
    <row r="536" spans="1:13" x14ac:dyDescent="0.25">
      <c r="A536" s="100" t="str">
        <f>$E526</f>
        <v>RESIDENTIAL SERVICE CLASSIFICATION</v>
      </c>
      <c r="C536" s="117"/>
      <c r="D536" s="118" t="s">
        <v>151</v>
      </c>
      <c r="E536" s="119"/>
      <c r="F536" s="120">
        <v>23.48</v>
      </c>
      <c r="G536" s="121">
        <v>1</v>
      </c>
      <c r="H536" s="122">
        <f>G536*F536</f>
        <v>23.48</v>
      </c>
      <c r="I536" s="123">
        <v>26.72</v>
      </c>
      <c r="J536" s="124">
        <f>G536</f>
        <v>1</v>
      </c>
      <c r="K536" s="122">
        <f>J536*I536</f>
        <v>26.72</v>
      </c>
      <c r="L536" s="125">
        <f t="shared" ref="L536:L557" si="76">K536-H536</f>
        <v>3.2399999999999984</v>
      </c>
      <c r="M536" s="126">
        <f>IF(ISERROR(L536/H536), "", L536/H536)</f>
        <v>0.13798977853492328</v>
      </c>
    </row>
    <row r="537" spans="1:13" x14ac:dyDescent="0.25">
      <c r="A537" s="100" t="str">
        <f>A536</f>
        <v>RESIDENTIAL SERVICE CLASSIFICATION</v>
      </c>
      <c r="C537" s="117"/>
      <c r="D537" s="118" t="s">
        <v>152</v>
      </c>
      <c r="E537" s="119"/>
      <c r="F537" s="127">
        <v>3.3999999999999998E-3</v>
      </c>
      <c r="G537" s="121">
        <f>IF($E529&gt;0, $E529, $E528)</f>
        <v>1000</v>
      </c>
      <c r="H537" s="122">
        <f t="shared" ref="H537:H549" si="77">G537*F537</f>
        <v>3.4</v>
      </c>
      <c r="I537" s="128">
        <v>0</v>
      </c>
      <c r="J537" s="124">
        <f>IF($E529&gt;0, $E529, $E528)</f>
        <v>1000</v>
      </c>
      <c r="K537" s="122">
        <f>J537*I537</f>
        <v>0</v>
      </c>
      <c r="L537" s="125">
        <f t="shared" si="76"/>
        <v>-3.4</v>
      </c>
      <c r="M537" s="126">
        <f t="shared" ref="M537:M547" si="78">IF(ISERROR(L537/H537), "", L537/H537)</f>
        <v>-1</v>
      </c>
    </row>
    <row r="538" spans="1:13" x14ac:dyDescent="0.25">
      <c r="A538" s="100" t="str">
        <f t="shared" ref="A538:A579" si="79">A537</f>
        <v>RESIDENTIAL SERVICE CLASSIFICATION</v>
      </c>
      <c r="C538" s="117"/>
      <c r="D538" s="118" t="s">
        <v>153</v>
      </c>
      <c r="E538" s="119"/>
      <c r="F538" s="127"/>
      <c r="G538" s="121">
        <f>IF($E529&gt;0, $E529, $E528)</f>
        <v>1000</v>
      </c>
      <c r="H538" s="122">
        <v>0</v>
      </c>
      <c r="I538" s="128"/>
      <c r="J538" s="124">
        <f>IF($E529&gt;0, $E529, $E528)</f>
        <v>1000</v>
      </c>
      <c r="K538" s="122">
        <v>0</v>
      </c>
      <c r="L538" s="125"/>
      <c r="M538" s="126"/>
    </row>
    <row r="539" spans="1:13" x14ac:dyDescent="0.25">
      <c r="A539" s="100" t="str">
        <f t="shared" si="79"/>
        <v>RESIDENTIAL SERVICE CLASSIFICATION</v>
      </c>
      <c r="C539" s="117"/>
      <c r="D539" s="118" t="s">
        <v>154</v>
      </c>
      <c r="E539" s="119"/>
      <c r="F539" s="127"/>
      <c r="G539" s="121">
        <f>IF($E529&gt;0, $E529, $E528)</f>
        <v>1000</v>
      </c>
      <c r="H539" s="122">
        <v>0</v>
      </c>
      <c r="I539" s="128"/>
      <c r="J539" s="121">
        <f>IF($E529&gt;0, $E529, $E528)</f>
        <v>1000</v>
      </c>
      <c r="K539" s="122">
        <v>0</v>
      </c>
      <c r="L539" s="125">
        <f>K539-H539</f>
        <v>0</v>
      </c>
      <c r="M539" s="126" t="str">
        <f>IF(ISERROR(L539/H539), "", L539/H539)</f>
        <v/>
      </c>
    </row>
    <row r="540" spans="1:13" x14ac:dyDescent="0.25">
      <c r="A540" s="100" t="str">
        <f t="shared" si="79"/>
        <v>RESIDENTIAL SERVICE CLASSIFICATION</v>
      </c>
      <c r="C540" s="117"/>
      <c r="D540" s="129" t="s">
        <v>155</v>
      </c>
      <c r="E540" s="119"/>
      <c r="F540" s="120">
        <v>0</v>
      </c>
      <c r="G540" s="121">
        <v>1</v>
      </c>
      <c r="H540" s="122">
        <f t="shared" si="77"/>
        <v>0</v>
      </c>
      <c r="I540" s="226">
        <f>'Rate Riders'!O8</f>
        <v>4.6409135104517185</v>
      </c>
      <c r="J540" s="124">
        <f>G540</f>
        <v>1</v>
      </c>
      <c r="K540" s="122">
        <f t="shared" ref="K540:K547" si="80">J540*I540</f>
        <v>4.6409135104517185</v>
      </c>
      <c r="L540" s="125">
        <f t="shared" si="76"/>
        <v>4.6409135104517185</v>
      </c>
      <c r="M540" s="126" t="str">
        <f t="shared" si="78"/>
        <v/>
      </c>
    </row>
    <row r="541" spans="1:13" x14ac:dyDescent="0.25">
      <c r="A541" s="100" t="str">
        <f t="shared" si="79"/>
        <v>RESIDENTIAL SERVICE CLASSIFICATION</v>
      </c>
      <c r="C541" s="117"/>
      <c r="D541" s="118" t="s">
        <v>156</v>
      </c>
      <c r="E541" s="119"/>
      <c r="F541" s="127">
        <v>0</v>
      </c>
      <c r="G541" s="121">
        <f>IF($E529&gt;0, $E529, $E528)</f>
        <v>1000</v>
      </c>
      <c r="H541" s="122">
        <f t="shared" si="77"/>
        <v>0</v>
      </c>
      <c r="I541" s="227">
        <v>0</v>
      </c>
      <c r="J541" s="124">
        <f>IF($E529&gt;0, $E529, $E528)</f>
        <v>1000</v>
      </c>
      <c r="K541" s="122">
        <f t="shared" si="80"/>
        <v>0</v>
      </c>
      <c r="L541" s="125">
        <f t="shared" si="76"/>
        <v>0</v>
      </c>
      <c r="M541" s="126" t="str">
        <f t="shared" si="78"/>
        <v/>
      </c>
    </row>
    <row r="542" spans="1:13" x14ac:dyDescent="0.25">
      <c r="A542" s="100" t="str">
        <f t="shared" si="79"/>
        <v>RESIDENTIAL SERVICE CLASSIFICATION</v>
      </c>
      <c r="B542" s="130" t="s">
        <v>157</v>
      </c>
      <c r="C542" s="117">
        <f>B38</f>
        <v>9</v>
      </c>
      <c r="D542" s="131" t="s">
        <v>158</v>
      </c>
      <c r="E542" s="132"/>
      <c r="F542" s="133"/>
      <c r="G542" s="134"/>
      <c r="H542" s="135">
        <f>SUM(H536:H541)</f>
        <v>26.88</v>
      </c>
      <c r="I542" s="136"/>
      <c r="J542" s="137"/>
      <c r="K542" s="135">
        <f>SUM(K536:K541)</f>
        <v>31.360913510451716</v>
      </c>
      <c r="L542" s="138">
        <f t="shared" si="76"/>
        <v>4.4809135104517175</v>
      </c>
      <c r="M542" s="139">
        <f>IF((H542)=0,"",(L542/H542))</f>
        <v>0.16670065143049545</v>
      </c>
    </row>
    <row r="543" spans="1:13" x14ac:dyDescent="0.25">
      <c r="A543" s="100" t="str">
        <f t="shared" si="79"/>
        <v>RESIDENTIAL SERVICE CLASSIFICATION</v>
      </c>
      <c r="C543" s="117"/>
      <c r="D543" s="140" t="s">
        <v>159</v>
      </c>
      <c r="E543" s="119"/>
      <c r="F543" s="127">
        <f>IF((E528*12&gt;=150000), 0, IF(E527="RPP",(F559*0.65+F560*0.17+F561*0.18),IF(E527="Non-RPP (Retailer)",F562,F563)))</f>
        <v>8.1990000000000007E-2</v>
      </c>
      <c r="G543" s="141">
        <f>IF(F543=0, 0, $E528*E530-E528)</f>
        <v>56</v>
      </c>
      <c r="H543" s="122">
        <f>G543*F543</f>
        <v>4.5914400000000004</v>
      </c>
      <c r="I543" s="128">
        <f>IF((E528*12&gt;=150000), 0, IF(E527="RPP",(I559*0.65+I560*0.17+I561*0.18),IF(E527="Non-RPP (Retailer)",I562,I563)))</f>
        <v>8.1990000000000007E-2</v>
      </c>
      <c r="J543" s="141">
        <f>IF(I543=0, 0, E528*E531-E528)</f>
        <v>56</v>
      </c>
      <c r="K543" s="122">
        <f>J543*I543</f>
        <v>4.5914400000000004</v>
      </c>
      <c r="L543" s="125">
        <f>K543-H543</f>
        <v>0</v>
      </c>
      <c r="M543" s="126">
        <f>IF(ISERROR(L543/H543), "", L543/H543)</f>
        <v>0</v>
      </c>
    </row>
    <row r="544" spans="1:13" ht="25.5" x14ac:dyDescent="0.25">
      <c r="A544" s="100" t="str">
        <f t="shared" si="79"/>
        <v>RESIDENTIAL SERVICE CLASSIFICATION</v>
      </c>
      <c r="C544" s="117"/>
      <c r="D544" s="140" t="s">
        <v>160</v>
      </c>
      <c r="E544" s="119"/>
      <c r="F544" s="127">
        <v>-1.4E-3</v>
      </c>
      <c r="G544" s="142">
        <f>IF($E529&gt;0, $E529, $E528)</f>
        <v>1000</v>
      </c>
      <c r="H544" s="122">
        <f t="shared" si="77"/>
        <v>-1.4</v>
      </c>
      <c r="I544" s="128">
        <v>-5.3E-3</v>
      </c>
      <c r="J544" s="142">
        <f>IF($E529&gt;0, $E529, $E528)</f>
        <v>1000</v>
      </c>
      <c r="K544" s="122">
        <f t="shared" si="80"/>
        <v>-5.3</v>
      </c>
      <c r="L544" s="125">
        <f t="shared" si="76"/>
        <v>-3.9</v>
      </c>
      <c r="M544" s="126">
        <f t="shared" si="78"/>
        <v>2.785714285714286</v>
      </c>
    </row>
    <row r="545" spans="1:13" x14ac:dyDescent="0.25">
      <c r="A545" s="100" t="str">
        <f t="shared" si="79"/>
        <v>RESIDENTIAL SERVICE CLASSIFICATION</v>
      </c>
      <c r="C545" s="117"/>
      <c r="D545" s="140" t="s">
        <v>161</v>
      </c>
      <c r="E545" s="119"/>
      <c r="F545" s="127">
        <v>-1E-4</v>
      </c>
      <c r="G545" s="142">
        <f>IF($E529&gt;0, $E529, $E528)</f>
        <v>1000</v>
      </c>
      <c r="H545" s="122">
        <f>G545*F545</f>
        <v>-0.1</v>
      </c>
      <c r="I545" s="128">
        <v>0</v>
      </c>
      <c r="J545" s="142">
        <f>IF($E529&gt;0, $E529, $E528)</f>
        <v>1000</v>
      </c>
      <c r="K545" s="122">
        <f>J545*I545</f>
        <v>0</v>
      </c>
      <c r="L545" s="125">
        <f t="shared" si="76"/>
        <v>0.1</v>
      </c>
      <c r="M545" s="126">
        <f t="shared" si="78"/>
        <v>-1</v>
      </c>
    </row>
    <row r="546" spans="1:13" x14ac:dyDescent="0.25">
      <c r="A546" s="100" t="str">
        <f t="shared" si="79"/>
        <v>RESIDENTIAL SERVICE CLASSIFICATION</v>
      </c>
      <c r="C546" s="117"/>
      <c r="D546" s="140" t="s">
        <v>162</v>
      </c>
      <c r="E546" s="119"/>
      <c r="F546" s="127">
        <v>0</v>
      </c>
      <c r="G546" s="142">
        <f>E528</f>
        <v>1000</v>
      </c>
      <c r="H546" s="122">
        <f>G546*F546</f>
        <v>0</v>
      </c>
      <c r="I546" s="128">
        <v>0</v>
      </c>
      <c r="J546" s="142">
        <f>E528</f>
        <v>1000</v>
      </c>
      <c r="K546" s="122">
        <f t="shared" si="80"/>
        <v>0</v>
      </c>
      <c r="L546" s="125">
        <f t="shared" si="76"/>
        <v>0</v>
      </c>
      <c r="M546" s="126" t="str">
        <f t="shared" si="78"/>
        <v/>
      </c>
    </row>
    <row r="547" spans="1:13" x14ac:dyDescent="0.25">
      <c r="A547" s="100" t="str">
        <f t="shared" si="79"/>
        <v>RESIDENTIAL SERVICE CLASSIFICATION</v>
      </c>
      <c r="C547" s="117"/>
      <c r="D547" s="143" t="s">
        <v>163</v>
      </c>
      <c r="E547" s="119"/>
      <c r="F547" s="127">
        <v>2.5999999999999999E-3</v>
      </c>
      <c r="G547" s="142">
        <f>IF($E529&gt;0, $E529, $E528)</f>
        <v>1000</v>
      </c>
      <c r="H547" s="122">
        <f t="shared" si="77"/>
        <v>2.6</v>
      </c>
      <c r="I547" s="128">
        <v>2.5999999999999999E-3</v>
      </c>
      <c r="J547" s="142">
        <f>IF($E529&gt;0, $E529, $E528)</f>
        <v>1000</v>
      </c>
      <c r="K547" s="122">
        <f t="shared" si="80"/>
        <v>2.6</v>
      </c>
      <c r="L547" s="125">
        <f t="shared" si="76"/>
        <v>0</v>
      </c>
      <c r="M547" s="126">
        <f t="shared" si="78"/>
        <v>0</v>
      </c>
    </row>
    <row r="548" spans="1:13" ht="25.5" x14ac:dyDescent="0.25">
      <c r="A548" s="100" t="str">
        <f t="shared" si="79"/>
        <v>RESIDENTIAL SERVICE CLASSIFICATION</v>
      </c>
      <c r="C548" s="117"/>
      <c r="D548" s="144" t="s">
        <v>164</v>
      </c>
      <c r="E548" s="119"/>
      <c r="F548" s="145">
        <f>IF(OR(ISNUMBER(SEARCH("RESIDENTIAL", E526))=TRUE, ISNUMBER(SEARCH("GENERAL SERVICE LESS THAN 50", E526))=TRUE), SME, 0)</f>
        <v>0.56999999999999995</v>
      </c>
      <c r="G548" s="121">
        <v>1</v>
      </c>
      <c r="H548" s="122">
        <f>G548*F548</f>
        <v>0.56999999999999995</v>
      </c>
      <c r="I548" s="146">
        <f>IF(OR(ISNUMBER(SEARCH("RESIDENTIAL", E526))=TRUE, ISNUMBER(SEARCH("GENERAL SERVICE LESS THAN 50", E526))=TRUE), SME, 0)</f>
        <v>0.56999999999999995</v>
      </c>
      <c r="J548" s="121">
        <v>1</v>
      </c>
      <c r="K548" s="122">
        <f>J548*I548</f>
        <v>0.56999999999999995</v>
      </c>
      <c r="L548" s="125">
        <f t="shared" si="76"/>
        <v>0</v>
      </c>
      <c r="M548" s="126">
        <f>IF(ISERROR(L548/H548), "", L548/H548)</f>
        <v>0</v>
      </c>
    </row>
    <row r="549" spans="1:13" x14ac:dyDescent="0.25">
      <c r="A549" s="100" t="str">
        <f t="shared" si="79"/>
        <v>RESIDENTIAL SERVICE CLASSIFICATION</v>
      </c>
      <c r="C549" s="117"/>
      <c r="D549" s="143" t="s">
        <v>165</v>
      </c>
      <c r="E549" s="119"/>
      <c r="F549" s="120">
        <v>0</v>
      </c>
      <c r="G549" s="121">
        <v>1</v>
      </c>
      <c r="H549" s="122">
        <f t="shared" si="77"/>
        <v>0</v>
      </c>
      <c r="I549" s="123">
        <v>0</v>
      </c>
      <c r="J549" s="121">
        <v>1</v>
      </c>
      <c r="K549" s="122">
        <f>J549*I549</f>
        <v>0</v>
      </c>
      <c r="L549" s="125">
        <f>K549-H549</f>
        <v>0</v>
      </c>
      <c r="M549" s="126" t="str">
        <f>IF(ISERROR(L549/H549), "", L549/H549)</f>
        <v/>
      </c>
    </row>
    <row r="550" spans="1:13" x14ac:dyDescent="0.25">
      <c r="A550" s="100" t="str">
        <f t="shared" si="79"/>
        <v>RESIDENTIAL SERVICE CLASSIFICATION</v>
      </c>
      <c r="C550" s="117"/>
      <c r="D550" s="143" t="s">
        <v>166</v>
      </c>
      <c r="E550" s="119"/>
      <c r="F550" s="127"/>
      <c r="G550" s="142">
        <f>IF($E529&gt;0, $E529, $E528)</f>
        <v>1000</v>
      </c>
      <c r="H550" s="122">
        <f>G550*F550</f>
        <v>0</v>
      </c>
      <c r="I550" s="128">
        <v>0</v>
      </c>
      <c r="J550" s="142">
        <f>IF($E529&gt;0, $E529, $E528)</f>
        <v>1000</v>
      </c>
      <c r="K550" s="122">
        <f>J550*I550</f>
        <v>0</v>
      </c>
      <c r="L550" s="125">
        <f t="shared" si="76"/>
        <v>0</v>
      </c>
      <c r="M550" s="126" t="str">
        <f>IF(ISERROR(L550/H550), "", L550/H550)</f>
        <v/>
      </c>
    </row>
    <row r="551" spans="1:13" ht="25.5" x14ac:dyDescent="0.25">
      <c r="A551" s="100" t="str">
        <f t="shared" si="79"/>
        <v>RESIDENTIAL SERVICE CLASSIFICATION</v>
      </c>
      <c r="B551" s="105" t="s">
        <v>167</v>
      </c>
      <c r="C551" s="117">
        <f>B38</f>
        <v>9</v>
      </c>
      <c r="D551" s="147" t="s">
        <v>168</v>
      </c>
      <c r="E551" s="148"/>
      <c r="F551" s="149"/>
      <c r="G551" s="150"/>
      <c r="H551" s="151">
        <f>SUM(H542:H550)</f>
        <v>33.141440000000003</v>
      </c>
      <c r="I551" s="152"/>
      <c r="J551" s="153"/>
      <c r="K551" s="151">
        <f>SUM(K542:K550)</f>
        <v>33.822353510451713</v>
      </c>
      <c r="L551" s="138">
        <f t="shared" si="76"/>
        <v>0.68091351045170967</v>
      </c>
      <c r="M551" s="139">
        <f>IF((H551)=0,"",(L551/H551))</f>
        <v>2.054568269971702E-2</v>
      </c>
    </row>
    <row r="552" spans="1:13" x14ac:dyDescent="0.25">
      <c r="A552" s="100" t="str">
        <f t="shared" si="79"/>
        <v>RESIDENTIAL SERVICE CLASSIFICATION</v>
      </c>
      <c r="C552" s="117"/>
      <c r="D552" s="154" t="s">
        <v>169</v>
      </c>
      <c r="E552" s="119"/>
      <c r="F552" s="127">
        <v>6.7999999999999996E-3</v>
      </c>
      <c r="G552" s="141">
        <f>IF($E529&gt;0, $E529, $E528*$E530)</f>
        <v>1056</v>
      </c>
      <c r="H552" s="122">
        <f>G552*F552</f>
        <v>7.1807999999999996</v>
      </c>
      <c r="I552" s="128">
        <v>6.4999999999999997E-3</v>
      </c>
      <c r="J552" s="141">
        <f>IF($E529&gt;0, $E529, $E528*$E531)</f>
        <v>1056</v>
      </c>
      <c r="K552" s="122">
        <f>J552*I552</f>
        <v>6.8639999999999999</v>
      </c>
      <c r="L552" s="125">
        <f t="shared" si="76"/>
        <v>-0.31679999999999975</v>
      </c>
      <c r="M552" s="126">
        <f>IF(ISERROR(L552/H552), "", L552/H552)</f>
        <v>-4.4117647058823498E-2</v>
      </c>
    </row>
    <row r="553" spans="1:13" ht="25.5" x14ac:dyDescent="0.25">
      <c r="A553" s="100" t="str">
        <f t="shared" si="79"/>
        <v>RESIDENTIAL SERVICE CLASSIFICATION</v>
      </c>
      <c r="C553" s="117"/>
      <c r="D553" s="155" t="s">
        <v>170</v>
      </c>
      <c r="E553" s="119"/>
      <c r="F553" s="127">
        <v>5.5999999999999999E-3</v>
      </c>
      <c r="G553" s="141">
        <f>IF($E529&gt;0, $E529, $E528*$E530)</f>
        <v>1056</v>
      </c>
      <c r="H553" s="122">
        <f>G553*F553</f>
        <v>5.9135999999999997</v>
      </c>
      <c r="I553" s="128">
        <v>5.3E-3</v>
      </c>
      <c r="J553" s="141">
        <f>IF($E529&gt;0, $E529, $E528*$E531)</f>
        <v>1056</v>
      </c>
      <c r="K553" s="122">
        <f>J553*I553</f>
        <v>5.5968</v>
      </c>
      <c r="L553" s="125">
        <f t="shared" si="76"/>
        <v>-0.31679999999999975</v>
      </c>
      <c r="M553" s="126">
        <f>IF(ISERROR(L553/H553), "", L553/H553)</f>
        <v>-5.3571428571428534E-2</v>
      </c>
    </row>
    <row r="554" spans="1:13" ht="25.5" x14ac:dyDescent="0.25">
      <c r="A554" s="100" t="str">
        <f t="shared" si="79"/>
        <v>RESIDENTIAL SERVICE CLASSIFICATION</v>
      </c>
      <c r="B554" s="105" t="s">
        <v>171</v>
      </c>
      <c r="C554" s="117">
        <f>B38</f>
        <v>9</v>
      </c>
      <c r="D554" s="147" t="s">
        <v>172</v>
      </c>
      <c r="E554" s="132"/>
      <c r="F554" s="149"/>
      <c r="G554" s="150"/>
      <c r="H554" s="151">
        <f>SUM(H551:H553)</f>
        <v>46.235840000000003</v>
      </c>
      <c r="I554" s="152"/>
      <c r="J554" s="137"/>
      <c r="K554" s="151">
        <f>SUM(K551:K553)</f>
        <v>46.283153510451712</v>
      </c>
      <c r="L554" s="138">
        <f t="shared" si="76"/>
        <v>4.7313510451708396E-2</v>
      </c>
      <c r="M554" s="139">
        <f>IF((H554)=0,"",(L554/H554))</f>
        <v>1.0233081188036899E-3</v>
      </c>
    </row>
    <row r="555" spans="1:13" ht="25.5" x14ac:dyDescent="0.25">
      <c r="A555" s="100" t="str">
        <f t="shared" si="79"/>
        <v>RESIDENTIAL SERVICE CLASSIFICATION</v>
      </c>
      <c r="C555" s="117"/>
      <c r="D555" s="156" t="s">
        <v>173</v>
      </c>
      <c r="E555" s="119"/>
      <c r="F555" s="127">
        <v>3.6000000000000003E-3</v>
      </c>
      <c r="G555" s="141">
        <f>E528*E530</f>
        <v>1056</v>
      </c>
      <c r="H555" s="157">
        <f t="shared" ref="H555:H561" si="81">G555*F555</f>
        <v>3.8016000000000005</v>
      </c>
      <c r="I555" s="128">
        <v>3.6000000000000003E-3</v>
      </c>
      <c r="J555" s="141">
        <f>E528*E531</f>
        <v>1056</v>
      </c>
      <c r="K555" s="157">
        <f t="shared" ref="K555:K561" si="82">J555*I555</f>
        <v>3.8016000000000005</v>
      </c>
      <c r="L555" s="125">
        <f t="shared" si="76"/>
        <v>0</v>
      </c>
      <c r="M555" s="126">
        <f t="shared" ref="M555:M563" si="83">IF(ISERROR(L555/H555), "", L555/H555)</f>
        <v>0</v>
      </c>
    </row>
    <row r="556" spans="1:13" ht="25.5" x14ac:dyDescent="0.25">
      <c r="A556" s="100" t="str">
        <f t="shared" si="79"/>
        <v>RESIDENTIAL SERVICE CLASSIFICATION</v>
      </c>
      <c r="C556" s="117"/>
      <c r="D556" s="156" t="s">
        <v>174</v>
      </c>
      <c r="E556" s="119"/>
      <c r="F556" s="127">
        <f>'[1]17. Regulatory Charges'!$D$16</f>
        <v>2.9999999999999997E-4</v>
      </c>
      <c r="G556" s="141">
        <f>E528*E530</f>
        <v>1056</v>
      </c>
      <c r="H556" s="157">
        <f t="shared" si="81"/>
        <v>0.31679999999999997</v>
      </c>
      <c r="I556" s="128">
        <v>2.9999999999999997E-4</v>
      </c>
      <c r="J556" s="141">
        <f>E528*E531</f>
        <v>1056</v>
      </c>
      <c r="K556" s="157">
        <f t="shared" si="82"/>
        <v>0.31679999999999997</v>
      </c>
      <c r="L556" s="125">
        <f t="shared" si="76"/>
        <v>0</v>
      </c>
      <c r="M556" s="126">
        <f t="shared" si="83"/>
        <v>0</v>
      </c>
    </row>
    <row r="557" spans="1:13" x14ac:dyDescent="0.25">
      <c r="A557" s="100" t="str">
        <f t="shared" si="79"/>
        <v>RESIDENTIAL SERVICE CLASSIFICATION</v>
      </c>
      <c r="C557" s="117"/>
      <c r="D557" s="158" t="s">
        <v>175</v>
      </c>
      <c r="E557" s="119"/>
      <c r="F557" s="145">
        <v>0.25</v>
      </c>
      <c r="G557" s="121">
        <v>1</v>
      </c>
      <c r="H557" s="157">
        <f t="shared" si="81"/>
        <v>0.25</v>
      </c>
      <c r="I557" s="146">
        <f>'[1]17. Regulatory Charges'!$D$17</f>
        <v>0.25</v>
      </c>
      <c r="J557" s="124">
        <v>1</v>
      </c>
      <c r="K557" s="157">
        <f t="shared" si="82"/>
        <v>0.25</v>
      </c>
      <c r="L557" s="125">
        <f t="shared" si="76"/>
        <v>0</v>
      </c>
      <c r="M557" s="126">
        <f t="shared" si="83"/>
        <v>0</v>
      </c>
    </row>
    <row r="558" spans="1:13" ht="25.5" x14ac:dyDescent="0.25">
      <c r="A558" s="100" t="str">
        <f t="shared" si="79"/>
        <v>RESIDENTIAL SERVICE CLASSIFICATION</v>
      </c>
      <c r="C558" s="117"/>
      <c r="D558" s="156" t="s">
        <v>176</v>
      </c>
      <c r="E558" s="119"/>
      <c r="F558" s="127"/>
      <c r="G558" s="141"/>
      <c r="H558" s="157"/>
      <c r="I558" s="128"/>
      <c r="J558" s="141"/>
      <c r="K558" s="157"/>
      <c r="L558" s="125"/>
      <c r="M558" s="126"/>
    </row>
    <row r="559" spans="1:13" x14ac:dyDescent="0.25">
      <c r="A559" s="100" t="str">
        <f t="shared" si="79"/>
        <v>RESIDENTIAL SERVICE CLASSIFICATION</v>
      </c>
      <c r="B559" s="105" t="s">
        <v>117</v>
      </c>
      <c r="C559" s="117"/>
      <c r="D559" s="159" t="s">
        <v>177</v>
      </c>
      <c r="E559" s="119"/>
      <c r="F559" s="160">
        <f>OffPeak</f>
        <v>6.5000000000000002E-2</v>
      </c>
      <c r="G559" s="161">
        <f>IF(AND(E528*12&gt;=150000),0.65*E528*E530,0.65*E528)</f>
        <v>650</v>
      </c>
      <c r="H559" s="157">
        <f t="shared" si="81"/>
        <v>42.25</v>
      </c>
      <c r="I559" s="162">
        <f>OffPeak</f>
        <v>6.5000000000000002E-2</v>
      </c>
      <c r="J559" s="161">
        <f>IF(AND(E528*12&gt;=150000),0.65*E528*E531,0.65*E528)</f>
        <v>650</v>
      </c>
      <c r="K559" s="157">
        <f t="shared" si="82"/>
        <v>42.25</v>
      </c>
      <c r="L559" s="125">
        <f>K559-H559</f>
        <v>0</v>
      </c>
      <c r="M559" s="126">
        <f t="shared" si="83"/>
        <v>0</v>
      </c>
    </row>
    <row r="560" spans="1:13" x14ac:dyDescent="0.25">
      <c r="A560" s="100" t="str">
        <f t="shared" si="79"/>
        <v>RESIDENTIAL SERVICE CLASSIFICATION</v>
      </c>
      <c r="B560" s="105" t="s">
        <v>117</v>
      </c>
      <c r="C560" s="117"/>
      <c r="D560" s="159" t="s">
        <v>178</v>
      </c>
      <c r="E560" s="119"/>
      <c r="F560" s="160">
        <f>MidPeak</f>
        <v>9.4E-2</v>
      </c>
      <c r="G560" s="161">
        <f>IF(AND(E528*12&gt;=150000),0.17*E528*E530,0.17*E528)</f>
        <v>170</v>
      </c>
      <c r="H560" s="157">
        <f t="shared" si="81"/>
        <v>15.98</v>
      </c>
      <c r="I560" s="162">
        <f>MidPeak</f>
        <v>9.4E-2</v>
      </c>
      <c r="J560" s="161">
        <f>IF(AND(E528*12&gt;=150000),0.17*E528*E531,0.17*E528)</f>
        <v>170</v>
      </c>
      <c r="K560" s="157">
        <f t="shared" si="82"/>
        <v>15.98</v>
      </c>
      <c r="L560" s="125">
        <f>K560-H560</f>
        <v>0</v>
      </c>
      <c r="M560" s="126">
        <f t="shared" si="83"/>
        <v>0</v>
      </c>
    </row>
    <row r="561" spans="1:13" ht="15.75" thickBot="1" x14ac:dyDescent="0.3">
      <c r="A561" s="100" t="str">
        <f t="shared" si="79"/>
        <v>RESIDENTIAL SERVICE CLASSIFICATION</v>
      </c>
      <c r="B561" s="105" t="s">
        <v>117</v>
      </c>
      <c r="C561" s="117"/>
      <c r="D561" s="105" t="s">
        <v>179</v>
      </c>
      <c r="E561" s="119"/>
      <c r="F561" s="160">
        <f>OnPeak</f>
        <v>0.13200000000000001</v>
      </c>
      <c r="G561" s="161">
        <f>IF(AND(E528*12&gt;=150000),0.18*E528*E530,0.18*E528)</f>
        <v>180</v>
      </c>
      <c r="H561" s="157">
        <f t="shared" si="81"/>
        <v>23.76</v>
      </c>
      <c r="I561" s="162">
        <f>OnPeak</f>
        <v>0.13200000000000001</v>
      </c>
      <c r="J561" s="161">
        <f>IF(AND(E528*12&gt;=150000),0.18*E528*E531,0.18*E528)</f>
        <v>180</v>
      </c>
      <c r="K561" s="157">
        <f t="shared" si="82"/>
        <v>23.76</v>
      </c>
      <c r="L561" s="125">
        <f>K561-H561</f>
        <v>0</v>
      </c>
      <c r="M561" s="126">
        <f t="shared" si="83"/>
        <v>0</v>
      </c>
    </row>
    <row r="562" spans="1:13" hidden="1" x14ac:dyDescent="0.25">
      <c r="A562" s="100" t="str">
        <f t="shared" si="79"/>
        <v>RESIDENTIAL SERVICE CLASSIFICATION</v>
      </c>
      <c r="B562" s="100" t="s">
        <v>180</v>
      </c>
      <c r="C562" s="117"/>
      <c r="D562" s="159" t="s">
        <v>181</v>
      </c>
      <c r="E562" s="119"/>
      <c r="F562" s="163">
        <v>0.1101</v>
      </c>
      <c r="G562" s="161">
        <f>IF(AND(E528*12&gt;=150000),E528*E530,E528)</f>
        <v>1000</v>
      </c>
      <c r="H562" s="157">
        <f>G562*F562</f>
        <v>110.10000000000001</v>
      </c>
      <c r="I562" s="164">
        <f>F562</f>
        <v>0.1101</v>
      </c>
      <c r="J562" s="161">
        <f>IF(AND(E528*12&gt;=150000),E528*E531,E528)</f>
        <v>1000</v>
      </c>
      <c r="K562" s="157">
        <f>J562*I562</f>
        <v>110.10000000000001</v>
      </c>
      <c r="L562" s="125">
        <f>K562-H562</f>
        <v>0</v>
      </c>
      <c r="M562" s="126">
        <f t="shared" si="83"/>
        <v>0</v>
      </c>
    </row>
    <row r="563" spans="1:13" ht="15.75" hidden="1" thickBot="1" x14ac:dyDescent="0.3">
      <c r="A563" s="100" t="str">
        <f t="shared" si="79"/>
        <v>RESIDENTIAL SERVICE CLASSIFICATION</v>
      </c>
      <c r="B563" s="100" t="s">
        <v>121</v>
      </c>
      <c r="C563" s="117"/>
      <c r="D563" s="159" t="s">
        <v>182</v>
      </c>
      <c r="E563" s="119"/>
      <c r="F563" s="163">
        <v>0.1101</v>
      </c>
      <c r="G563" s="161">
        <f>IF(AND(E528*12&gt;=150000),E528*E530,E528)</f>
        <v>1000</v>
      </c>
      <c r="H563" s="157">
        <f>G563*F563</f>
        <v>110.10000000000001</v>
      </c>
      <c r="I563" s="164">
        <f>F563</f>
        <v>0.1101</v>
      </c>
      <c r="J563" s="161">
        <f>IF(AND(E528*12&gt;=150000),E528*E531,E528)</f>
        <v>1000</v>
      </c>
      <c r="K563" s="157">
        <f>J563*I563</f>
        <v>110.10000000000001</v>
      </c>
      <c r="L563" s="125">
        <f>K563-H563</f>
        <v>0</v>
      </c>
      <c r="M563" s="126">
        <f t="shared" si="83"/>
        <v>0</v>
      </c>
    </row>
    <row r="564" spans="1:13" ht="15.75" thickBot="1" x14ac:dyDescent="0.3">
      <c r="A564" s="100" t="str">
        <f t="shared" si="79"/>
        <v>RESIDENTIAL SERVICE CLASSIFICATION</v>
      </c>
      <c r="B564" s="105"/>
      <c r="C564" s="117"/>
      <c r="D564" s="165"/>
      <c r="E564" s="166"/>
      <c r="F564" s="167"/>
      <c r="G564" s="168"/>
      <c r="H564" s="169"/>
      <c r="I564" s="167"/>
      <c r="J564" s="170"/>
      <c r="K564" s="169"/>
      <c r="L564" s="171"/>
      <c r="M564" s="172"/>
    </row>
    <row r="565" spans="1:13" x14ac:dyDescent="0.25">
      <c r="A565" s="100" t="str">
        <f t="shared" si="79"/>
        <v>RESIDENTIAL SERVICE CLASSIFICATION</v>
      </c>
      <c r="B565" s="105" t="s">
        <v>117</v>
      </c>
      <c r="C565" s="117"/>
      <c r="D565" s="173" t="s">
        <v>183</v>
      </c>
      <c r="E565" s="158"/>
      <c r="F565" s="174"/>
      <c r="G565" s="175"/>
      <c r="H565" s="176">
        <f>SUM(H555:H561,H554)</f>
        <v>132.59424000000001</v>
      </c>
      <c r="I565" s="177"/>
      <c r="J565" s="177"/>
      <c r="K565" s="176">
        <f>SUM(K555:K561,K554)</f>
        <v>132.64155351045173</v>
      </c>
      <c r="L565" s="178">
        <f>K565-H565</f>
        <v>4.7313510451715501E-2</v>
      </c>
      <c r="M565" s="179">
        <f>IF((H565)=0,"",(L565/H565))</f>
        <v>3.5682930458906433E-4</v>
      </c>
    </row>
    <row r="566" spans="1:13" x14ac:dyDescent="0.25">
      <c r="A566" s="100" t="str">
        <f t="shared" si="79"/>
        <v>RESIDENTIAL SERVICE CLASSIFICATION</v>
      </c>
      <c r="B566" s="105" t="s">
        <v>117</v>
      </c>
      <c r="C566" s="117"/>
      <c r="D566" s="180" t="s">
        <v>184</v>
      </c>
      <c r="E566" s="158"/>
      <c r="F566" s="174">
        <v>0.13</v>
      </c>
      <c r="G566" s="181"/>
      <c r="H566" s="182">
        <f>H565*F566</f>
        <v>17.237251200000003</v>
      </c>
      <c r="I566" s="183">
        <v>0.13</v>
      </c>
      <c r="J566" s="121"/>
      <c r="K566" s="182">
        <f>K565*I566</f>
        <v>17.243401956358724</v>
      </c>
      <c r="L566" s="184">
        <f>K566-H566</f>
        <v>6.1507563587213099E-3</v>
      </c>
      <c r="M566" s="185">
        <f>IF((H566)=0,"",(L566/H566))</f>
        <v>3.5682930458896535E-4</v>
      </c>
    </row>
    <row r="567" spans="1:13" x14ac:dyDescent="0.25">
      <c r="A567" s="100" t="str">
        <f t="shared" si="79"/>
        <v>RESIDENTIAL SERVICE CLASSIFICATION</v>
      </c>
      <c r="B567" s="105" t="s">
        <v>117</v>
      </c>
      <c r="C567" s="117"/>
      <c r="D567" s="180" t="s">
        <v>185</v>
      </c>
      <c r="E567" s="158"/>
      <c r="F567" s="174">
        <v>0.08</v>
      </c>
      <c r="G567" s="181"/>
      <c r="H567" s="182">
        <f>H565*-F567</f>
        <v>-10.607539200000002</v>
      </c>
      <c r="I567" s="174">
        <v>0.08</v>
      </c>
      <c r="J567" s="121"/>
      <c r="K567" s="182">
        <f>K565*-I567</f>
        <v>-10.611324280836138</v>
      </c>
      <c r="L567" s="184">
        <f>K567-H567</f>
        <v>-3.7850808361366006E-3</v>
      </c>
      <c r="M567" s="185"/>
    </row>
    <row r="568" spans="1:13" ht="15.75" thickBot="1" x14ac:dyDescent="0.3">
      <c r="A568" s="100" t="str">
        <f t="shared" si="79"/>
        <v>RESIDENTIAL SERVICE CLASSIFICATION</v>
      </c>
      <c r="B568" s="105" t="s">
        <v>186</v>
      </c>
      <c r="C568" s="117">
        <f>B38</f>
        <v>9</v>
      </c>
      <c r="D568" s="301" t="s">
        <v>187</v>
      </c>
      <c r="E568" s="301"/>
      <c r="F568" s="186"/>
      <c r="G568" s="187"/>
      <c r="H568" s="188">
        <f>H565+H566+H567</f>
        <v>139.22395200000003</v>
      </c>
      <c r="I568" s="189"/>
      <c r="J568" s="189"/>
      <c r="K568" s="190">
        <f>K565+K566+K567</f>
        <v>139.27363118597432</v>
      </c>
      <c r="L568" s="191">
        <f>K568-H568</f>
        <v>4.9679185974298434E-2</v>
      </c>
      <c r="M568" s="192">
        <f>IF((H568)=0,"",(L568/H568))</f>
        <v>3.568293045890439E-4</v>
      </c>
    </row>
    <row r="569" spans="1:13" ht="15.75" hidden="1" thickBot="1" x14ac:dyDescent="0.3">
      <c r="A569" s="100" t="str">
        <f t="shared" si="79"/>
        <v>RESIDENTIAL SERVICE CLASSIFICATION</v>
      </c>
      <c r="B569" s="100" t="s">
        <v>117</v>
      </c>
      <c r="C569" s="117"/>
      <c r="D569" s="165"/>
      <c r="E569" s="166"/>
      <c r="F569" s="167"/>
      <c r="G569" s="168"/>
      <c r="H569" s="169"/>
      <c r="I569" s="167"/>
      <c r="J569" s="170"/>
      <c r="K569" s="169"/>
      <c r="L569" s="171"/>
      <c r="M569" s="172"/>
    </row>
    <row r="570" spans="1:13" hidden="1" x14ac:dyDescent="0.25">
      <c r="A570" s="100" t="str">
        <f t="shared" si="79"/>
        <v>RESIDENTIAL SERVICE CLASSIFICATION</v>
      </c>
      <c r="B570" s="100" t="s">
        <v>180</v>
      </c>
      <c r="C570" s="117"/>
      <c r="D570" s="173" t="s">
        <v>188</v>
      </c>
      <c r="E570" s="158"/>
      <c r="F570" s="174"/>
      <c r="G570" s="175"/>
      <c r="H570" s="176">
        <f>SUM(H562,H555:H558,H554)</f>
        <v>160.70424</v>
      </c>
      <c r="I570" s="177"/>
      <c r="J570" s="177"/>
      <c r="K570" s="176">
        <f>SUM(K562,K555:K558,K554)</f>
        <v>160.75155351045171</v>
      </c>
      <c r="L570" s="178">
        <f>K570-H570</f>
        <v>4.7313510451715501E-2</v>
      </c>
      <c r="M570" s="179">
        <f>IF((H570)=0,"",(L570/H570))</f>
        <v>2.9441357895544949E-4</v>
      </c>
    </row>
    <row r="571" spans="1:13" hidden="1" x14ac:dyDescent="0.25">
      <c r="A571" s="100" t="str">
        <f t="shared" si="79"/>
        <v>RESIDENTIAL SERVICE CLASSIFICATION</v>
      </c>
      <c r="B571" s="100" t="s">
        <v>180</v>
      </c>
      <c r="C571" s="117"/>
      <c r="D571" s="180" t="s">
        <v>184</v>
      </c>
      <c r="E571" s="158"/>
      <c r="F571" s="174">
        <v>0.13</v>
      </c>
      <c r="G571" s="175"/>
      <c r="H571" s="182">
        <f>H570*F571</f>
        <v>20.891551200000002</v>
      </c>
      <c r="I571" s="174">
        <v>0.13</v>
      </c>
      <c r="J571" s="183"/>
      <c r="K571" s="182">
        <f>K570*I571</f>
        <v>20.897701956358723</v>
      </c>
      <c r="L571" s="184">
        <f>K571-H571</f>
        <v>6.1507563587213099E-3</v>
      </c>
      <c r="M571" s="185">
        <f>IF((H571)=0,"",(L571/H571))</f>
        <v>2.9441357895536779E-4</v>
      </c>
    </row>
    <row r="572" spans="1:13" hidden="1" x14ac:dyDescent="0.25">
      <c r="A572" s="100" t="str">
        <f t="shared" si="79"/>
        <v>RESIDENTIAL SERVICE CLASSIFICATION</v>
      </c>
      <c r="B572" s="100" t="s">
        <v>180</v>
      </c>
      <c r="C572" s="117"/>
      <c r="D572" s="180" t="s">
        <v>185</v>
      </c>
      <c r="E572" s="158"/>
      <c r="F572" s="174">
        <v>0.08</v>
      </c>
      <c r="G572" s="175"/>
      <c r="H572" s="182"/>
      <c r="I572" s="174">
        <v>0.08</v>
      </c>
      <c r="J572" s="183"/>
      <c r="K572" s="182"/>
      <c r="L572" s="184"/>
      <c r="M572" s="185"/>
    </row>
    <row r="573" spans="1:13" ht="15.75" hidden="1" thickBot="1" x14ac:dyDescent="0.3">
      <c r="A573" s="100" t="str">
        <f t="shared" si="79"/>
        <v>RESIDENTIAL SERVICE CLASSIFICATION</v>
      </c>
      <c r="B573" s="100" t="s">
        <v>189</v>
      </c>
      <c r="C573" s="117"/>
      <c r="D573" s="301" t="s">
        <v>188</v>
      </c>
      <c r="E573" s="301"/>
      <c r="F573" s="193"/>
      <c r="G573" s="194"/>
      <c r="H573" s="188">
        <f>SUM(H570,H571)</f>
        <v>181.59579120000001</v>
      </c>
      <c r="I573" s="195"/>
      <c r="J573" s="195"/>
      <c r="K573" s="188">
        <f>SUM(K570,K571)</f>
        <v>181.64925546681044</v>
      </c>
      <c r="L573" s="196">
        <f>K573-H573</f>
        <v>5.3464266810436811E-2</v>
      </c>
      <c r="M573" s="197">
        <f>IF((H573)=0,"",(L573/H573))</f>
        <v>2.9441357895544006E-4</v>
      </c>
    </row>
    <row r="574" spans="1:13" ht="15.75" hidden="1" thickBot="1" x14ac:dyDescent="0.3">
      <c r="A574" s="100" t="str">
        <f t="shared" si="79"/>
        <v>RESIDENTIAL SERVICE CLASSIFICATION</v>
      </c>
      <c r="B574" s="100" t="s">
        <v>180</v>
      </c>
      <c r="C574" s="117"/>
      <c r="D574" s="165"/>
      <c r="E574" s="166"/>
      <c r="F574" s="198"/>
      <c r="G574" s="199"/>
      <c r="H574" s="200"/>
      <c r="I574" s="198"/>
      <c r="J574" s="168"/>
      <c r="K574" s="200"/>
      <c r="L574" s="201"/>
      <c r="M574" s="172"/>
    </row>
    <row r="575" spans="1:13" hidden="1" x14ac:dyDescent="0.25">
      <c r="A575" s="100" t="str">
        <f t="shared" si="79"/>
        <v>RESIDENTIAL SERVICE CLASSIFICATION</v>
      </c>
      <c r="B575" s="100" t="s">
        <v>121</v>
      </c>
      <c r="C575" s="117"/>
      <c r="D575" s="173" t="s">
        <v>190</v>
      </c>
      <c r="E575" s="158"/>
      <c r="F575" s="174"/>
      <c r="G575" s="175"/>
      <c r="H575" s="176">
        <f>SUM(H563,H555:H558,H554)</f>
        <v>160.70424</v>
      </c>
      <c r="I575" s="177"/>
      <c r="J575" s="177"/>
      <c r="K575" s="176">
        <f>SUM(K563,K555:K558,K554)</f>
        <v>160.75155351045171</v>
      </c>
      <c r="L575" s="178">
        <f>K575-H575</f>
        <v>4.7313510451715501E-2</v>
      </c>
      <c r="M575" s="179">
        <f>IF((H575)=0,"",(L575/H575))</f>
        <v>2.9441357895544949E-4</v>
      </c>
    </row>
    <row r="576" spans="1:13" hidden="1" x14ac:dyDescent="0.25">
      <c r="A576" s="100" t="str">
        <f t="shared" si="79"/>
        <v>RESIDENTIAL SERVICE CLASSIFICATION</v>
      </c>
      <c r="B576" s="100" t="s">
        <v>121</v>
      </c>
      <c r="C576" s="117"/>
      <c r="D576" s="180" t="s">
        <v>184</v>
      </c>
      <c r="E576" s="158"/>
      <c r="F576" s="174">
        <v>0.13</v>
      </c>
      <c r="G576" s="175"/>
      <c r="H576" s="182">
        <f>H575*F576</f>
        <v>20.891551200000002</v>
      </c>
      <c r="I576" s="174">
        <v>0.13</v>
      </c>
      <c r="J576" s="183"/>
      <c r="K576" s="182">
        <f>K575*I576</f>
        <v>20.897701956358723</v>
      </c>
      <c r="L576" s="184">
        <f>K576-H576</f>
        <v>6.1507563587213099E-3</v>
      </c>
      <c r="M576" s="185">
        <f>IF((H576)=0,"",(L576/H576))</f>
        <v>2.9441357895536779E-4</v>
      </c>
    </row>
    <row r="577" spans="1:13" hidden="1" x14ac:dyDescent="0.25">
      <c r="A577" s="100" t="str">
        <f t="shared" si="79"/>
        <v>RESIDENTIAL SERVICE CLASSIFICATION</v>
      </c>
      <c r="B577" s="100" t="s">
        <v>121</v>
      </c>
      <c r="C577" s="117"/>
      <c r="D577" s="180" t="s">
        <v>185</v>
      </c>
      <c r="E577" s="158"/>
      <c r="F577" s="174">
        <v>0.08</v>
      </c>
      <c r="G577" s="175"/>
      <c r="H577" s="182"/>
      <c r="I577" s="174">
        <v>0.08</v>
      </c>
      <c r="J577" s="183"/>
      <c r="K577" s="182"/>
      <c r="L577" s="184"/>
      <c r="M577" s="185"/>
    </row>
    <row r="578" spans="1:13" ht="15.75" hidden="1" thickBot="1" x14ac:dyDescent="0.3">
      <c r="A578" s="100" t="str">
        <f t="shared" si="79"/>
        <v>RESIDENTIAL SERVICE CLASSIFICATION</v>
      </c>
      <c r="B578" s="100" t="s">
        <v>191</v>
      </c>
      <c r="C578" s="117"/>
      <c r="D578" s="301" t="s">
        <v>190</v>
      </c>
      <c r="E578" s="301"/>
      <c r="F578" s="193"/>
      <c r="G578" s="194"/>
      <c r="H578" s="188">
        <f>SUM(H575,H576)</f>
        <v>181.59579120000001</v>
      </c>
      <c r="I578" s="195"/>
      <c r="J578" s="195"/>
      <c r="K578" s="188">
        <f>SUM(K575,K576)</f>
        <v>181.64925546681044</v>
      </c>
      <c r="L578" s="196">
        <f>K578-H578</f>
        <v>5.3464266810436811E-2</v>
      </c>
      <c r="M578" s="197">
        <f>IF((H578)=0,"",(L578/H578))</f>
        <v>2.9441357895544006E-4</v>
      </c>
    </row>
    <row r="579" spans="1:13" ht="15.75" thickBot="1" x14ac:dyDescent="0.3">
      <c r="A579" s="100" t="str">
        <f t="shared" si="79"/>
        <v>RESIDENTIAL SERVICE CLASSIFICATION</v>
      </c>
      <c r="B579" s="100" t="s">
        <v>121</v>
      </c>
      <c r="C579" s="117"/>
      <c r="D579" s="165"/>
      <c r="E579" s="166"/>
      <c r="F579" s="202"/>
      <c r="G579" s="203"/>
      <c r="H579" s="204"/>
      <c r="I579" s="202"/>
      <c r="J579" s="205"/>
      <c r="K579" s="204"/>
      <c r="L579" s="206"/>
      <c r="M579" s="207"/>
    </row>
    <row r="582" spans="1:13" x14ac:dyDescent="0.25">
      <c r="C582" s="100"/>
      <c r="D582" s="101" t="s">
        <v>134</v>
      </c>
      <c r="E582" s="302" t="str">
        <f>D39</f>
        <v>RESIDENTIAL SERVICE CLASSIFICATION</v>
      </c>
      <c r="F582" s="302"/>
      <c r="G582" s="302"/>
      <c r="H582" s="302"/>
      <c r="I582" s="302"/>
      <c r="J582" s="302"/>
      <c r="K582" s="100" t="str">
        <f>IF(N39="DEMAND - INTERVAL","RTSR - INTERVAL METERED","")</f>
        <v/>
      </c>
    </row>
    <row r="583" spans="1:13" x14ac:dyDescent="0.25">
      <c r="C583" s="100"/>
      <c r="D583" s="101" t="s">
        <v>135</v>
      </c>
      <c r="E583" s="303" t="str">
        <f>H39</f>
        <v>RPP</v>
      </c>
      <c r="F583" s="303"/>
      <c r="G583" s="303"/>
      <c r="H583" s="102"/>
      <c r="I583" s="102"/>
    </row>
    <row r="584" spans="1:13" ht="15.75" x14ac:dyDescent="0.25">
      <c r="C584" s="100"/>
      <c r="D584" s="101" t="s">
        <v>136</v>
      </c>
      <c r="E584" s="103">
        <f>K39</f>
        <v>2500</v>
      </c>
      <c r="F584" s="104" t="s">
        <v>137</v>
      </c>
      <c r="G584" s="105"/>
      <c r="J584" s="106"/>
      <c r="K584" s="106"/>
      <c r="L584" s="106"/>
      <c r="M584" s="106"/>
    </row>
    <row r="585" spans="1:13" ht="15.75" x14ac:dyDescent="0.25">
      <c r="C585" s="100"/>
      <c r="D585" s="101" t="s">
        <v>138</v>
      </c>
      <c r="E585" s="103">
        <f>L39</f>
        <v>0</v>
      </c>
      <c r="F585" s="107" t="s">
        <v>139</v>
      </c>
      <c r="G585" s="108"/>
      <c r="H585" s="109"/>
      <c r="I585" s="109"/>
      <c r="J585" s="109"/>
    </row>
    <row r="586" spans="1:13" x14ac:dyDescent="0.25">
      <c r="C586" s="100"/>
      <c r="D586" s="101" t="s">
        <v>140</v>
      </c>
      <c r="E586" s="110">
        <f>I39</f>
        <v>1.056</v>
      </c>
    </row>
    <row r="587" spans="1:13" x14ac:dyDescent="0.25">
      <c r="C587" s="100"/>
      <c r="D587" s="101" t="s">
        <v>141</v>
      </c>
      <c r="E587" s="110">
        <f>J39</f>
        <v>1.056</v>
      </c>
    </row>
    <row r="588" spans="1:13" x14ac:dyDescent="0.25">
      <c r="C588" s="100"/>
      <c r="D588" s="105"/>
    </row>
    <row r="589" spans="1:13" x14ac:dyDescent="0.25">
      <c r="C589" s="100"/>
      <c r="D589" s="105"/>
      <c r="E589" s="111"/>
      <c r="F589" s="304" t="s">
        <v>142</v>
      </c>
      <c r="G589" s="305"/>
      <c r="H589" s="306"/>
      <c r="I589" s="304" t="s">
        <v>143</v>
      </c>
      <c r="J589" s="305"/>
      <c r="K589" s="306"/>
      <c r="L589" s="304" t="s">
        <v>144</v>
      </c>
      <c r="M589" s="306"/>
    </row>
    <row r="590" spans="1:13" x14ac:dyDescent="0.25">
      <c r="C590" s="100"/>
      <c r="D590" s="105"/>
      <c r="E590" s="295"/>
      <c r="F590" s="112" t="s">
        <v>145</v>
      </c>
      <c r="G590" s="112" t="s">
        <v>146</v>
      </c>
      <c r="H590" s="113" t="s">
        <v>147</v>
      </c>
      <c r="I590" s="112" t="s">
        <v>145</v>
      </c>
      <c r="J590" s="114" t="s">
        <v>146</v>
      </c>
      <c r="K590" s="113" t="s">
        <v>147</v>
      </c>
      <c r="L590" s="297" t="s">
        <v>148</v>
      </c>
      <c r="M590" s="299" t="s">
        <v>149</v>
      </c>
    </row>
    <row r="591" spans="1:13" x14ac:dyDescent="0.25">
      <c r="C591" s="100"/>
      <c r="D591" s="105"/>
      <c r="E591" s="296"/>
      <c r="F591" s="115" t="s">
        <v>150</v>
      </c>
      <c r="G591" s="115"/>
      <c r="H591" s="116" t="s">
        <v>150</v>
      </c>
      <c r="I591" s="115" t="s">
        <v>150</v>
      </c>
      <c r="J591" s="116"/>
      <c r="K591" s="116" t="s">
        <v>150</v>
      </c>
      <c r="L591" s="298"/>
      <c r="M591" s="300"/>
    </row>
    <row r="592" spans="1:13" x14ac:dyDescent="0.25">
      <c r="A592" s="100" t="str">
        <f>$E582</f>
        <v>RESIDENTIAL SERVICE CLASSIFICATION</v>
      </c>
      <c r="C592" s="117"/>
      <c r="D592" s="118" t="s">
        <v>151</v>
      </c>
      <c r="E592" s="119"/>
      <c r="F592" s="120">
        <v>23.48</v>
      </c>
      <c r="G592" s="121">
        <v>1</v>
      </c>
      <c r="H592" s="122">
        <f>G592*F592</f>
        <v>23.48</v>
      </c>
      <c r="I592" s="123">
        <v>26.72</v>
      </c>
      <c r="J592" s="124">
        <f>G592</f>
        <v>1</v>
      </c>
      <c r="K592" s="122">
        <f>J592*I592</f>
        <v>26.72</v>
      </c>
      <c r="L592" s="125">
        <f t="shared" ref="L592:L613" si="84">K592-H592</f>
        <v>3.2399999999999984</v>
      </c>
      <c r="M592" s="126">
        <f>IF(ISERROR(L592/H592), "", L592/H592)</f>
        <v>0.13798977853492328</v>
      </c>
    </row>
    <row r="593" spans="1:13" x14ac:dyDescent="0.25">
      <c r="A593" s="100" t="str">
        <f>A592</f>
        <v>RESIDENTIAL SERVICE CLASSIFICATION</v>
      </c>
      <c r="C593" s="117"/>
      <c r="D593" s="118" t="s">
        <v>152</v>
      </c>
      <c r="E593" s="119"/>
      <c r="F593" s="127">
        <v>3.3999999999999998E-3</v>
      </c>
      <c r="G593" s="121">
        <f>IF($E585&gt;0, $E585, $E584)</f>
        <v>2500</v>
      </c>
      <c r="H593" s="122">
        <f t="shared" ref="H593:H605" si="85">G593*F593</f>
        <v>8.5</v>
      </c>
      <c r="I593" s="128">
        <v>0</v>
      </c>
      <c r="J593" s="124">
        <f>IF($E585&gt;0, $E585, $E584)</f>
        <v>2500</v>
      </c>
      <c r="K593" s="122">
        <f>J593*I593</f>
        <v>0</v>
      </c>
      <c r="L593" s="125">
        <f t="shared" si="84"/>
        <v>-8.5</v>
      </c>
      <c r="M593" s="126">
        <f t="shared" ref="M593:M603" si="86">IF(ISERROR(L593/H593), "", L593/H593)</f>
        <v>-1</v>
      </c>
    </row>
    <row r="594" spans="1:13" x14ac:dyDescent="0.25">
      <c r="A594" s="100" t="str">
        <f t="shared" ref="A594:A635" si="87">A593</f>
        <v>RESIDENTIAL SERVICE CLASSIFICATION</v>
      </c>
      <c r="C594" s="117"/>
      <c r="D594" s="118" t="s">
        <v>153</v>
      </c>
      <c r="E594" s="119"/>
      <c r="F594" s="127"/>
      <c r="G594" s="121">
        <f>IF($E585&gt;0, $E585, $E584)</f>
        <v>2500</v>
      </c>
      <c r="H594" s="122">
        <v>0</v>
      </c>
      <c r="I594" s="128"/>
      <c r="J594" s="124">
        <f>IF($E585&gt;0, $E585, $E584)</f>
        <v>2500</v>
      </c>
      <c r="K594" s="122">
        <v>0</v>
      </c>
      <c r="L594" s="125"/>
      <c r="M594" s="126"/>
    </row>
    <row r="595" spans="1:13" x14ac:dyDescent="0.25">
      <c r="A595" s="100" t="str">
        <f t="shared" si="87"/>
        <v>RESIDENTIAL SERVICE CLASSIFICATION</v>
      </c>
      <c r="C595" s="117"/>
      <c r="D595" s="118" t="s">
        <v>154</v>
      </c>
      <c r="E595" s="119"/>
      <c r="F595" s="127"/>
      <c r="G595" s="121">
        <f>IF($E585&gt;0, $E585, $E584)</f>
        <v>2500</v>
      </c>
      <c r="H595" s="122">
        <v>0</v>
      </c>
      <c r="I595" s="128"/>
      <c r="J595" s="121">
        <f>IF($E585&gt;0, $E585, $E584)</f>
        <v>2500</v>
      </c>
      <c r="K595" s="122">
        <v>0</v>
      </c>
      <c r="L595" s="125">
        <f>K595-H595</f>
        <v>0</v>
      </c>
      <c r="M595" s="126" t="str">
        <f>IF(ISERROR(L595/H595), "", L595/H595)</f>
        <v/>
      </c>
    </row>
    <row r="596" spans="1:13" x14ac:dyDescent="0.25">
      <c r="A596" s="100" t="str">
        <f t="shared" si="87"/>
        <v>RESIDENTIAL SERVICE CLASSIFICATION</v>
      </c>
      <c r="C596" s="117"/>
      <c r="D596" s="129" t="s">
        <v>155</v>
      </c>
      <c r="E596" s="119"/>
      <c r="F596" s="120">
        <v>0</v>
      </c>
      <c r="G596" s="121">
        <v>1</v>
      </c>
      <c r="H596" s="122">
        <f t="shared" si="85"/>
        <v>0</v>
      </c>
      <c r="I596" s="226">
        <f>'Rate Riders'!O8</f>
        <v>4.6409135104517185</v>
      </c>
      <c r="J596" s="124">
        <f>G596</f>
        <v>1</v>
      </c>
      <c r="K596" s="122">
        <f t="shared" ref="K596:K603" si="88">J596*I596</f>
        <v>4.6409135104517185</v>
      </c>
      <c r="L596" s="125">
        <f t="shared" si="84"/>
        <v>4.6409135104517185</v>
      </c>
      <c r="M596" s="126" t="str">
        <f t="shared" si="86"/>
        <v/>
      </c>
    </row>
    <row r="597" spans="1:13" x14ac:dyDescent="0.25">
      <c r="A597" s="100" t="str">
        <f t="shared" si="87"/>
        <v>RESIDENTIAL SERVICE CLASSIFICATION</v>
      </c>
      <c r="C597" s="117"/>
      <c r="D597" s="118" t="s">
        <v>156</v>
      </c>
      <c r="E597" s="119"/>
      <c r="F597" s="127">
        <v>0</v>
      </c>
      <c r="G597" s="121">
        <f>IF($E585&gt;0, $E585, $E584)</f>
        <v>2500</v>
      </c>
      <c r="H597" s="122">
        <f t="shared" si="85"/>
        <v>0</v>
      </c>
      <c r="I597" s="227">
        <v>0</v>
      </c>
      <c r="J597" s="124">
        <f>IF($E585&gt;0, $E585, $E584)</f>
        <v>2500</v>
      </c>
      <c r="K597" s="122">
        <f t="shared" si="88"/>
        <v>0</v>
      </c>
      <c r="L597" s="125">
        <f t="shared" si="84"/>
        <v>0</v>
      </c>
      <c r="M597" s="126" t="str">
        <f t="shared" si="86"/>
        <v/>
      </c>
    </row>
    <row r="598" spans="1:13" x14ac:dyDescent="0.25">
      <c r="A598" s="100" t="str">
        <f t="shared" si="87"/>
        <v>RESIDENTIAL SERVICE CLASSIFICATION</v>
      </c>
      <c r="B598" s="130" t="s">
        <v>157</v>
      </c>
      <c r="C598" s="117">
        <f>B39</f>
        <v>10</v>
      </c>
      <c r="D598" s="131" t="s">
        <v>158</v>
      </c>
      <c r="E598" s="132"/>
      <c r="F598" s="133"/>
      <c r="G598" s="134"/>
      <c r="H598" s="135">
        <f>SUM(H592:H597)</f>
        <v>31.98</v>
      </c>
      <c r="I598" s="136"/>
      <c r="J598" s="137"/>
      <c r="K598" s="135">
        <f>SUM(K592:K597)</f>
        <v>31.360913510451716</v>
      </c>
      <c r="L598" s="138">
        <f t="shared" si="84"/>
        <v>-0.61908648954828394</v>
      </c>
      <c r="M598" s="139">
        <f>IF((H598)=0,"",(L598/H598))</f>
        <v>-1.9358551893317196E-2</v>
      </c>
    </row>
    <row r="599" spans="1:13" x14ac:dyDescent="0.25">
      <c r="A599" s="100" t="str">
        <f t="shared" si="87"/>
        <v>RESIDENTIAL SERVICE CLASSIFICATION</v>
      </c>
      <c r="C599" s="117"/>
      <c r="D599" s="140" t="s">
        <v>159</v>
      </c>
      <c r="E599" s="119"/>
      <c r="F599" s="127">
        <f>IF((E584*12&gt;=150000), 0, IF(E583="RPP",(F615*0.65+F616*0.17+F617*0.18),IF(E583="Non-RPP (Retailer)",F618,F619)))</f>
        <v>8.1990000000000007E-2</v>
      </c>
      <c r="G599" s="141">
        <f>IF(F599=0, 0, $E584*E586-E584)</f>
        <v>140</v>
      </c>
      <c r="H599" s="122">
        <f>G599*F599</f>
        <v>11.4786</v>
      </c>
      <c r="I599" s="128">
        <f>IF((E584*12&gt;=150000), 0, IF(E583="RPP",(I615*0.65+I616*0.17+I617*0.18),IF(E583="Non-RPP (Retailer)",I618,I619)))</f>
        <v>8.1990000000000007E-2</v>
      </c>
      <c r="J599" s="141">
        <f>IF(I599=0, 0, E584*E587-E584)</f>
        <v>140</v>
      </c>
      <c r="K599" s="122">
        <f>J599*I599</f>
        <v>11.4786</v>
      </c>
      <c r="L599" s="125">
        <f>K599-H599</f>
        <v>0</v>
      </c>
      <c r="M599" s="126">
        <f>IF(ISERROR(L599/H599), "", L599/H599)</f>
        <v>0</v>
      </c>
    </row>
    <row r="600" spans="1:13" ht="25.5" x14ac:dyDescent="0.25">
      <c r="A600" s="100" t="str">
        <f t="shared" si="87"/>
        <v>RESIDENTIAL SERVICE CLASSIFICATION</v>
      </c>
      <c r="C600" s="117"/>
      <c r="D600" s="140" t="s">
        <v>160</v>
      </c>
      <c r="E600" s="119"/>
      <c r="F600" s="127">
        <v>-1.4E-3</v>
      </c>
      <c r="G600" s="142">
        <f>IF($E585&gt;0, $E585, $E584)</f>
        <v>2500</v>
      </c>
      <c r="H600" s="122">
        <f t="shared" si="85"/>
        <v>-3.5</v>
      </c>
      <c r="I600" s="128">
        <v>-5.3E-3</v>
      </c>
      <c r="J600" s="142">
        <f>IF($E585&gt;0, $E585, $E584)</f>
        <v>2500</v>
      </c>
      <c r="K600" s="122">
        <f t="shared" si="88"/>
        <v>-13.25</v>
      </c>
      <c r="L600" s="125">
        <f t="shared" si="84"/>
        <v>-9.75</v>
      </c>
      <c r="M600" s="126">
        <f t="shared" si="86"/>
        <v>2.7857142857142856</v>
      </c>
    </row>
    <row r="601" spans="1:13" x14ac:dyDescent="0.25">
      <c r="A601" s="100" t="str">
        <f t="shared" si="87"/>
        <v>RESIDENTIAL SERVICE CLASSIFICATION</v>
      </c>
      <c r="C601" s="117"/>
      <c r="D601" s="140" t="s">
        <v>161</v>
      </c>
      <c r="E601" s="119"/>
      <c r="F601" s="127">
        <v>-1E-4</v>
      </c>
      <c r="G601" s="142">
        <f>IF($E585&gt;0, $E585, $E584)</f>
        <v>2500</v>
      </c>
      <c r="H601" s="122">
        <f>G601*F601</f>
        <v>-0.25</v>
      </c>
      <c r="I601" s="128">
        <v>0</v>
      </c>
      <c r="J601" s="142">
        <f>IF($E585&gt;0, $E585, $E584)</f>
        <v>2500</v>
      </c>
      <c r="K601" s="122">
        <f>J601*I601</f>
        <v>0</v>
      </c>
      <c r="L601" s="125">
        <f t="shared" si="84"/>
        <v>0.25</v>
      </c>
      <c r="M601" s="126">
        <f t="shared" si="86"/>
        <v>-1</v>
      </c>
    </row>
    <row r="602" spans="1:13" x14ac:dyDescent="0.25">
      <c r="A602" s="100" t="str">
        <f t="shared" si="87"/>
        <v>RESIDENTIAL SERVICE CLASSIFICATION</v>
      </c>
      <c r="C602" s="117"/>
      <c r="D602" s="140" t="s">
        <v>162</v>
      </c>
      <c r="E602" s="119"/>
      <c r="F602" s="127">
        <v>0</v>
      </c>
      <c r="G602" s="142">
        <f>E584</f>
        <v>2500</v>
      </c>
      <c r="H602" s="122">
        <f>G602*F602</f>
        <v>0</v>
      </c>
      <c r="I602" s="128">
        <v>0</v>
      </c>
      <c r="J602" s="142">
        <f>E584</f>
        <v>2500</v>
      </c>
      <c r="K602" s="122">
        <f t="shared" si="88"/>
        <v>0</v>
      </c>
      <c r="L602" s="125">
        <f t="shared" si="84"/>
        <v>0</v>
      </c>
      <c r="M602" s="126" t="str">
        <f t="shared" si="86"/>
        <v/>
      </c>
    </row>
    <row r="603" spans="1:13" x14ac:dyDescent="0.25">
      <c r="A603" s="100" t="str">
        <f t="shared" si="87"/>
        <v>RESIDENTIAL SERVICE CLASSIFICATION</v>
      </c>
      <c r="C603" s="117"/>
      <c r="D603" s="143" t="s">
        <v>163</v>
      </c>
      <c r="E603" s="119"/>
      <c r="F603" s="127">
        <v>2.5999999999999999E-3</v>
      </c>
      <c r="G603" s="142">
        <f>IF($E585&gt;0, $E585, $E584)</f>
        <v>2500</v>
      </c>
      <c r="H603" s="122">
        <f t="shared" si="85"/>
        <v>6.5</v>
      </c>
      <c r="I603" s="128">
        <v>2.5999999999999999E-3</v>
      </c>
      <c r="J603" s="142">
        <f>IF($E585&gt;0, $E585, $E584)</f>
        <v>2500</v>
      </c>
      <c r="K603" s="122">
        <f t="shared" si="88"/>
        <v>6.5</v>
      </c>
      <c r="L603" s="125">
        <f t="shared" si="84"/>
        <v>0</v>
      </c>
      <c r="M603" s="126">
        <f t="shared" si="86"/>
        <v>0</v>
      </c>
    </row>
    <row r="604" spans="1:13" ht="25.5" x14ac:dyDescent="0.25">
      <c r="A604" s="100" t="str">
        <f t="shared" si="87"/>
        <v>RESIDENTIAL SERVICE CLASSIFICATION</v>
      </c>
      <c r="C604" s="117"/>
      <c r="D604" s="144" t="s">
        <v>164</v>
      </c>
      <c r="E604" s="119"/>
      <c r="F604" s="145">
        <f>IF(OR(ISNUMBER(SEARCH("RESIDENTIAL", E582))=TRUE, ISNUMBER(SEARCH("GENERAL SERVICE LESS THAN 50", E582))=TRUE), SME, 0)</f>
        <v>0.56999999999999995</v>
      </c>
      <c r="G604" s="121">
        <v>1</v>
      </c>
      <c r="H604" s="122">
        <f>G604*F604</f>
        <v>0.56999999999999995</v>
      </c>
      <c r="I604" s="146">
        <f>IF(OR(ISNUMBER(SEARCH("RESIDENTIAL", E582))=TRUE, ISNUMBER(SEARCH("GENERAL SERVICE LESS THAN 50", E582))=TRUE), SME, 0)</f>
        <v>0.56999999999999995</v>
      </c>
      <c r="J604" s="121">
        <v>1</v>
      </c>
      <c r="K604" s="122">
        <f>J604*I604</f>
        <v>0.56999999999999995</v>
      </c>
      <c r="L604" s="125">
        <f t="shared" si="84"/>
        <v>0</v>
      </c>
      <c r="M604" s="126">
        <f>IF(ISERROR(L604/H604), "", L604/H604)</f>
        <v>0</v>
      </c>
    </row>
    <row r="605" spans="1:13" x14ac:dyDescent="0.25">
      <c r="A605" s="100" t="str">
        <f t="shared" si="87"/>
        <v>RESIDENTIAL SERVICE CLASSIFICATION</v>
      </c>
      <c r="C605" s="117"/>
      <c r="D605" s="143" t="s">
        <v>165</v>
      </c>
      <c r="E605" s="119"/>
      <c r="F605" s="120">
        <v>0</v>
      </c>
      <c r="G605" s="121">
        <v>1</v>
      </c>
      <c r="H605" s="122">
        <f t="shared" si="85"/>
        <v>0</v>
      </c>
      <c r="I605" s="123">
        <v>0</v>
      </c>
      <c r="J605" s="121">
        <v>1</v>
      </c>
      <c r="K605" s="122">
        <f>J605*I605</f>
        <v>0</v>
      </c>
      <c r="L605" s="125">
        <f>K605-H605</f>
        <v>0</v>
      </c>
      <c r="M605" s="126" t="str">
        <f>IF(ISERROR(L605/H605), "", L605/H605)</f>
        <v/>
      </c>
    </row>
    <row r="606" spans="1:13" x14ac:dyDescent="0.25">
      <c r="A606" s="100" t="str">
        <f t="shared" si="87"/>
        <v>RESIDENTIAL SERVICE CLASSIFICATION</v>
      </c>
      <c r="C606" s="117"/>
      <c r="D606" s="143" t="s">
        <v>166</v>
      </c>
      <c r="E606" s="119"/>
      <c r="F606" s="127"/>
      <c r="G606" s="142">
        <f>IF($E585&gt;0, $E585, $E584)</f>
        <v>2500</v>
      </c>
      <c r="H606" s="122">
        <f>G606*F606</f>
        <v>0</v>
      </c>
      <c r="I606" s="128">
        <v>0</v>
      </c>
      <c r="J606" s="142">
        <f>IF($E585&gt;0, $E585, $E584)</f>
        <v>2500</v>
      </c>
      <c r="K606" s="122">
        <f>J606*I606</f>
        <v>0</v>
      </c>
      <c r="L606" s="125">
        <f t="shared" si="84"/>
        <v>0</v>
      </c>
      <c r="M606" s="126" t="str">
        <f>IF(ISERROR(L606/H606), "", L606/H606)</f>
        <v/>
      </c>
    </row>
    <row r="607" spans="1:13" ht="25.5" x14ac:dyDescent="0.25">
      <c r="A607" s="100" t="str">
        <f t="shared" si="87"/>
        <v>RESIDENTIAL SERVICE CLASSIFICATION</v>
      </c>
      <c r="B607" s="105" t="s">
        <v>167</v>
      </c>
      <c r="C607" s="117">
        <f>B39</f>
        <v>10</v>
      </c>
      <c r="D607" s="147" t="s">
        <v>168</v>
      </c>
      <c r="E607" s="148"/>
      <c r="F607" s="149"/>
      <c r="G607" s="150"/>
      <c r="H607" s="151">
        <f>SUM(H598:H606)</f>
        <v>46.778600000000004</v>
      </c>
      <c r="I607" s="152"/>
      <c r="J607" s="153"/>
      <c r="K607" s="151">
        <f>SUM(K598:K606)</f>
        <v>36.659513510451717</v>
      </c>
      <c r="L607" s="138">
        <f t="shared" si="84"/>
        <v>-10.119086489548287</v>
      </c>
      <c r="M607" s="139">
        <f>IF((H607)=0,"",(L607/H607))</f>
        <v>-0.21631871175170456</v>
      </c>
    </row>
    <row r="608" spans="1:13" x14ac:dyDescent="0.25">
      <c r="A608" s="100" t="str">
        <f t="shared" si="87"/>
        <v>RESIDENTIAL SERVICE CLASSIFICATION</v>
      </c>
      <c r="C608" s="117"/>
      <c r="D608" s="154" t="s">
        <v>169</v>
      </c>
      <c r="E608" s="119"/>
      <c r="F608" s="127">
        <v>6.7999999999999996E-3</v>
      </c>
      <c r="G608" s="141">
        <f>IF($E585&gt;0, $E585, $E584*$E586)</f>
        <v>2640</v>
      </c>
      <c r="H608" s="122">
        <f>G608*F608</f>
        <v>17.951999999999998</v>
      </c>
      <c r="I608" s="128">
        <v>6.4999999999999997E-3</v>
      </c>
      <c r="J608" s="141">
        <f>IF($E585&gt;0, $E585, $E584*$E587)</f>
        <v>2640</v>
      </c>
      <c r="K608" s="122">
        <f>J608*I608</f>
        <v>17.16</v>
      </c>
      <c r="L608" s="125">
        <f t="shared" si="84"/>
        <v>-0.79199999999999804</v>
      </c>
      <c r="M608" s="126">
        <f>IF(ISERROR(L608/H608), "", L608/H608)</f>
        <v>-4.4117647058823421E-2</v>
      </c>
    </row>
    <row r="609" spans="1:13" ht="25.5" x14ac:dyDescent="0.25">
      <c r="A609" s="100" t="str">
        <f t="shared" si="87"/>
        <v>RESIDENTIAL SERVICE CLASSIFICATION</v>
      </c>
      <c r="C609" s="117"/>
      <c r="D609" s="155" t="s">
        <v>170</v>
      </c>
      <c r="E609" s="119"/>
      <c r="F609" s="127">
        <v>5.5999999999999999E-3</v>
      </c>
      <c r="G609" s="141">
        <f>IF($E585&gt;0, $E585, $E584*$E586)</f>
        <v>2640</v>
      </c>
      <c r="H609" s="122">
        <f>G609*F609</f>
        <v>14.784000000000001</v>
      </c>
      <c r="I609" s="128">
        <v>5.3E-3</v>
      </c>
      <c r="J609" s="141">
        <f>IF($E585&gt;0, $E585, $E584*$E587)</f>
        <v>2640</v>
      </c>
      <c r="K609" s="122">
        <f>J609*I609</f>
        <v>13.992000000000001</v>
      </c>
      <c r="L609" s="125">
        <f t="shared" si="84"/>
        <v>-0.79199999999999982</v>
      </c>
      <c r="M609" s="126">
        <f>IF(ISERROR(L609/H609), "", L609/H609)</f>
        <v>-5.3571428571428555E-2</v>
      </c>
    </row>
    <row r="610" spans="1:13" ht="25.5" x14ac:dyDescent="0.25">
      <c r="A610" s="100" t="str">
        <f t="shared" si="87"/>
        <v>RESIDENTIAL SERVICE CLASSIFICATION</v>
      </c>
      <c r="B610" s="105" t="s">
        <v>171</v>
      </c>
      <c r="C610" s="117">
        <f>B39</f>
        <v>10</v>
      </c>
      <c r="D610" s="147" t="s">
        <v>172</v>
      </c>
      <c r="E610" s="132"/>
      <c r="F610" s="149"/>
      <c r="G610" s="150"/>
      <c r="H610" s="151">
        <f>SUM(H607:H609)</f>
        <v>79.514600000000016</v>
      </c>
      <c r="I610" s="152"/>
      <c r="J610" s="137"/>
      <c r="K610" s="151">
        <f>SUM(K607:K609)</f>
        <v>67.811513510451718</v>
      </c>
      <c r="L610" s="138">
        <f t="shared" si="84"/>
        <v>-11.703086489548298</v>
      </c>
      <c r="M610" s="139">
        <f>IF((H610)=0,"",(L610/H610))</f>
        <v>-0.1471816055107904</v>
      </c>
    </row>
    <row r="611" spans="1:13" ht="25.5" x14ac:dyDescent="0.25">
      <c r="A611" s="100" t="str">
        <f t="shared" si="87"/>
        <v>RESIDENTIAL SERVICE CLASSIFICATION</v>
      </c>
      <c r="C611" s="117"/>
      <c r="D611" s="156" t="s">
        <v>173</v>
      </c>
      <c r="E611" s="119"/>
      <c r="F611" s="127">
        <v>3.6000000000000003E-3</v>
      </c>
      <c r="G611" s="141">
        <f>E584*E586</f>
        <v>2640</v>
      </c>
      <c r="H611" s="157">
        <f t="shared" ref="H611:H617" si="89">G611*F611</f>
        <v>9.5040000000000013</v>
      </c>
      <c r="I611" s="128">
        <v>3.6000000000000003E-3</v>
      </c>
      <c r="J611" s="141">
        <f>E584*E587</f>
        <v>2640</v>
      </c>
      <c r="K611" s="157">
        <f t="shared" ref="K611:K617" si="90">J611*I611</f>
        <v>9.5040000000000013</v>
      </c>
      <c r="L611" s="125">
        <f t="shared" si="84"/>
        <v>0</v>
      </c>
      <c r="M611" s="126">
        <f t="shared" ref="M611:M619" si="91">IF(ISERROR(L611/H611), "", L611/H611)</f>
        <v>0</v>
      </c>
    </row>
    <row r="612" spans="1:13" ht="25.5" x14ac:dyDescent="0.25">
      <c r="A612" s="100" t="str">
        <f t="shared" si="87"/>
        <v>RESIDENTIAL SERVICE CLASSIFICATION</v>
      </c>
      <c r="C612" s="117"/>
      <c r="D612" s="156" t="s">
        <v>174</v>
      </c>
      <c r="E612" s="119"/>
      <c r="F612" s="127">
        <f>'[1]17. Regulatory Charges'!$D$16</f>
        <v>2.9999999999999997E-4</v>
      </c>
      <c r="G612" s="141">
        <f>E584*E586</f>
        <v>2640</v>
      </c>
      <c r="H612" s="157">
        <f t="shared" si="89"/>
        <v>0.79199999999999993</v>
      </c>
      <c r="I612" s="128">
        <v>2.9999999999999997E-4</v>
      </c>
      <c r="J612" s="141">
        <f>E584*E587</f>
        <v>2640</v>
      </c>
      <c r="K612" s="157">
        <f t="shared" si="90"/>
        <v>0.79199999999999993</v>
      </c>
      <c r="L612" s="125">
        <f t="shared" si="84"/>
        <v>0</v>
      </c>
      <c r="M612" s="126">
        <f t="shared" si="91"/>
        <v>0</v>
      </c>
    </row>
    <row r="613" spans="1:13" x14ac:dyDescent="0.25">
      <c r="A613" s="100" t="str">
        <f t="shared" si="87"/>
        <v>RESIDENTIAL SERVICE CLASSIFICATION</v>
      </c>
      <c r="C613" s="117"/>
      <c r="D613" s="158" t="s">
        <v>175</v>
      </c>
      <c r="E613" s="119"/>
      <c r="F613" s="145">
        <v>0.25</v>
      </c>
      <c r="G613" s="121">
        <v>1</v>
      </c>
      <c r="H613" s="157">
        <f t="shared" si="89"/>
        <v>0.25</v>
      </c>
      <c r="I613" s="146">
        <f>'[1]17. Regulatory Charges'!$D$17</f>
        <v>0.25</v>
      </c>
      <c r="J613" s="124">
        <v>1</v>
      </c>
      <c r="K613" s="157">
        <f t="shared" si="90"/>
        <v>0.25</v>
      </c>
      <c r="L613" s="125">
        <f t="shared" si="84"/>
        <v>0</v>
      </c>
      <c r="M613" s="126">
        <f t="shared" si="91"/>
        <v>0</v>
      </c>
    </row>
    <row r="614" spans="1:13" ht="25.5" x14ac:dyDescent="0.25">
      <c r="A614" s="100" t="str">
        <f t="shared" si="87"/>
        <v>RESIDENTIAL SERVICE CLASSIFICATION</v>
      </c>
      <c r="C614" s="117"/>
      <c r="D614" s="156" t="s">
        <v>176</v>
      </c>
      <c r="E614" s="119"/>
      <c r="F614" s="127"/>
      <c r="G614" s="141"/>
      <c r="H614" s="157"/>
      <c r="I614" s="128"/>
      <c r="J614" s="141"/>
      <c r="K614" s="157"/>
      <c r="L614" s="125"/>
      <c r="M614" s="126"/>
    </row>
    <row r="615" spans="1:13" x14ac:dyDescent="0.25">
      <c r="A615" s="100" t="str">
        <f t="shared" si="87"/>
        <v>RESIDENTIAL SERVICE CLASSIFICATION</v>
      </c>
      <c r="B615" s="105" t="s">
        <v>117</v>
      </c>
      <c r="C615" s="117"/>
      <c r="D615" s="159" t="s">
        <v>177</v>
      </c>
      <c r="E615" s="119"/>
      <c r="F615" s="160">
        <f>OffPeak</f>
        <v>6.5000000000000002E-2</v>
      </c>
      <c r="G615" s="161">
        <f>IF(AND(E584*12&gt;=150000),0.65*E584*E586,0.65*E584)</f>
        <v>1625</v>
      </c>
      <c r="H615" s="157">
        <f t="shared" si="89"/>
        <v>105.625</v>
      </c>
      <c r="I615" s="162">
        <f>OffPeak</f>
        <v>6.5000000000000002E-2</v>
      </c>
      <c r="J615" s="161">
        <f>IF(AND(E584*12&gt;=150000),0.65*E584*E587,0.65*E584)</f>
        <v>1625</v>
      </c>
      <c r="K615" s="157">
        <f t="shared" si="90"/>
        <v>105.625</v>
      </c>
      <c r="L615" s="125">
        <f>K615-H615</f>
        <v>0</v>
      </c>
      <c r="M615" s="126">
        <f t="shared" si="91"/>
        <v>0</v>
      </c>
    </row>
    <row r="616" spans="1:13" x14ac:dyDescent="0.25">
      <c r="A616" s="100" t="str">
        <f t="shared" si="87"/>
        <v>RESIDENTIAL SERVICE CLASSIFICATION</v>
      </c>
      <c r="B616" s="105" t="s">
        <v>117</v>
      </c>
      <c r="C616" s="117"/>
      <c r="D616" s="159" t="s">
        <v>178</v>
      </c>
      <c r="E616" s="119"/>
      <c r="F616" s="160">
        <f>MidPeak</f>
        <v>9.4E-2</v>
      </c>
      <c r="G616" s="161">
        <f>IF(AND(E584*12&gt;=150000),0.17*E584*E586,0.17*E584)</f>
        <v>425.00000000000006</v>
      </c>
      <c r="H616" s="157">
        <f t="shared" si="89"/>
        <v>39.950000000000003</v>
      </c>
      <c r="I616" s="162">
        <f>MidPeak</f>
        <v>9.4E-2</v>
      </c>
      <c r="J616" s="161">
        <f>IF(AND(E584*12&gt;=150000),0.17*E584*E587,0.17*E584)</f>
        <v>425.00000000000006</v>
      </c>
      <c r="K616" s="157">
        <f t="shared" si="90"/>
        <v>39.950000000000003</v>
      </c>
      <c r="L616" s="125">
        <f>K616-H616</f>
        <v>0</v>
      </c>
      <c r="M616" s="126">
        <f t="shared" si="91"/>
        <v>0</v>
      </c>
    </row>
    <row r="617" spans="1:13" ht="15.75" thickBot="1" x14ac:dyDescent="0.3">
      <c r="A617" s="100" t="str">
        <f t="shared" si="87"/>
        <v>RESIDENTIAL SERVICE CLASSIFICATION</v>
      </c>
      <c r="B617" s="105" t="s">
        <v>117</v>
      </c>
      <c r="C617" s="117"/>
      <c r="D617" s="105" t="s">
        <v>179</v>
      </c>
      <c r="E617" s="119"/>
      <c r="F617" s="160">
        <f>OnPeak</f>
        <v>0.13200000000000001</v>
      </c>
      <c r="G617" s="161">
        <f>IF(AND(E584*12&gt;=150000),0.18*E584*E586,0.18*E584)</f>
        <v>450</v>
      </c>
      <c r="H617" s="157">
        <f t="shared" si="89"/>
        <v>59.400000000000006</v>
      </c>
      <c r="I617" s="162">
        <f>OnPeak</f>
        <v>0.13200000000000001</v>
      </c>
      <c r="J617" s="161">
        <f>IF(AND(E584*12&gt;=150000),0.18*E584*E587,0.18*E584)</f>
        <v>450</v>
      </c>
      <c r="K617" s="157">
        <f t="shared" si="90"/>
        <v>59.400000000000006</v>
      </c>
      <c r="L617" s="125">
        <f>K617-H617</f>
        <v>0</v>
      </c>
      <c r="M617" s="126">
        <f t="shared" si="91"/>
        <v>0</v>
      </c>
    </row>
    <row r="618" spans="1:13" hidden="1" x14ac:dyDescent="0.25">
      <c r="A618" s="100" t="str">
        <f t="shared" si="87"/>
        <v>RESIDENTIAL SERVICE CLASSIFICATION</v>
      </c>
      <c r="B618" s="100" t="s">
        <v>180</v>
      </c>
      <c r="C618" s="117"/>
      <c r="D618" s="159" t="s">
        <v>181</v>
      </c>
      <c r="E618" s="119"/>
      <c r="F618" s="163">
        <v>0.1101</v>
      </c>
      <c r="G618" s="161">
        <f>IF(AND(E584*12&gt;=150000),E584*E586,E584)</f>
        <v>2500</v>
      </c>
      <c r="H618" s="157">
        <f>G618*F618</f>
        <v>275.25</v>
      </c>
      <c r="I618" s="164">
        <f>F618</f>
        <v>0.1101</v>
      </c>
      <c r="J618" s="161">
        <f>IF(AND(E584*12&gt;=150000),E584*E587,E584)</f>
        <v>2500</v>
      </c>
      <c r="K618" s="157">
        <f>J618*I618</f>
        <v>275.25</v>
      </c>
      <c r="L618" s="125">
        <f>K618-H618</f>
        <v>0</v>
      </c>
      <c r="M618" s="126">
        <f t="shared" si="91"/>
        <v>0</v>
      </c>
    </row>
    <row r="619" spans="1:13" ht="15.75" hidden="1" thickBot="1" x14ac:dyDescent="0.3">
      <c r="A619" s="100" t="str">
        <f t="shared" si="87"/>
        <v>RESIDENTIAL SERVICE CLASSIFICATION</v>
      </c>
      <c r="B619" s="100" t="s">
        <v>121</v>
      </c>
      <c r="C619" s="117"/>
      <c r="D619" s="159" t="s">
        <v>182</v>
      </c>
      <c r="E619" s="119"/>
      <c r="F619" s="163">
        <v>0.1101</v>
      </c>
      <c r="G619" s="161">
        <f>IF(AND(E584*12&gt;=150000),E584*E586,E584)</f>
        <v>2500</v>
      </c>
      <c r="H619" s="157">
        <f>G619*F619</f>
        <v>275.25</v>
      </c>
      <c r="I619" s="164">
        <f>F619</f>
        <v>0.1101</v>
      </c>
      <c r="J619" s="161">
        <f>IF(AND(E584*12&gt;=150000),E584*E587,E584)</f>
        <v>2500</v>
      </c>
      <c r="K619" s="157">
        <f>J619*I619</f>
        <v>275.25</v>
      </c>
      <c r="L619" s="125">
        <f>K619-H619</f>
        <v>0</v>
      </c>
      <c r="M619" s="126">
        <f t="shared" si="91"/>
        <v>0</v>
      </c>
    </row>
    <row r="620" spans="1:13" ht="15.75" thickBot="1" x14ac:dyDescent="0.3">
      <c r="A620" s="100" t="str">
        <f t="shared" si="87"/>
        <v>RESIDENTIAL SERVICE CLASSIFICATION</v>
      </c>
      <c r="B620" s="105"/>
      <c r="C620" s="117"/>
      <c r="D620" s="165"/>
      <c r="E620" s="166"/>
      <c r="F620" s="167"/>
      <c r="G620" s="168"/>
      <c r="H620" s="169"/>
      <c r="I620" s="167"/>
      <c r="J620" s="170"/>
      <c r="K620" s="169"/>
      <c r="L620" s="171"/>
      <c r="M620" s="172"/>
    </row>
    <row r="621" spans="1:13" x14ac:dyDescent="0.25">
      <c r="A621" s="100" t="str">
        <f t="shared" si="87"/>
        <v>RESIDENTIAL SERVICE CLASSIFICATION</v>
      </c>
      <c r="B621" s="105" t="s">
        <v>117</v>
      </c>
      <c r="C621" s="117"/>
      <c r="D621" s="173" t="s">
        <v>183</v>
      </c>
      <c r="E621" s="158"/>
      <c r="F621" s="174"/>
      <c r="G621" s="175"/>
      <c r="H621" s="176">
        <f>SUM(H611:H617,H610)</f>
        <v>295.03560000000004</v>
      </c>
      <c r="I621" s="177"/>
      <c r="J621" s="177"/>
      <c r="K621" s="176">
        <f>SUM(K611:K617,K610)</f>
        <v>283.33251351045175</v>
      </c>
      <c r="L621" s="178">
        <f>K621-H621</f>
        <v>-11.703086489548298</v>
      </c>
      <c r="M621" s="179">
        <f>IF((H621)=0,"",(L621/H621))</f>
        <v>-3.9666692729786832E-2</v>
      </c>
    </row>
    <row r="622" spans="1:13" x14ac:dyDescent="0.25">
      <c r="A622" s="100" t="str">
        <f t="shared" si="87"/>
        <v>RESIDENTIAL SERVICE CLASSIFICATION</v>
      </c>
      <c r="B622" s="105" t="s">
        <v>117</v>
      </c>
      <c r="C622" s="117"/>
      <c r="D622" s="180" t="s">
        <v>184</v>
      </c>
      <c r="E622" s="158"/>
      <c r="F622" s="174">
        <v>0.13</v>
      </c>
      <c r="G622" s="181"/>
      <c r="H622" s="182">
        <f>H621*F622</f>
        <v>38.354628000000005</v>
      </c>
      <c r="I622" s="183">
        <v>0.13</v>
      </c>
      <c r="J622" s="121"/>
      <c r="K622" s="182">
        <f>K621*I622</f>
        <v>36.833226756358727</v>
      </c>
      <c r="L622" s="184">
        <f>K622-H622</f>
        <v>-1.5214012436412787</v>
      </c>
      <c r="M622" s="185">
        <f>IF((H622)=0,"",(L622/H622))</f>
        <v>-3.9666692729786832E-2</v>
      </c>
    </row>
    <row r="623" spans="1:13" x14ac:dyDescent="0.25">
      <c r="A623" s="100" t="str">
        <f t="shared" si="87"/>
        <v>RESIDENTIAL SERVICE CLASSIFICATION</v>
      </c>
      <c r="B623" s="105" t="s">
        <v>117</v>
      </c>
      <c r="C623" s="117"/>
      <c r="D623" s="180" t="s">
        <v>185</v>
      </c>
      <c r="E623" s="158"/>
      <c r="F623" s="174">
        <v>0.08</v>
      </c>
      <c r="G623" s="181"/>
      <c r="H623" s="182">
        <f>H621*-F623</f>
        <v>-23.602848000000005</v>
      </c>
      <c r="I623" s="174">
        <v>0.08</v>
      </c>
      <c r="J623" s="121"/>
      <c r="K623" s="182">
        <f>K621*-I623</f>
        <v>-22.666601080836141</v>
      </c>
      <c r="L623" s="184">
        <f>K623-H623</f>
        <v>0.93624691916386382</v>
      </c>
      <c r="M623" s="185"/>
    </row>
    <row r="624" spans="1:13" ht="15.75" thickBot="1" x14ac:dyDescent="0.3">
      <c r="A624" s="100" t="str">
        <f t="shared" si="87"/>
        <v>RESIDENTIAL SERVICE CLASSIFICATION</v>
      </c>
      <c r="B624" s="105" t="s">
        <v>186</v>
      </c>
      <c r="C624" s="117">
        <f>B39</f>
        <v>10</v>
      </c>
      <c r="D624" s="301" t="s">
        <v>187</v>
      </c>
      <c r="E624" s="301"/>
      <c r="F624" s="186"/>
      <c r="G624" s="187"/>
      <c r="H624" s="188">
        <f>H621+H622+H623</f>
        <v>309.78738000000004</v>
      </c>
      <c r="I624" s="189"/>
      <c r="J624" s="189"/>
      <c r="K624" s="190">
        <f>K621+K622+K623</f>
        <v>297.49913918597434</v>
      </c>
      <c r="L624" s="191">
        <f>K624-H624</f>
        <v>-12.288240814025698</v>
      </c>
      <c r="M624" s="192">
        <f>IF((H624)=0,"",(L624/H624))</f>
        <v>-3.966669272978679E-2</v>
      </c>
    </row>
    <row r="625" spans="1:13" ht="15.75" hidden="1" thickBot="1" x14ac:dyDescent="0.3">
      <c r="A625" s="100" t="str">
        <f t="shared" si="87"/>
        <v>RESIDENTIAL SERVICE CLASSIFICATION</v>
      </c>
      <c r="B625" s="100" t="s">
        <v>117</v>
      </c>
      <c r="C625" s="117"/>
      <c r="D625" s="165"/>
      <c r="E625" s="166"/>
      <c r="F625" s="167"/>
      <c r="G625" s="168"/>
      <c r="H625" s="169"/>
      <c r="I625" s="167"/>
      <c r="J625" s="170"/>
      <c r="K625" s="169"/>
      <c r="L625" s="171"/>
      <c r="M625" s="172"/>
    </row>
    <row r="626" spans="1:13" hidden="1" x14ac:dyDescent="0.25">
      <c r="A626" s="100" t="str">
        <f t="shared" si="87"/>
        <v>RESIDENTIAL SERVICE CLASSIFICATION</v>
      </c>
      <c r="B626" s="100" t="s">
        <v>180</v>
      </c>
      <c r="C626" s="117"/>
      <c r="D626" s="173" t="s">
        <v>188</v>
      </c>
      <c r="E626" s="158"/>
      <c r="F626" s="174"/>
      <c r="G626" s="175"/>
      <c r="H626" s="176">
        <f>SUM(H618,H611:H614,H610)</f>
        <v>365.31060000000002</v>
      </c>
      <c r="I626" s="177"/>
      <c r="J626" s="177"/>
      <c r="K626" s="176">
        <f>SUM(K618,K611:K614,K610)</f>
        <v>353.60751351045172</v>
      </c>
      <c r="L626" s="178">
        <f>K626-H626</f>
        <v>-11.703086489548298</v>
      </c>
      <c r="M626" s="179">
        <f>IF((H626)=0,"",(L626/H626))</f>
        <v>-3.2035989345910842E-2</v>
      </c>
    </row>
    <row r="627" spans="1:13" hidden="1" x14ac:dyDescent="0.25">
      <c r="A627" s="100" t="str">
        <f t="shared" si="87"/>
        <v>RESIDENTIAL SERVICE CLASSIFICATION</v>
      </c>
      <c r="B627" s="100" t="s">
        <v>180</v>
      </c>
      <c r="C627" s="117"/>
      <c r="D627" s="180" t="s">
        <v>184</v>
      </c>
      <c r="E627" s="158"/>
      <c r="F627" s="174">
        <v>0.13</v>
      </c>
      <c r="G627" s="175"/>
      <c r="H627" s="182">
        <f>H626*F627</f>
        <v>47.490378000000007</v>
      </c>
      <c r="I627" s="174">
        <v>0.13</v>
      </c>
      <c r="J627" s="183"/>
      <c r="K627" s="182">
        <f>K626*I627</f>
        <v>45.968976756358728</v>
      </c>
      <c r="L627" s="184">
        <f>K627-H627</f>
        <v>-1.5214012436412787</v>
      </c>
      <c r="M627" s="185">
        <f>IF((H627)=0,"",(L627/H627))</f>
        <v>-3.2035989345910836E-2</v>
      </c>
    </row>
    <row r="628" spans="1:13" hidden="1" x14ac:dyDescent="0.25">
      <c r="A628" s="100" t="str">
        <f t="shared" si="87"/>
        <v>RESIDENTIAL SERVICE CLASSIFICATION</v>
      </c>
      <c r="B628" s="100" t="s">
        <v>180</v>
      </c>
      <c r="C628" s="117"/>
      <c r="D628" s="180" t="s">
        <v>185</v>
      </c>
      <c r="E628" s="158"/>
      <c r="F628" s="174">
        <v>0.08</v>
      </c>
      <c r="G628" s="175"/>
      <c r="H628" s="182"/>
      <c r="I628" s="174">
        <v>0.08</v>
      </c>
      <c r="J628" s="183"/>
      <c r="K628" s="182"/>
      <c r="L628" s="184"/>
      <c r="M628" s="185"/>
    </row>
    <row r="629" spans="1:13" ht="15.75" hidden="1" thickBot="1" x14ac:dyDescent="0.3">
      <c r="A629" s="100" t="str">
        <f t="shared" si="87"/>
        <v>RESIDENTIAL SERVICE CLASSIFICATION</v>
      </c>
      <c r="B629" s="100" t="s">
        <v>189</v>
      </c>
      <c r="C629" s="117"/>
      <c r="D629" s="301" t="s">
        <v>188</v>
      </c>
      <c r="E629" s="301"/>
      <c r="F629" s="193"/>
      <c r="G629" s="194"/>
      <c r="H629" s="188">
        <f>SUM(H626,H627)</f>
        <v>412.80097800000004</v>
      </c>
      <c r="I629" s="195"/>
      <c r="J629" s="195"/>
      <c r="K629" s="188">
        <f>SUM(K626,K627)</f>
        <v>399.57649026681042</v>
      </c>
      <c r="L629" s="196">
        <f>K629-H629</f>
        <v>-13.224487733189619</v>
      </c>
      <c r="M629" s="197">
        <f>IF((H629)=0,"",(L629/H629))</f>
        <v>-3.2035989345910947E-2</v>
      </c>
    </row>
    <row r="630" spans="1:13" ht="15.75" hidden="1" thickBot="1" x14ac:dyDescent="0.3">
      <c r="A630" s="100" t="str">
        <f t="shared" si="87"/>
        <v>RESIDENTIAL SERVICE CLASSIFICATION</v>
      </c>
      <c r="B630" s="100" t="s">
        <v>180</v>
      </c>
      <c r="C630" s="117"/>
      <c r="D630" s="165"/>
      <c r="E630" s="166"/>
      <c r="F630" s="198"/>
      <c r="G630" s="199"/>
      <c r="H630" s="200"/>
      <c r="I630" s="198"/>
      <c r="J630" s="168"/>
      <c r="K630" s="200"/>
      <c r="L630" s="201"/>
      <c r="M630" s="172"/>
    </row>
    <row r="631" spans="1:13" hidden="1" x14ac:dyDescent="0.25">
      <c r="A631" s="100" t="str">
        <f t="shared" si="87"/>
        <v>RESIDENTIAL SERVICE CLASSIFICATION</v>
      </c>
      <c r="B631" s="100" t="s">
        <v>121</v>
      </c>
      <c r="C631" s="117"/>
      <c r="D631" s="173" t="s">
        <v>190</v>
      </c>
      <c r="E631" s="158"/>
      <c r="F631" s="174"/>
      <c r="G631" s="175"/>
      <c r="H631" s="176">
        <f>SUM(H619,H611:H614,H610)</f>
        <v>365.31060000000002</v>
      </c>
      <c r="I631" s="177"/>
      <c r="J631" s="177"/>
      <c r="K631" s="176">
        <f>SUM(K619,K611:K614,K610)</f>
        <v>353.60751351045172</v>
      </c>
      <c r="L631" s="178">
        <f>K631-H631</f>
        <v>-11.703086489548298</v>
      </c>
      <c r="M631" s="179">
        <f>IF((H631)=0,"",(L631/H631))</f>
        <v>-3.2035989345910842E-2</v>
      </c>
    </row>
    <row r="632" spans="1:13" hidden="1" x14ac:dyDescent="0.25">
      <c r="A632" s="100" t="str">
        <f t="shared" si="87"/>
        <v>RESIDENTIAL SERVICE CLASSIFICATION</v>
      </c>
      <c r="B632" s="100" t="s">
        <v>121</v>
      </c>
      <c r="C632" s="117"/>
      <c r="D632" s="180" t="s">
        <v>184</v>
      </c>
      <c r="E632" s="158"/>
      <c r="F632" s="174">
        <v>0.13</v>
      </c>
      <c r="G632" s="175"/>
      <c r="H632" s="182">
        <f>H631*F632</f>
        <v>47.490378000000007</v>
      </c>
      <c r="I632" s="174">
        <v>0.13</v>
      </c>
      <c r="J632" s="183"/>
      <c r="K632" s="182">
        <f>K631*I632</f>
        <v>45.968976756358728</v>
      </c>
      <c r="L632" s="184">
        <f>K632-H632</f>
        <v>-1.5214012436412787</v>
      </c>
      <c r="M632" s="185">
        <f>IF((H632)=0,"",(L632/H632))</f>
        <v>-3.2035989345910836E-2</v>
      </c>
    </row>
    <row r="633" spans="1:13" hidden="1" x14ac:dyDescent="0.25">
      <c r="A633" s="100" t="str">
        <f t="shared" si="87"/>
        <v>RESIDENTIAL SERVICE CLASSIFICATION</v>
      </c>
      <c r="B633" s="100" t="s">
        <v>121</v>
      </c>
      <c r="C633" s="117"/>
      <c r="D633" s="180" t="s">
        <v>185</v>
      </c>
      <c r="E633" s="158"/>
      <c r="F633" s="174">
        <v>0.08</v>
      </c>
      <c r="G633" s="175"/>
      <c r="H633" s="182"/>
      <c r="I633" s="174">
        <v>0.08</v>
      </c>
      <c r="J633" s="183"/>
      <c r="K633" s="182"/>
      <c r="L633" s="184"/>
      <c r="M633" s="185"/>
    </row>
    <row r="634" spans="1:13" ht="15.75" hidden="1" thickBot="1" x14ac:dyDescent="0.3">
      <c r="A634" s="100" t="str">
        <f t="shared" si="87"/>
        <v>RESIDENTIAL SERVICE CLASSIFICATION</v>
      </c>
      <c r="B634" s="100" t="s">
        <v>191</v>
      </c>
      <c r="C634" s="117"/>
      <c r="D634" s="301" t="s">
        <v>190</v>
      </c>
      <c r="E634" s="301"/>
      <c r="F634" s="193"/>
      <c r="G634" s="194"/>
      <c r="H634" s="188">
        <f>SUM(H631,H632)</f>
        <v>412.80097800000004</v>
      </c>
      <c r="I634" s="195"/>
      <c r="J634" s="195"/>
      <c r="K634" s="188">
        <f>SUM(K631,K632)</f>
        <v>399.57649026681042</v>
      </c>
      <c r="L634" s="196">
        <f>K634-H634</f>
        <v>-13.224487733189619</v>
      </c>
      <c r="M634" s="197">
        <f>IF((H634)=0,"",(L634/H634))</f>
        <v>-3.2035989345910947E-2</v>
      </c>
    </row>
    <row r="635" spans="1:13" ht="15.75" thickBot="1" x14ac:dyDescent="0.3">
      <c r="A635" s="100" t="str">
        <f t="shared" si="87"/>
        <v>RESIDENTIAL SERVICE CLASSIFICATION</v>
      </c>
      <c r="B635" s="100" t="s">
        <v>121</v>
      </c>
      <c r="C635" s="117"/>
      <c r="D635" s="165"/>
      <c r="E635" s="166"/>
      <c r="F635" s="202"/>
      <c r="G635" s="203"/>
      <c r="H635" s="204"/>
      <c r="I635" s="202"/>
      <c r="J635" s="205"/>
      <c r="K635" s="204"/>
      <c r="L635" s="206"/>
      <c r="M635" s="207"/>
    </row>
    <row r="638" spans="1:13" x14ac:dyDescent="0.25">
      <c r="C638" s="100"/>
      <c r="D638" s="101" t="s">
        <v>134</v>
      </c>
      <c r="E638" s="302" t="str">
        <f>D40</f>
        <v>GENERAL SERVICE LESS THAN 50 KW SERVICE CLASSIFICATION</v>
      </c>
      <c r="F638" s="302"/>
      <c r="G638" s="302"/>
      <c r="H638" s="302"/>
      <c r="I638" s="302"/>
      <c r="J638" s="302"/>
      <c r="K638" s="100" t="str">
        <f>IF(N40="DEMAND - INTERVAL","RTSR - INTERVAL METERED","")</f>
        <v/>
      </c>
    </row>
    <row r="639" spans="1:13" x14ac:dyDescent="0.25">
      <c r="C639" s="100"/>
      <c r="D639" s="101" t="s">
        <v>135</v>
      </c>
      <c r="E639" s="303" t="str">
        <f>H40</f>
        <v>RPP</v>
      </c>
      <c r="F639" s="303"/>
      <c r="G639" s="303"/>
      <c r="H639" s="102"/>
      <c r="I639" s="102"/>
    </row>
    <row r="640" spans="1:13" ht="15.75" x14ac:dyDescent="0.25">
      <c r="C640" s="100"/>
      <c r="D640" s="101" t="s">
        <v>136</v>
      </c>
      <c r="E640" s="103">
        <f>K40</f>
        <v>500</v>
      </c>
      <c r="F640" s="104" t="s">
        <v>137</v>
      </c>
      <c r="G640" s="105"/>
      <c r="J640" s="106"/>
      <c r="K640" s="106"/>
      <c r="L640" s="106"/>
      <c r="M640" s="106"/>
    </row>
    <row r="641" spans="1:13" ht="15.75" x14ac:dyDescent="0.25">
      <c r="C641" s="100"/>
      <c r="D641" s="101" t="s">
        <v>138</v>
      </c>
      <c r="E641" s="103">
        <f>L40</f>
        <v>0</v>
      </c>
      <c r="F641" s="107" t="s">
        <v>139</v>
      </c>
      <c r="G641" s="108"/>
      <c r="H641" s="109"/>
      <c r="I641" s="109"/>
      <c r="J641" s="109"/>
    </row>
    <row r="642" spans="1:13" x14ac:dyDescent="0.25">
      <c r="C642" s="100"/>
      <c r="D642" s="101" t="s">
        <v>140</v>
      </c>
      <c r="E642" s="110">
        <f>I40</f>
        <v>1.056</v>
      </c>
    </row>
    <row r="643" spans="1:13" x14ac:dyDescent="0.25">
      <c r="C643" s="100"/>
      <c r="D643" s="101" t="s">
        <v>141</v>
      </c>
      <c r="E643" s="110">
        <f>J40</f>
        <v>1.056</v>
      </c>
    </row>
    <row r="644" spans="1:13" x14ac:dyDescent="0.25">
      <c r="C644" s="100"/>
      <c r="D644" s="105"/>
    </row>
    <row r="645" spans="1:13" x14ac:dyDescent="0.25">
      <c r="C645" s="100"/>
      <c r="D645" s="105"/>
      <c r="E645" s="111"/>
      <c r="F645" s="304" t="s">
        <v>142</v>
      </c>
      <c r="G645" s="305"/>
      <c r="H645" s="306"/>
      <c r="I645" s="304" t="s">
        <v>143</v>
      </c>
      <c r="J645" s="305"/>
      <c r="K645" s="306"/>
      <c r="L645" s="304" t="s">
        <v>144</v>
      </c>
      <c r="M645" s="306"/>
    </row>
    <row r="646" spans="1:13" x14ac:dyDescent="0.25">
      <c r="C646" s="100"/>
      <c r="D646" s="105"/>
      <c r="E646" s="295"/>
      <c r="F646" s="112" t="s">
        <v>145</v>
      </c>
      <c r="G646" s="112" t="s">
        <v>146</v>
      </c>
      <c r="H646" s="113" t="s">
        <v>147</v>
      </c>
      <c r="I646" s="112" t="s">
        <v>145</v>
      </c>
      <c r="J646" s="114" t="s">
        <v>146</v>
      </c>
      <c r="K646" s="113" t="s">
        <v>147</v>
      </c>
      <c r="L646" s="297" t="s">
        <v>148</v>
      </c>
      <c r="M646" s="299" t="s">
        <v>149</v>
      </c>
    </row>
    <row r="647" spans="1:13" x14ac:dyDescent="0.25">
      <c r="C647" s="100"/>
      <c r="D647" s="105"/>
      <c r="E647" s="296"/>
      <c r="F647" s="115" t="s">
        <v>150</v>
      </c>
      <c r="G647" s="115"/>
      <c r="H647" s="116" t="s">
        <v>150</v>
      </c>
      <c r="I647" s="115" t="s">
        <v>150</v>
      </c>
      <c r="J647" s="116"/>
      <c r="K647" s="116" t="s">
        <v>150</v>
      </c>
      <c r="L647" s="298"/>
      <c r="M647" s="300"/>
    </row>
    <row r="648" spans="1:13" x14ac:dyDescent="0.25">
      <c r="A648" s="100" t="str">
        <f>$E638</f>
        <v>GENERAL SERVICE LESS THAN 50 KW SERVICE CLASSIFICATION</v>
      </c>
      <c r="C648" s="117"/>
      <c r="D648" s="118" t="s">
        <v>151</v>
      </c>
      <c r="E648" s="119"/>
      <c r="F648" s="120">
        <v>28.37</v>
      </c>
      <c r="G648" s="121">
        <v>1</v>
      </c>
      <c r="H648" s="122">
        <f>G648*F648</f>
        <v>28.37</v>
      </c>
      <c r="I648" s="123">
        <v>28.71</v>
      </c>
      <c r="J648" s="124">
        <f>G648</f>
        <v>1</v>
      </c>
      <c r="K648" s="122">
        <f>J648*I648</f>
        <v>28.71</v>
      </c>
      <c r="L648" s="125">
        <f t="shared" ref="L648:L669" si="92">K648-H648</f>
        <v>0.33999999999999986</v>
      </c>
      <c r="M648" s="126">
        <f>IF(ISERROR(L648/H648), "", L648/H648)</f>
        <v>1.198449065914698E-2</v>
      </c>
    </row>
    <row r="649" spans="1:13" x14ac:dyDescent="0.25">
      <c r="A649" s="100" t="str">
        <f>A648</f>
        <v>GENERAL SERVICE LESS THAN 50 KW SERVICE CLASSIFICATION</v>
      </c>
      <c r="C649" s="117"/>
      <c r="D649" s="118" t="s">
        <v>152</v>
      </c>
      <c r="E649" s="119"/>
      <c r="F649" s="127">
        <v>1.0200000000000001E-2</v>
      </c>
      <c r="G649" s="121">
        <f>IF($E641&gt;0, $E641, $E640)</f>
        <v>500</v>
      </c>
      <c r="H649" s="122">
        <f t="shared" ref="H649:H661" si="93">G649*F649</f>
        <v>5.1000000000000005</v>
      </c>
      <c r="I649" s="128">
        <v>1.03E-2</v>
      </c>
      <c r="J649" s="124">
        <f>IF($E641&gt;0, $E641, $E640)</f>
        <v>500</v>
      </c>
      <c r="K649" s="122">
        <f>J649*I649</f>
        <v>5.15</v>
      </c>
      <c r="L649" s="125">
        <f t="shared" si="92"/>
        <v>4.9999999999999822E-2</v>
      </c>
      <c r="M649" s="126">
        <f t="shared" ref="M649:M659" si="94">IF(ISERROR(L649/H649), "", L649/H649)</f>
        <v>9.8039215686274144E-3</v>
      </c>
    </row>
    <row r="650" spans="1:13" x14ac:dyDescent="0.25">
      <c r="A650" s="100" t="str">
        <f t="shared" ref="A650:A691" si="95">A649</f>
        <v>GENERAL SERVICE LESS THAN 50 KW SERVICE CLASSIFICATION</v>
      </c>
      <c r="C650" s="117"/>
      <c r="D650" s="118" t="s">
        <v>153</v>
      </c>
      <c r="E650" s="119"/>
      <c r="F650" s="127"/>
      <c r="G650" s="121">
        <f>IF($E641&gt;0, $E641, $E640)</f>
        <v>500</v>
      </c>
      <c r="H650" s="122">
        <v>0</v>
      </c>
      <c r="I650" s="128"/>
      <c r="J650" s="124">
        <f>IF($E641&gt;0, $E641, $E640)</f>
        <v>500</v>
      </c>
      <c r="K650" s="122">
        <v>0</v>
      </c>
      <c r="L650" s="125"/>
      <c r="M650" s="126"/>
    </row>
    <row r="651" spans="1:13" x14ac:dyDescent="0.25">
      <c r="A651" s="100" t="str">
        <f t="shared" si="95"/>
        <v>GENERAL SERVICE LESS THAN 50 KW SERVICE CLASSIFICATION</v>
      </c>
      <c r="C651" s="117"/>
      <c r="D651" s="118" t="s">
        <v>154</v>
      </c>
      <c r="E651" s="119"/>
      <c r="F651" s="127"/>
      <c r="G651" s="121">
        <f>IF($E641&gt;0, $E641, $E640)</f>
        <v>500</v>
      </c>
      <c r="H651" s="122">
        <v>0</v>
      </c>
      <c r="I651" s="128"/>
      <c r="J651" s="121">
        <f>IF($E641&gt;0, $E641, $E640)</f>
        <v>500</v>
      </c>
      <c r="K651" s="122">
        <v>0</v>
      </c>
      <c r="L651" s="125">
        <f>K651-H651</f>
        <v>0</v>
      </c>
      <c r="M651" s="126" t="str">
        <f>IF(ISERROR(L651/H651), "", L651/H651)</f>
        <v/>
      </c>
    </row>
    <row r="652" spans="1:13" x14ac:dyDescent="0.25">
      <c r="A652" s="100" t="str">
        <f t="shared" si="95"/>
        <v>GENERAL SERVICE LESS THAN 50 KW SERVICE CLASSIFICATION</v>
      </c>
      <c r="C652" s="117"/>
      <c r="D652" s="129" t="s">
        <v>155</v>
      </c>
      <c r="E652" s="119"/>
      <c r="F652" s="120">
        <v>0</v>
      </c>
      <c r="G652" s="121">
        <v>1</v>
      </c>
      <c r="H652" s="122">
        <f t="shared" si="93"/>
        <v>0</v>
      </c>
      <c r="I652" s="226">
        <f>'Rate Riders'!O9</f>
        <v>5.0258152524611814</v>
      </c>
      <c r="J652" s="124">
        <f>G652</f>
        <v>1</v>
      </c>
      <c r="K652" s="122">
        <f t="shared" ref="K652:K659" si="96">J652*I652</f>
        <v>5.0258152524611814</v>
      </c>
      <c r="L652" s="125">
        <f t="shared" si="92"/>
        <v>5.0258152524611814</v>
      </c>
      <c r="M652" s="126" t="str">
        <f t="shared" si="94"/>
        <v/>
      </c>
    </row>
    <row r="653" spans="1:13" x14ac:dyDescent="0.25">
      <c r="A653" s="100" t="str">
        <f t="shared" si="95"/>
        <v>GENERAL SERVICE LESS THAN 50 KW SERVICE CLASSIFICATION</v>
      </c>
      <c r="C653" s="117"/>
      <c r="D653" s="118" t="s">
        <v>156</v>
      </c>
      <c r="E653" s="119"/>
      <c r="F653" s="127">
        <v>0</v>
      </c>
      <c r="G653" s="121">
        <f>IF($E641&gt;0, $E641, $E640)</f>
        <v>500</v>
      </c>
      <c r="H653" s="122">
        <f t="shared" si="93"/>
        <v>0</v>
      </c>
      <c r="I653" s="227">
        <f>'Rate Riders'!P9</f>
        <v>1.8069550784315846E-3</v>
      </c>
      <c r="J653" s="124">
        <f>IF($E641&gt;0, $E641, $E640)</f>
        <v>500</v>
      </c>
      <c r="K653" s="122">
        <f t="shared" si="96"/>
        <v>0.90347753921579232</v>
      </c>
      <c r="L653" s="125">
        <f t="shared" si="92"/>
        <v>0.90347753921579232</v>
      </c>
      <c r="M653" s="126" t="str">
        <f t="shared" si="94"/>
        <v/>
      </c>
    </row>
    <row r="654" spans="1:13" x14ac:dyDescent="0.25">
      <c r="A654" s="100" t="str">
        <f t="shared" si="95"/>
        <v>GENERAL SERVICE LESS THAN 50 KW SERVICE CLASSIFICATION</v>
      </c>
      <c r="B654" s="130" t="s">
        <v>157</v>
      </c>
      <c r="C654" s="117">
        <f>B40</f>
        <v>11</v>
      </c>
      <c r="D654" s="131" t="s">
        <v>158</v>
      </c>
      <c r="E654" s="132"/>
      <c r="F654" s="133"/>
      <c r="G654" s="134"/>
      <c r="H654" s="135">
        <f>SUM(H648:H653)</f>
        <v>33.47</v>
      </c>
      <c r="I654" s="136"/>
      <c r="J654" s="137"/>
      <c r="K654" s="135">
        <f>SUM(K648:K653)</f>
        <v>39.789292791676971</v>
      </c>
      <c r="L654" s="138">
        <f t="shared" si="92"/>
        <v>6.3192927916769719</v>
      </c>
      <c r="M654" s="139">
        <f>IF((H654)=0,"",(L654/H654))</f>
        <v>0.18880468454368007</v>
      </c>
    </row>
    <row r="655" spans="1:13" x14ac:dyDescent="0.25">
      <c r="A655" s="100" t="str">
        <f t="shared" si="95"/>
        <v>GENERAL SERVICE LESS THAN 50 KW SERVICE CLASSIFICATION</v>
      </c>
      <c r="C655" s="117"/>
      <c r="D655" s="140" t="s">
        <v>159</v>
      </c>
      <c r="E655" s="119"/>
      <c r="F655" s="127">
        <f>IF((E640*12&gt;=150000), 0, IF(E639="RPP",(F671*0.65+F672*0.17+F673*0.18),IF(E639="Non-RPP (Retailer)",F674,F675)))</f>
        <v>8.1990000000000007E-2</v>
      </c>
      <c r="G655" s="141">
        <f>IF(F655=0, 0, $E640*E642-E640)</f>
        <v>28</v>
      </c>
      <c r="H655" s="122">
        <f>G655*F655</f>
        <v>2.2957200000000002</v>
      </c>
      <c r="I655" s="128">
        <f>IF((E640*12&gt;=150000), 0, IF(E639="RPP",(I671*0.65+I672*0.17+I673*0.18),IF(E639="Non-RPP (Retailer)",I674,I675)))</f>
        <v>8.1990000000000007E-2</v>
      </c>
      <c r="J655" s="141">
        <f>IF(I655=0, 0, E640*E643-E640)</f>
        <v>28</v>
      </c>
      <c r="K655" s="122">
        <f>J655*I655</f>
        <v>2.2957200000000002</v>
      </c>
      <c r="L655" s="125">
        <f>K655-H655</f>
        <v>0</v>
      </c>
      <c r="M655" s="126">
        <f>IF(ISERROR(L655/H655), "", L655/H655)</f>
        <v>0</v>
      </c>
    </row>
    <row r="656" spans="1:13" ht="25.5" x14ac:dyDescent="0.25">
      <c r="A656" s="100" t="str">
        <f t="shared" si="95"/>
        <v>GENERAL SERVICE LESS THAN 50 KW SERVICE CLASSIFICATION</v>
      </c>
      <c r="C656" s="117"/>
      <c r="D656" s="140" t="s">
        <v>160</v>
      </c>
      <c r="E656" s="119"/>
      <c r="F656" s="127">
        <v>-1.4E-3</v>
      </c>
      <c r="G656" s="142">
        <f>IF($E641&gt;0, $E641, $E640)</f>
        <v>500</v>
      </c>
      <c r="H656" s="122">
        <f t="shared" si="93"/>
        <v>-0.7</v>
      </c>
      <c r="I656" s="128">
        <v>-5.3E-3</v>
      </c>
      <c r="J656" s="142">
        <f>IF($E641&gt;0, $E641, $E640)</f>
        <v>500</v>
      </c>
      <c r="K656" s="122">
        <f t="shared" si="96"/>
        <v>-2.65</v>
      </c>
      <c r="L656" s="125">
        <f t="shared" si="92"/>
        <v>-1.95</v>
      </c>
      <c r="M656" s="126">
        <f t="shared" si="94"/>
        <v>2.785714285714286</v>
      </c>
    </row>
    <row r="657" spans="1:13" x14ac:dyDescent="0.25">
      <c r="A657" s="100" t="str">
        <f t="shared" si="95"/>
        <v>GENERAL SERVICE LESS THAN 50 KW SERVICE CLASSIFICATION</v>
      </c>
      <c r="C657" s="117"/>
      <c r="D657" s="140" t="s">
        <v>161</v>
      </c>
      <c r="E657" s="119"/>
      <c r="F657" s="127">
        <v>-1E-4</v>
      </c>
      <c r="G657" s="142">
        <f>IF($E641&gt;0, $E641, $E640)</f>
        <v>500</v>
      </c>
      <c r="H657" s="122">
        <f>G657*F657</f>
        <v>-0.05</v>
      </c>
      <c r="I657" s="128">
        <v>0</v>
      </c>
      <c r="J657" s="142">
        <f>IF($E641&gt;0, $E641, $E640)</f>
        <v>500</v>
      </c>
      <c r="K657" s="122">
        <f>J657*I657</f>
        <v>0</v>
      </c>
      <c r="L657" s="125">
        <f t="shared" si="92"/>
        <v>0.05</v>
      </c>
      <c r="M657" s="126">
        <f t="shared" si="94"/>
        <v>-1</v>
      </c>
    </row>
    <row r="658" spans="1:13" x14ac:dyDescent="0.25">
      <c r="A658" s="100" t="str">
        <f t="shared" si="95"/>
        <v>GENERAL SERVICE LESS THAN 50 KW SERVICE CLASSIFICATION</v>
      </c>
      <c r="C658" s="117"/>
      <c r="D658" s="140" t="s">
        <v>162</v>
      </c>
      <c r="E658" s="119"/>
      <c r="F658" s="127">
        <v>0</v>
      </c>
      <c r="G658" s="142">
        <f>E640</f>
        <v>500</v>
      </c>
      <c r="H658" s="122">
        <f>G658*F658</f>
        <v>0</v>
      </c>
      <c r="I658" s="128">
        <v>0</v>
      </c>
      <c r="J658" s="142">
        <f>E640</f>
        <v>500</v>
      </c>
      <c r="K658" s="122">
        <f t="shared" si="96"/>
        <v>0</v>
      </c>
      <c r="L658" s="125">
        <f t="shared" si="92"/>
        <v>0</v>
      </c>
      <c r="M658" s="126" t="str">
        <f t="shared" si="94"/>
        <v/>
      </c>
    </row>
    <row r="659" spans="1:13" x14ac:dyDescent="0.25">
      <c r="A659" s="100" t="str">
        <f t="shared" si="95"/>
        <v>GENERAL SERVICE LESS THAN 50 KW SERVICE CLASSIFICATION</v>
      </c>
      <c r="C659" s="117"/>
      <c r="D659" s="143" t="s">
        <v>163</v>
      </c>
      <c r="E659" s="119"/>
      <c r="F659" s="127">
        <v>2.3999999999999998E-3</v>
      </c>
      <c r="G659" s="142">
        <f>IF($E641&gt;0, $E641, $E640)</f>
        <v>500</v>
      </c>
      <c r="H659" s="122">
        <f t="shared" si="93"/>
        <v>1.2</v>
      </c>
      <c r="I659" s="128">
        <v>2.3999999999999998E-3</v>
      </c>
      <c r="J659" s="142">
        <f>IF($E641&gt;0, $E641, $E640)</f>
        <v>500</v>
      </c>
      <c r="K659" s="122">
        <f t="shared" si="96"/>
        <v>1.2</v>
      </c>
      <c r="L659" s="125">
        <f t="shared" si="92"/>
        <v>0</v>
      </c>
      <c r="M659" s="126">
        <f t="shared" si="94"/>
        <v>0</v>
      </c>
    </row>
    <row r="660" spans="1:13" ht="25.5" x14ac:dyDescent="0.25">
      <c r="A660" s="100" t="str">
        <f t="shared" si="95"/>
        <v>GENERAL SERVICE LESS THAN 50 KW SERVICE CLASSIFICATION</v>
      </c>
      <c r="C660" s="117"/>
      <c r="D660" s="144" t="s">
        <v>164</v>
      </c>
      <c r="E660" s="119"/>
      <c r="F660" s="145">
        <f>IF(OR(ISNUMBER(SEARCH("RESIDENTIAL", E638))=TRUE, ISNUMBER(SEARCH("GENERAL SERVICE LESS THAN 50", E638))=TRUE), SME, 0)</f>
        <v>0.56999999999999995</v>
      </c>
      <c r="G660" s="121">
        <v>1</v>
      </c>
      <c r="H660" s="122">
        <f>G660*F660</f>
        <v>0.56999999999999995</v>
      </c>
      <c r="I660" s="146">
        <f>IF(OR(ISNUMBER(SEARCH("RESIDENTIAL", E638))=TRUE, ISNUMBER(SEARCH("GENERAL SERVICE LESS THAN 50", E638))=TRUE), SME, 0)</f>
        <v>0.56999999999999995</v>
      </c>
      <c r="J660" s="121">
        <v>1</v>
      </c>
      <c r="K660" s="122">
        <f>J660*I660</f>
        <v>0.56999999999999995</v>
      </c>
      <c r="L660" s="125">
        <f t="shared" si="92"/>
        <v>0</v>
      </c>
      <c r="M660" s="126">
        <f>IF(ISERROR(L660/H660), "", L660/H660)</f>
        <v>0</v>
      </c>
    </row>
    <row r="661" spans="1:13" x14ac:dyDescent="0.25">
      <c r="A661" s="100" t="str">
        <f t="shared" si="95"/>
        <v>GENERAL SERVICE LESS THAN 50 KW SERVICE CLASSIFICATION</v>
      </c>
      <c r="C661" s="117"/>
      <c r="D661" s="143" t="s">
        <v>165</v>
      </c>
      <c r="E661" s="119"/>
      <c r="F661" s="120">
        <v>0</v>
      </c>
      <c r="G661" s="121">
        <v>1</v>
      </c>
      <c r="H661" s="122">
        <f t="shared" si="93"/>
        <v>0</v>
      </c>
      <c r="I661" s="123">
        <v>0</v>
      </c>
      <c r="J661" s="121">
        <v>1</v>
      </c>
      <c r="K661" s="122">
        <f>J661*I661</f>
        <v>0</v>
      </c>
      <c r="L661" s="125">
        <f>K661-H661</f>
        <v>0</v>
      </c>
      <c r="M661" s="126" t="str">
        <f>IF(ISERROR(L661/H661), "", L661/H661)</f>
        <v/>
      </c>
    </row>
    <row r="662" spans="1:13" x14ac:dyDescent="0.25">
      <c r="A662" s="100" t="str">
        <f t="shared" si="95"/>
        <v>GENERAL SERVICE LESS THAN 50 KW SERVICE CLASSIFICATION</v>
      </c>
      <c r="C662" s="117"/>
      <c r="D662" s="143" t="s">
        <v>166</v>
      </c>
      <c r="E662" s="119"/>
      <c r="F662" s="127"/>
      <c r="G662" s="142">
        <f>IF($E641&gt;0, $E641, $E640)</f>
        <v>500</v>
      </c>
      <c r="H662" s="122">
        <f>G662*F662</f>
        <v>0</v>
      </c>
      <c r="I662" s="128">
        <v>0</v>
      </c>
      <c r="J662" s="142">
        <f>IF($E641&gt;0, $E641, $E640)</f>
        <v>500</v>
      </c>
      <c r="K662" s="122">
        <f>J662*I662</f>
        <v>0</v>
      </c>
      <c r="L662" s="125">
        <f t="shared" si="92"/>
        <v>0</v>
      </c>
      <c r="M662" s="126" t="str">
        <f>IF(ISERROR(L662/H662), "", L662/H662)</f>
        <v/>
      </c>
    </row>
    <row r="663" spans="1:13" ht="25.5" x14ac:dyDescent="0.25">
      <c r="A663" s="100" t="str">
        <f t="shared" si="95"/>
        <v>GENERAL SERVICE LESS THAN 50 KW SERVICE CLASSIFICATION</v>
      </c>
      <c r="B663" s="105" t="s">
        <v>167</v>
      </c>
      <c r="C663" s="117">
        <f>B40</f>
        <v>11</v>
      </c>
      <c r="D663" s="147" t="s">
        <v>168</v>
      </c>
      <c r="E663" s="148"/>
      <c r="F663" s="149"/>
      <c r="G663" s="150"/>
      <c r="H663" s="151">
        <f>SUM(H654:H662)</f>
        <v>36.785720000000005</v>
      </c>
      <c r="I663" s="152"/>
      <c r="J663" s="153"/>
      <c r="K663" s="151">
        <f>SUM(K654:K662)</f>
        <v>41.205012791676978</v>
      </c>
      <c r="L663" s="138">
        <f t="shared" si="92"/>
        <v>4.4192927916769733</v>
      </c>
      <c r="M663" s="139">
        <f>IF((H663)=0,"",(L663/H663))</f>
        <v>0.12013609606328142</v>
      </c>
    </row>
    <row r="664" spans="1:13" x14ac:dyDescent="0.25">
      <c r="A664" s="100" t="str">
        <f t="shared" si="95"/>
        <v>GENERAL SERVICE LESS THAN 50 KW SERVICE CLASSIFICATION</v>
      </c>
      <c r="C664" s="117"/>
      <c r="D664" s="154" t="s">
        <v>169</v>
      </c>
      <c r="E664" s="119"/>
      <c r="F664" s="127">
        <v>6.0000000000000001E-3</v>
      </c>
      <c r="G664" s="141">
        <f>IF($E641&gt;0, $E641, $E640*$E642)</f>
        <v>528</v>
      </c>
      <c r="H664" s="122">
        <f>G664*F664</f>
        <v>3.1680000000000001</v>
      </c>
      <c r="I664" s="128">
        <v>5.7000000000000002E-3</v>
      </c>
      <c r="J664" s="141">
        <f>IF($E641&gt;0, $E641, $E640*$E643)</f>
        <v>528</v>
      </c>
      <c r="K664" s="122">
        <f>J664*I664</f>
        <v>3.0096000000000003</v>
      </c>
      <c r="L664" s="125">
        <f t="shared" si="92"/>
        <v>-0.15839999999999987</v>
      </c>
      <c r="M664" s="126">
        <f>IF(ISERROR(L664/H664), "", L664/H664)</f>
        <v>-4.9999999999999961E-2</v>
      </c>
    </row>
    <row r="665" spans="1:13" ht="25.5" x14ac:dyDescent="0.25">
      <c r="A665" s="100" t="str">
        <f t="shared" si="95"/>
        <v>GENERAL SERVICE LESS THAN 50 KW SERVICE CLASSIFICATION</v>
      </c>
      <c r="C665" s="117"/>
      <c r="D665" s="155" t="s">
        <v>170</v>
      </c>
      <c r="E665" s="119"/>
      <c r="F665" s="127">
        <v>5.3E-3</v>
      </c>
      <c r="G665" s="141">
        <f>IF($E641&gt;0, $E641, $E640*$E642)</f>
        <v>528</v>
      </c>
      <c r="H665" s="122">
        <f>G665*F665</f>
        <v>2.7984</v>
      </c>
      <c r="I665" s="128">
        <v>5.0000000000000001E-3</v>
      </c>
      <c r="J665" s="141">
        <f>IF($E641&gt;0, $E641, $E640*$E643)</f>
        <v>528</v>
      </c>
      <c r="K665" s="122">
        <f>J665*I665</f>
        <v>2.64</v>
      </c>
      <c r="L665" s="125">
        <f t="shared" si="92"/>
        <v>-0.15839999999999987</v>
      </c>
      <c r="M665" s="126">
        <f>IF(ISERROR(L665/H665), "", L665/H665)</f>
        <v>-5.6603773584905613E-2</v>
      </c>
    </row>
    <row r="666" spans="1:13" ht="25.5" x14ac:dyDescent="0.25">
      <c r="A666" s="100" t="str">
        <f t="shared" si="95"/>
        <v>GENERAL SERVICE LESS THAN 50 KW SERVICE CLASSIFICATION</v>
      </c>
      <c r="B666" s="105" t="s">
        <v>171</v>
      </c>
      <c r="C666" s="117">
        <f>B40</f>
        <v>11</v>
      </c>
      <c r="D666" s="147" t="s">
        <v>172</v>
      </c>
      <c r="E666" s="132"/>
      <c r="F666" s="149"/>
      <c r="G666" s="150"/>
      <c r="H666" s="151">
        <f>SUM(H663:H665)</f>
        <v>42.752120000000005</v>
      </c>
      <c r="I666" s="152"/>
      <c r="J666" s="137"/>
      <c r="K666" s="151">
        <f>SUM(K663:K665)</f>
        <v>46.854612791676978</v>
      </c>
      <c r="L666" s="138">
        <f t="shared" si="92"/>
        <v>4.1024927916769727</v>
      </c>
      <c r="M666" s="139">
        <f>IF((H666)=0,"",(L666/H666))</f>
        <v>9.5959984947576224E-2</v>
      </c>
    </row>
    <row r="667" spans="1:13" ht="25.5" x14ac:dyDescent="0.25">
      <c r="A667" s="100" t="str">
        <f t="shared" si="95"/>
        <v>GENERAL SERVICE LESS THAN 50 KW SERVICE CLASSIFICATION</v>
      </c>
      <c r="C667" s="117"/>
      <c r="D667" s="156" t="s">
        <v>173</v>
      </c>
      <c r="E667" s="119"/>
      <c r="F667" s="127">
        <v>3.6000000000000003E-3</v>
      </c>
      <c r="G667" s="141">
        <f>E640*E642</f>
        <v>528</v>
      </c>
      <c r="H667" s="157">
        <f t="shared" ref="H667:H673" si="97">G667*F667</f>
        <v>1.9008000000000003</v>
      </c>
      <c r="I667" s="128">
        <v>3.6000000000000003E-3</v>
      </c>
      <c r="J667" s="141">
        <f>E640*E643</f>
        <v>528</v>
      </c>
      <c r="K667" s="157">
        <f t="shared" ref="K667:K673" si="98">J667*I667</f>
        <v>1.9008000000000003</v>
      </c>
      <c r="L667" s="125">
        <f t="shared" si="92"/>
        <v>0</v>
      </c>
      <c r="M667" s="126">
        <f t="shared" ref="M667:M675" si="99">IF(ISERROR(L667/H667), "", L667/H667)</f>
        <v>0</v>
      </c>
    </row>
    <row r="668" spans="1:13" ht="25.5" x14ac:dyDescent="0.25">
      <c r="A668" s="100" t="str">
        <f t="shared" si="95"/>
        <v>GENERAL SERVICE LESS THAN 50 KW SERVICE CLASSIFICATION</v>
      </c>
      <c r="C668" s="117"/>
      <c r="D668" s="156" t="s">
        <v>174</v>
      </c>
      <c r="E668" s="119"/>
      <c r="F668" s="127">
        <f>'[1]17. Regulatory Charges'!$D$16</f>
        <v>2.9999999999999997E-4</v>
      </c>
      <c r="G668" s="141">
        <f>E640*E642</f>
        <v>528</v>
      </c>
      <c r="H668" s="157">
        <f t="shared" si="97"/>
        <v>0.15839999999999999</v>
      </c>
      <c r="I668" s="128">
        <v>2.9999999999999997E-4</v>
      </c>
      <c r="J668" s="141">
        <f>E640*E643</f>
        <v>528</v>
      </c>
      <c r="K668" s="157">
        <f t="shared" si="98"/>
        <v>0.15839999999999999</v>
      </c>
      <c r="L668" s="125">
        <f t="shared" si="92"/>
        <v>0</v>
      </c>
      <c r="M668" s="126">
        <f t="shared" si="99"/>
        <v>0</v>
      </c>
    </row>
    <row r="669" spans="1:13" x14ac:dyDescent="0.25">
      <c r="A669" s="100" t="str">
        <f t="shared" si="95"/>
        <v>GENERAL SERVICE LESS THAN 50 KW SERVICE CLASSIFICATION</v>
      </c>
      <c r="C669" s="117"/>
      <c r="D669" s="158" t="s">
        <v>175</v>
      </c>
      <c r="E669" s="119"/>
      <c r="F669" s="145">
        <v>0.25</v>
      </c>
      <c r="G669" s="121">
        <v>1</v>
      </c>
      <c r="H669" s="157">
        <f t="shared" si="97"/>
        <v>0.25</v>
      </c>
      <c r="I669" s="146">
        <f>'[1]17. Regulatory Charges'!$D$17</f>
        <v>0.25</v>
      </c>
      <c r="J669" s="124">
        <v>1</v>
      </c>
      <c r="K669" s="157">
        <f t="shared" si="98"/>
        <v>0.25</v>
      </c>
      <c r="L669" s="125">
        <f t="shared" si="92"/>
        <v>0</v>
      </c>
      <c r="M669" s="126">
        <f t="shared" si="99"/>
        <v>0</v>
      </c>
    </row>
    <row r="670" spans="1:13" ht="25.5" x14ac:dyDescent="0.25">
      <c r="A670" s="100" t="str">
        <f t="shared" si="95"/>
        <v>GENERAL SERVICE LESS THAN 50 KW SERVICE CLASSIFICATION</v>
      </c>
      <c r="C670" s="117"/>
      <c r="D670" s="156" t="s">
        <v>176</v>
      </c>
      <c r="E670" s="119"/>
      <c r="F670" s="127"/>
      <c r="G670" s="141"/>
      <c r="H670" s="157"/>
      <c r="I670" s="128"/>
      <c r="J670" s="141"/>
      <c r="K670" s="157"/>
      <c r="L670" s="125"/>
      <c r="M670" s="126"/>
    </row>
    <row r="671" spans="1:13" x14ac:dyDescent="0.25">
      <c r="A671" s="100" t="str">
        <f t="shared" si="95"/>
        <v>GENERAL SERVICE LESS THAN 50 KW SERVICE CLASSIFICATION</v>
      </c>
      <c r="B671" s="105" t="s">
        <v>117</v>
      </c>
      <c r="C671" s="117"/>
      <c r="D671" s="159" t="s">
        <v>177</v>
      </c>
      <c r="E671" s="119"/>
      <c r="F671" s="160">
        <f>OffPeak</f>
        <v>6.5000000000000002E-2</v>
      </c>
      <c r="G671" s="161">
        <f>IF(AND(E640*12&gt;=150000),0.65*E640*E642,0.65*E640)</f>
        <v>325</v>
      </c>
      <c r="H671" s="157">
        <f t="shared" si="97"/>
        <v>21.125</v>
      </c>
      <c r="I671" s="162">
        <f>OffPeak</f>
        <v>6.5000000000000002E-2</v>
      </c>
      <c r="J671" s="161">
        <f>IF(AND(E640*12&gt;=150000),0.65*E640*E643,0.65*E640)</f>
        <v>325</v>
      </c>
      <c r="K671" s="157">
        <f t="shared" si="98"/>
        <v>21.125</v>
      </c>
      <c r="L671" s="125">
        <f>K671-H671</f>
        <v>0</v>
      </c>
      <c r="M671" s="126">
        <f t="shared" si="99"/>
        <v>0</v>
      </c>
    </row>
    <row r="672" spans="1:13" x14ac:dyDescent="0.25">
      <c r="A672" s="100" t="str">
        <f t="shared" si="95"/>
        <v>GENERAL SERVICE LESS THAN 50 KW SERVICE CLASSIFICATION</v>
      </c>
      <c r="B672" s="105" t="s">
        <v>117</v>
      </c>
      <c r="C672" s="117"/>
      <c r="D672" s="159" t="s">
        <v>178</v>
      </c>
      <c r="E672" s="119"/>
      <c r="F672" s="160">
        <f>MidPeak</f>
        <v>9.4E-2</v>
      </c>
      <c r="G672" s="161">
        <f>IF(AND(E640*12&gt;=150000),0.17*E640*E642,0.17*E640)</f>
        <v>85</v>
      </c>
      <c r="H672" s="157">
        <f t="shared" si="97"/>
        <v>7.99</v>
      </c>
      <c r="I672" s="162">
        <f>MidPeak</f>
        <v>9.4E-2</v>
      </c>
      <c r="J672" s="161">
        <f>IF(AND(E640*12&gt;=150000),0.17*E640*E643,0.17*E640)</f>
        <v>85</v>
      </c>
      <c r="K672" s="157">
        <f t="shared" si="98"/>
        <v>7.99</v>
      </c>
      <c r="L672" s="125">
        <f>K672-H672</f>
        <v>0</v>
      </c>
      <c r="M672" s="126">
        <f t="shared" si="99"/>
        <v>0</v>
      </c>
    </row>
    <row r="673" spans="1:13" ht="15.75" thickBot="1" x14ac:dyDescent="0.3">
      <c r="A673" s="100" t="str">
        <f t="shared" si="95"/>
        <v>GENERAL SERVICE LESS THAN 50 KW SERVICE CLASSIFICATION</v>
      </c>
      <c r="B673" s="105" t="s">
        <v>117</v>
      </c>
      <c r="C673" s="117"/>
      <c r="D673" s="105" t="s">
        <v>179</v>
      </c>
      <c r="E673" s="119"/>
      <c r="F673" s="160">
        <f>OnPeak</f>
        <v>0.13200000000000001</v>
      </c>
      <c r="G673" s="161">
        <f>IF(AND(E640*12&gt;=150000),0.18*E640*E642,0.18*E640)</f>
        <v>90</v>
      </c>
      <c r="H673" s="157">
        <f t="shared" si="97"/>
        <v>11.88</v>
      </c>
      <c r="I673" s="162">
        <f>OnPeak</f>
        <v>0.13200000000000001</v>
      </c>
      <c r="J673" s="161">
        <f>IF(AND(E640*12&gt;=150000),0.18*E640*E643,0.18*E640)</f>
        <v>90</v>
      </c>
      <c r="K673" s="157">
        <f t="shared" si="98"/>
        <v>11.88</v>
      </c>
      <c r="L673" s="125">
        <f>K673-H673</f>
        <v>0</v>
      </c>
      <c r="M673" s="126">
        <f t="shared" si="99"/>
        <v>0</v>
      </c>
    </row>
    <row r="674" spans="1:13" hidden="1" x14ac:dyDescent="0.25">
      <c r="A674" s="100" t="str">
        <f t="shared" si="95"/>
        <v>GENERAL SERVICE LESS THAN 50 KW SERVICE CLASSIFICATION</v>
      </c>
      <c r="B674" s="100" t="s">
        <v>180</v>
      </c>
      <c r="C674" s="117"/>
      <c r="D674" s="159" t="s">
        <v>181</v>
      </c>
      <c r="E674" s="119"/>
      <c r="F674" s="163">
        <v>0.1101</v>
      </c>
      <c r="G674" s="161">
        <f>IF(AND(E640*12&gt;=150000),E640*E642,E640)</f>
        <v>500</v>
      </c>
      <c r="H674" s="157">
        <f>G674*F674</f>
        <v>55.050000000000004</v>
      </c>
      <c r="I674" s="164">
        <f>F674</f>
        <v>0.1101</v>
      </c>
      <c r="J674" s="161">
        <f>IF(AND(E640*12&gt;=150000),E640*E643,E640)</f>
        <v>500</v>
      </c>
      <c r="K674" s="157">
        <f>J674*I674</f>
        <v>55.050000000000004</v>
      </c>
      <c r="L674" s="125">
        <f>K674-H674</f>
        <v>0</v>
      </c>
      <c r="M674" s="126">
        <f t="shared" si="99"/>
        <v>0</v>
      </c>
    </row>
    <row r="675" spans="1:13" ht="15.75" hidden="1" thickBot="1" x14ac:dyDescent="0.3">
      <c r="A675" s="100" t="str">
        <f t="shared" si="95"/>
        <v>GENERAL SERVICE LESS THAN 50 KW SERVICE CLASSIFICATION</v>
      </c>
      <c r="B675" s="100" t="s">
        <v>121</v>
      </c>
      <c r="C675" s="117"/>
      <c r="D675" s="159" t="s">
        <v>182</v>
      </c>
      <c r="E675" s="119"/>
      <c r="F675" s="163">
        <v>0.1101</v>
      </c>
      <c r="G675" s="161">
        <f>IF(AND(E640*12&gt;=150000),E640*E642,E640)</f>
        <v>500</v>
      </c>
      <c r="H675" s="157">
        <f>G675*F675</f>
        <v>55.050000000000004</v>
      </c>
      <c r="I675" s="164">
        <f>F675</f>
        <v>0.1101</v>
      </c>
      <c r="J675" s="161">
        <f>IF(AND(E640*12&gt;=150000),E640*E643,E640)</f>
        <v>500</v>
      </c>
      <c r="K675" s="157">
        <f>J675*I675</f>
        <v>55.050000000000004</v>
      </c>
      <c r="L675" s="125">
        <f>K675-H675</f>
        <v>0</v>
      </c>
      <c r="M675" s="126">
        <f t="shared" si="99"/>
        <v>0</v>
      </c>
    </row>
    <row r="676" spans="1:13" ht="15.75" thickBot="1" x14ac:dyDescent="0.3">
      <c r="A676" s="100" t="str">
        <f t="shared" si="95"/>
        <v>GENERAL SERVICE LESS THAN 50 KW SERVICE CLASSIFICATION</v>
      </c>
      <c r="B676" s="105"/>
      <c r="C676" s="117"/>
      <c r="D676" s="165"/>
      <c r="E676" s="166"/>
      <c r="F676" s="167"/>
      <c r="G676" s="168"/>
      <c r="H676" s="169"/>
      <c r="I676" s="167"/>
      <c r="J676" s="170"/>
      <c r="K676" s="169"/>
      <c r="L676" s="171"/>
      <c r="M676" s="172"/>
    </row>
    <row r="677" spans="1:13" x14ac:dyDescent="0.25">
      <c r="A677" s="100" t="str">
        <f t="shared" si="95"/>
        <v>GENERAL SERVICE LESS THAN 50 KW SERVICE CLASSIFICATION</v>
      </c>
      <c r="B677" s="105" t="s">
        <v>117</v>
      </c>
      <c r="C677" s="117"/>
      <c r="D677" s="173" t="s">
        <v>183</v>
      </c>
      <c r="E677" s="158"/>
      <c r="F677" s="174"/>
      <c r="G677" s="175"/>
      <c r="H677" s="176">
        <f>SUM(H667:H673,H666)</f>
        <v>86.056319999999999</v>
      </c>
      <c r="I677" s="177"/>
      <c r="J677" s="177"/>
      <c r="K677" s="176">
        <f>SUM(K667:K673,K666)</f>
        <v>90.158812791676979</v>
      </c>
      <c r="L677" s="178">
        <f>K677-H677</f>
        <v>4.1024927916769798</v>
      </c>
      <c r="M677" s="179">
        <f>IF((H677)=0,"",(L677/H677))</f>
        <v>4.7672184816605914E-2</v>
      </c>
    </row>
    <row r="678" spans="1:13" x14ac:dyDescent="0.25">
      <c r="A678" s="100" t="str">
        <f t="shared" si="95"/>
        <v>GENERAL SERVICE LESS THAN 50 KW SERVICE CLASSIFICATION</v>
      </c>
      <c r="B678" s="105" t="s">
        <v>117</v>
      </c>
      <c r="C678" s="117"/>
      <c r="D678" s="180" t="s">
        <v>184</v>
      </c>
      <c r="E678" s="158"/>
      <c r="F678" s="174">
        <v>0.13</v>
      </c>
      <c r="G678" s="181"/>
      <c r="H678" s="182">
        <f>H677*F678</f>
        <v>11.187321600000001</v>
      </c>
      <c r="I678" s="183">
        <v>0.13</v>
      </c>
      <c r="J678" s="121"/>
      <c r="K678" s="182">
        <f>K677*I678</f>
        <v>11.720645662918008</v>
      </c>
      <c r="L678" s="184">
        <f>K678-H678</f>
        <v>0.53332406291800716</v>
      </c>
      <c r="M678" s="185">
        <f>IF((H678)=0,"",(L678/H678))</f>
        <v>4.7672184816605893E-2</v>
      </c>
    </row>
    <row r="679" spans="1:13" x14ac:dyDescent="0.25">
      <c r="A679" s="100" t="str">
        <f t="shared" si="95"/>
        <v>GENERAL SERVICE LESS THAN 50 KW SERVICE CLASSIFICATION</v>
      </c>
      <c r="B679" s="105" t="s">
        <v>117</v>
      </c>
      <c r="C679" s="117"/>
      <c r="D679" s="180" t="s">
        <v>185</v>
      </c>
      <c r="E679" s="158"/>
      <c r="F679" s="174">
        <v>0.08</v>
      </c>
      <c r="G679" s="181"/>
      <c r="H679" s="182">
        <f>H677*-F679</f>
        <v>-6.8845055999999998</v>
      </c>
      <c r="I679" s="174">
        <v>0.08</v>
      </c>
      <c r="J679" s="121"/>
      <c r="K679" s="182">
        <f>K677*-I679</f>
        <v>-7.2127050233341583</v>
      </c>
      <c r="L679" s="184">
        <f>K679-H679</f>
        <v>-0.32819942333415852</v>
      </c>
      <c r="M679" s="185"/>
    </row>
    <row r="680" spans="1:13" ht="15.75" thickBot="1" x14ac:dyDescent="0.3">
      <c r="A680" s="100" t="str">
        <f t="shared" si="95"/>
        <v>GENERAL SERVICE LESS THAN 50 KW SERVICE CLASSIFICATION</v>
      </c>
      <c r="B680" s="105" t="s">
        <v>186</v>
      </c>
      <c r="C680" s="117">
        <f>B40</f>
        <v>11</v>
      </c>
      <c r="D680" s="301" t="s">
        <v>187</v>
      </c>
      <c r="E680" s="301"/>
      <c r="F680" s="186"/>
      <c r="G680" s="187"/>
      <c r="H680" s="188">
        <f>H677+H678+H679</f>
        <v>90.359136000000007</v>
      </c>
      <c r="I680" s="189"/>
      <c r="J680" s="189"/>
      <c r="K680" s="190">
        <f>K677+K678+K679</f>
        <v>94.66675343126083</v>
      </c>
      <c r="L680" s="191">
        <f>K680-H680</f>
        <v>4.3076174312608231</v>
      </c>
      <c r="M680" s="192">
        <f>IF((H680)=0,"",(L680/H680))</f>
        <v>4.7672184816605845E-2</v>
      </c>
    </row>
    <row r="681" spans="1:13" ht="15.75" hidden="1" thickBot="1" x14ac:dyDescent="0.3">
      <c r="A681" s="100" t="str">
        <f t="shared" si="95"/>
        <v>GENERAL SERVICE LESS THAN 50 KW SERVICE CLASSIFICATION</v>
      </c>
      <c r="B681" s="100" t="s">
        <v>117</v>
      </c>
      <c r="C681" s="117"/>
      <c r="D681" s="165"/>
      <c r="E681" s="166"/>
      <c r="F681" s="167"/>
      <c r="G681" s="168"/>
      <c r="H681" s="169"/>
      <c r="I681" s="167"/>
      <c r="J681" s="170"/>
      <c r="K681" s="169"/>
      <c r="L681" s="171"/>
      <c r="M681" s="172"/>
    </row>
    <row r="682" spans="1:13" hidden="1" x14ac:dyDescent="0.25">
      <c r="A682" s="100" t="str">
        <f t="shared" si="95"/>
        <v>GENERAL SERVICE LESS THAN 50 KW SERVICE CLASSIFICATION</v>
      </c>
      <c r="B682" s="100" t="s">
        <v>180</v>
      </c>
      <c r="C682" s="117"/>
      <c r="D682" s="173" t="s">
        <v>188</v>
      </c>
      <c r="E682" s="158"/>
      <c r="F682" s="174"/>
      <c r="G682" s="175"/>
      <c r="H682" s="176">
        <f>SUM(H674,H667:H670,H666)</f>
        <v>100.11132000000001</v>
      </c>
      <c r="I682" s="177"/>
      <c r="J682" s="177"/>
      <c r="K682" s="176">
        <f>SUM(K674,K667:K670,K666)</f>
        <v>104.21381279167699</v>
      </c>
      <c r="L682" s="178">
        <f>K682-H682</f>
        <v>4.1024927916769798</v>
      </c>
      <c r="M682" s="179">
        <f>IF((H682)=0,"",(L682/H682))</f>
        <v>4.0979309749157034E-2</v>
      </c>
    </row>
    <row r="683" spans="1:13" hidden="1" x14ac:dyDescent="0.25">
      <c r="A683" s="100" t="str">
        <f t="shared" si="95"/>
        <v>GENERAL SERVICE LESS THAN 50 KW SERVICE CLASSIFICATION</v>
      </c>
      <c r="B683" s="100" t="s">
        <v>180</v>
      </c>
      <c r="C683" s="117"/>
      <c r="D683" s="180" t="s">
        <v>184</v>
      </c>
      <c r="E683" s="158"/>
      <c r="F683" s="174">
        <v>0.13</v>
      </c>
      <c r="G683" s="175"/>
      <c r="H683" s="182">
        <f>H682*F683</f>
        <v>13.014471600000002</v>
      </c>
      <c r="I683" s="174">
        <v>0.13</v>
      </c>
      <c r="J683" s="183"/>
      <c r="K683" s="182">
        <f>K682*I683</f>
        <v>13.547795662918009</v>
      </c>
      <c r="L683" s="184">
        <f>K683-H683</f>
        <v>0.53332406291800716</v>
      </c>
      <c r="M683" s="185">
        <f>IF((H683)=0,"",(L683/H683))</f>
        <v>4.0979309749157013E-2</v>
      </c>
    </row>
    <row r="684" spans="1:13" hidden="1" x14ac:dyDescent="0.25">
      <c r="A684" s="100" t="str">
        <f t="shared" si="95"/>
        <v>GENERAL SERVICE LESS THAN 50 KW SERVICE CLASSIFICATION</v>
      </c>
      <c r="B684" s="100" t="s">
        <v>180</v>
      </c>
      <c r="C684" s="117"/>
      <c r="D684" s="180" t="s">
        <v>185</v>
      </c>
      <c r="E684" s="158"/>
      <c r="F684" s="174">
        <v>0.08</v>
      </c>
      <c r="G684" s="175"/>
      <c r="H684" s="182"/>
      <c r="I684" s="174">
        <v>0.08</v>
      </c>
      <c r="J684" s="183"/>
      <c r="K684" s="182"/>
      <c r="L684" s="184"/>
      <c r="M684" s="185"/>
    </row>
    <row r="685" spans="1:13" ht="15.75" hidden="1" thickBot="1" x14ac:dyDescent="0.3">
      <c r="A685" s="100" t="str">
        <f t="shared" si="95"/>
        <v>GENERAL SERVICE LESS THAN 50 KW SERVICE CLASSIFICATION</v>
      </c>
      <c r="B685" s="100" t="s">
        <v>189</v>
      </c>
      <c r="C685" s="117"/>
      <c r="D685" s="301" t="s">
        <v>188</v>
      </c>
      <c r="E685" s="301"/>
      <c r="F685" s="193"/>
      <c r="G685" s="194"/>
      <c r="H685" s="188">
        <f>SUM(H682,H683)</f>
        <v>113.12579160000001</v>
      </c>
      <c r="I685" s="195"/>
      <c r="J685" s="195"/>
      <c r="K685" s="188">
        <f>SUM(K682,K683)</f>
        <v>117.76160845459499</v>
      </c>
      <c r="L685" s="196">
        <f>K685-H685</f>
        <v>4.6358168545949781</v>
      </c>
      <c r="M685" s="197">
        <f>IF((H685)=0,"",(L685/H685))</f>
        <v>4.097930974915695E-2</v>
      </c>
    </row>
    <row r="686" spans="1:13" ht="15.75" hidden="1" thickBot="1" x14ac:dyDescent="0.3">
      <c r="A686" s="100" t="str">
        <f t="shared" si="95"/>
        <v>GENERAL SERVICE LESS THAN 50 KW SERVICE CLASSIFICATION</v>
      </c>
      <c r="B686" s="100" t="s">
        <v>180</v>
      </c>
      <c r="C686" s="117"/>
      <c r="D686" s="165"/>
      <c r="E686" s="166"/>
      <c r="F686" s="198"/>
      <c r="G686" s="199"/>
      <c r="H686" s="200"/>
      <c r="I686" s="198"/>
      <c r="J686" s="168"/>
      <c r="K686" s="200"/>
      <c r="L686" s="201"/>
      <c r="M686" s="172"/>
    </row>
    <row r="687" spans="1:13" hidden="1" x14ac:dyDescent="0.25">
      <c r="A687" s="100" t="str">
        <f t="shared" si="95"/>
        <v>GENERAL SERVICE LESS THAN 50 KW SERVICE CLASSIFICATION</v>
      </c>
      <c r="B687" s="100" t="s">
        <v>121</v>
      </c>
      <c r="C687" s="117"/>
      <c r="D687" s="173" t="s">
        <v>190</v>
      </c>
      <c r="E687" s="158"/>
      <c r="F687" s="174"/>
      <c r="G687" s="175"/>
      <c r="H687" s="176">
        <f>SUM(H675,H667:H670,H666)</f>
        <v>100.11132000000001</v>
      </c>
      <c r="I687" s="177"/>
      <c r="J687" s="177"/>
      <c r="K687" s="176">
        <f>SUM(K675,K667:K670,K666)</f>
        <v>104.21381279167699</v>
      </c>
      <c r="L687" s="178">
        <f>K687-H687</f>
        <v>4.1024927916769798</v>
      </c>
      <c r="M687" s="179">
        <f>IF((H687)=0,"",(L687/H687))</f>
        <v>4.0979309749157034E-2</v>
      </c>
    </row>
    <row r="688" spans="1:13" hidden="1" x14ac:dyDescent="0.25">
      <c r="A688" s="100" t="str">
        <f t="shared" si="95"/>
        <v>GENERAL SERVICE LESS THAN 50 KW SERVICE CLASSIFICATION</v>
      </c>
      <c r="B688" s="100" t="s">
        <v>121</v>
      </c>
      <c r="C688" s="117"/>
      <c r="D688" s="180" t="s">
        <v>184</v>
      </c>
      <c r="E688" s="158"/>
      <c r="F688" s="174">
        <v>0.13</v>
      </c>
      <c r="G688" s="175"/>
      <c r="H688" s="182">
        <f>H687*F688</f>
        <v>13.014471600000002</v>
      </c>
      <c r="I688" s="174">
        <v>0.13</v>
      </c>
      <c r="J688" s="183"/>
      <c r="K688" s="182">
        <f>K687*I688</f>
        <v>13.547795662918009</v>
      </c>
      <c r="L688" s="184">
        <f>K688-H688</f>
        <v>0.53332406291800716</v>
      </c>
      <c r="M688" s="185">
        <f>IF((H688)=0,"",(L688/H688))</f>
        <v>4.0979309749157013E-2</v>
      </c>
    </row>
    <row r="689" spans="1:13" hidden="1" x14ac:dyDescent="0.25">
      <c r="A689" s="100" t="str">
        <f t="shared" si="95"/>
        <v>GENERAL SERVICE LESS THAN 50 KW SERVICE CLASSIFICATION</v>
      </c>
      <c r="B689" s="100" t="s">
        <v>121</v>
      </c>
      <c r="C689" s="117"/>
      <c r="D689" s="180" t="s">
        <v>185</v>
      </c>
      <c r="E689" s="158"/>
      <c r="F689" s="174">
        <v>0.08</v>
      </c>
      <c r="G689" s="175"/>
      <c r="H689" s="182"/>
      <c r="I689" s="174">
        <v>0.08</v>
      </c>
      <c r="J689" s="183"/>
      <c r="K689" s="182"/>
      <c r="L689" s="184"/>
      <c r="M689" s="185"/>
    </row>
    <row r="690" spans="1:13" ht="15.75" hidden="1" thickBot="1" x14ac:dyDescent="0.3">
      <c r="A690" s="100" t="str">
        <f t="shared" si="95"/>
        <v>GENERAL SERVICE LESS THAN 50 KW SERVICE CLASSIFICATION</v>
      </c>
      <c r="B690" s="100" t="s">
        <v>191</v>
      </c>
      <c r="C690" s="117"/>
      <c r="D690" s="301" t="s">
        <v>190</v>
      </c>
      <c r="E690" s="301"/>
      <c r="F690" s="193"/>
      <c r="G690" s="194"/>
      <c r="H690" s="188">
        <f>SUM(H687,H688)</f>
        <v>113.12579160000001</v>
      </c>
      <c r="I690" s="195"/>
      <c r="J690" s="195"/>
      <c r="K690" s="188">
        <f>SUM(K687,K688)</f>
        <v>117.76160845459499</v>
      </c>
      <c r="L690" s="196">
        <f>K690-H690</f>
        <v>4.6358168545949781</v>
      </c>
      <c r="M690" s="197">
        <f>IF((H690)=0,"",(L690/H690))</f>
        <v>4.097930974915695E-2</v>
      </c>
    </row>
    <row r="691" spans="1:13" ht="15.75" thickBot="1" x14ac:dyDescent="0.3">
      <c r="A691" s="100" t="str">
        <f t="shared" si="95"/>
        <v>GENERAL SERVICE LESS THAN 50 KW SERVICE CLASSIFICATION</v>
      </c>
      <c r="B691" s="100" t="s">
        <v>121</v>
      </c>
      <c r="C691" s="117"/>
      <c r="D691" s="165"/>
      <c r="E691" s="166"/>
      <c r="F691" s="202"/>
      <c r="G691" s="203"/>
      <c r="H691" s="204"/>
      <c r="I691" s="202"/>
      <c r="J691" s="205"/>
      <c r="K691" s="204"/>
      <c r="L691" s="206"/>
      <c r="M691" s="207"/>
    </row>
    <row r="694" spans="1:13" x14ac:dyDescent="0.25">
      <c r="C694" s="100"/>
      <c r="D694" s="101" t="s">
        <v>134</v>
      </c>
      <c r="E694" s="302" t="str">
        <f>D41</f>
        <v>GENERAL SERVICE LESS THAN 50 KW SERVICE CLASSIFICATION</v>
      </c>
      <c r="F694" s="302"/>
      <c r="G694" s="302"/>
      <c r="H694" s="302"/>
      <c r="I694" s="302"/>
      <c r="J694" s="302"/>
      <c r="K694" s="100" t="str">
        <f>IF(N41="DEMAND - INTERVAL","RTSR - INTERVAL METERED","")</f>
        <v/>
      </c>
    </row>
    <row r="695" spans="1:13" x14ac:dyDescent="0.25">
      <c r="C695" s="100"/>
      <c r="D695" s="101" t="s">
        <v>135</v>
      </c>
      <c r="E695" s="303" t="str">
        <f>H41</f>
        <v>RPP</v>
      </c>
      <c r="F695" s="303"/>
      <c r="G695" s="303"/>
      <c r="H695" s="102"/>
      <c r="I695" s="102"/>
    </row>
    <row r="696" spans="1:13" ht="15.75" x14ac:dyDescent="0.25">
      <c r="C696" s="100"/>
      <c r="D696" s="101" t="s">
        <v>136</v>
      </c>
      <c r="E696" s="103">
        <f>K41</f>
        <v>5000</v>
      </c>
      <c r="F696" s="104" t="s">
        <v>137</v>
      </c>
      <c r="G696" s="105"/>
      <c r="J696" s="106"/>
      <c r="K696" s="106"/>
      <c r="L696" s="106"/>
      <c r="M696" s="106"/>
    </row>
    <row r="697" spans="1:13" ht="15.75" x14ac:dyDescent="0.25">
      <c r="C697" s="100"/>
      <c r="D697" s="101" t="s">
        <v>138</v>
      </c>
      <c r="E697" s="103">
        <f>L41</f>
        <v>0</v>
      </c>
      <c r="F697" s="107" t="s">
        <v>139</v>
      </c>
      <c r="G697" s="108"/>
      <c r="H697" s="109"/>
      <c r="I697" s="109"/>
      <c r="J697" s="109"/>
    </row>
    <row r="698" spans="1:13" x14ac:dyDescent="0.25">
      <c r="C698" s="100"/>
      <c r="D698" s="101" t="s">
        <v>140</v>
      </c>
      <c r="E698" s="110">
        <f>I41</f>
        <v>1.056</v>
      </c>
    </row>
    <row r="699" spans="1:13" x14ac:dyDescent="0.25">
      <c r="C699" s="100"/>
      <c r="D699" s="101" t="s">
        <v>141</v>
      </c>
      <c r="E699" s="110">
        <f>J41</f>
        <v>1.056</v>
      </c>
    </row>
    <row r="700" spans="1:13" x14ac:dyDescent="0.25">
      <c r="C700" s="100"/>
      <c r="D700" s="105"/>
    </row>
    <row r="701" spans="1:13" x14ac:dyDescent="0.25">
      <c r="C701" s="100"/>
      <c r="D701" s="105"/>
      <c r="E701" s="111"/>
      <c r="F701" s="304" t="s">
        <v>142</v>
      </c>
      <c r="G701" s="305"/>
      <c r="H701" s="306"/>
      <c r="I701" s="304" t="s">
        <v>143</v>
      </c>
      <c r="J701" s="305"/>
      <c r="K701" s="306"/>
      <c r="L701" s="304" t="s">
        <v>144</v>
      </c>
      <c r="M701" s="306"/>
    </row>
    <row r="702" spans="1:13" x14ac:dyDescent="0.25">
      <c r="C702" s="100"/>
      <c r="D702" s="105"/>
      <c r="E702" s="295"/>
      <c r="F702" s="112" t="s">
        <v>145</v>
      </c>
      <c r="G702" s="112" t="s">
        <v>146</v>
      </c>
      <c r="H702" s="113" t="s">
        <v>147</v>
      </c>
      <c r="I702" s="112" t="s">
        <v>145</v>
      </c>
      <c r="J702" s="114" t="s">
        <v>146</v>
      </c>
      <c r="K702" s="113" t="s">
        <v>147</v>
      </c>
      <c r="L702" s="297" t="s">
        <v>148</v>
      </c>
      <c r="M702" s="299" t="s">
        <v>149</v>
      </c>
    </row>
    <row r="703" spans="1:13" x14ac:dyDescent="0.25">
      <c r="C703" s="100"/>
      <c r="D703" s="105"/>
      <c r="E703" s="296"/>
      <c r="F703" s="115" t="s">
        <v>150</v>
      </c>
      <c r="G703" s="115"/>
      <c r="H703" s="116" t="s">
        <v>150</v>
      </c>
      <c r="I703" s="115" t="s">
        <v>150</v>
      </c>
      <c r="J703" s="116"/>
      <c r="K703" s="116" t="s">
        <v>150</v>
      </c>
      <c r="L703" s="298"/>
      <c r="M703" s="300"/>
    </row>
    <row r="704" spans="1:13" x14ac:dyDescent="0.25">
      <c r="A704" s="100" t="str">
        <f>$E694</f>
        <v>GENERAL SERVICE LESS THAN 50 KW SERVICE CLASSIFICATION</v>
      </c>
      <c r="C704" s="117"/>
      <c r="D704" s="118" t="s">
        <v>151</v>
      </c>
      <c r="E704" s="119"/>
      <c r="F704" s="120">
        <v>28.37</v>
      </c>
      <c r="G704" s="121">
        <v>1</v>
      </c>
      <c r="H704" s="122">
        <f>G704*F704</f>
        <v>28.37</v>
      </c>
      <c r="I704" s="123">
        <v>28.71</v>
      </c>
      <c r="J704" s="124">
        <f>G704</f>
        <v>1</v>
      </c>
      <c r="K704" s="122">
        <f>J704*I704</f>
        <v>28.71</v>
      </c>
      <c r="L704" s="125">
        <f t="shared" ref="L704:L725" si="100">K704-H704</f>
        <v>0.33999999999999986</v>
      </c>
      <c r="M704" s="126">
        <f>IF(ISERROR(L704/H704), "", L704/H704)</f>
        <v>1.198449065914698E-2</v>
      </c>
    </row>
    <row r="705" spans="1:13" x14ac:dyDescent="0.25">
      <c r="A705" s="100" t="str">
        <f>A704</f>
        <v>GENERAL SERVICE LESS THAN 50 KW SERVICE CLASSIFICATION</v>
      </c>
      <c r="C705" s="117"/>
      <c r="D705" s="118" t="s">
        <v>152</v>
      </c>
      <c r="E705" s="119"/>
      <c r="F705" s="127">
        <v>1.0200000000000001E-2</v>
      </c>
      <c r="G705" s="121">
        <f>IF($E697&gt;0, $E697, $E696)</f>
        <v>5000</v>
      </c>
      <c r="H705" s="122">
        <f t="shared" ref="H705:H717" si="101">G705*F705</f>
        <v>51.000000000000007</v>
      </c>
      <c r="I705" s="128">
        <v>1.03E-2</v>
      </c>
      <c r="J705" s="124">
        <f>IF($E697&gt;0, $E697, $E696)</f>
        <v>5000</v>
      </c>
      <c r="K705" s="122">
        <f>J705*I705</f>
        <v>51.5</v>
      </c>
      <c r="L705" s="125">
        <f t="shared" si="100"/>
        <v>0.49999999999999289</v>
      </c>
      <c r="M705" s="126">
        <f t="shared" ref="M705:M715" si="102">IF(ISERROR(L705/H705), "", L705/H705)</f>
        <v>9.8039215686273103E-3</v>
      </c>
    </row>
    <row r="706" spans="1:13" x14ac:dyDescent="0.25">
      <c r="A706" s="100" t="str">
        <f t="shared" ref="A706:A747" si="103">A705</f>
        <v>GENERAL SERVICE LESS THAN 50 KW SERVICE CLASSIFICATION</v>
      </c>
      <c r="C706" s="117"/>
      <c r="D706" s="118" t="s">
        <v>153</v>
      </c>
      <c r="E706" s="119"/>
      <c r="F706" s="127"/>
      <c r="G706" s="121">
        <f>IF($E697&gt;0, $E697, $E696)</f>
        <v>5000</v>
      </c>
      <c r="H706" s="122">
        <v>0</v>
      </c>
      <c r="I706" s="128"/>
      <c r="J706" s="124">
        <f>IF($E697&gt;0, $E697, $E696)</f>
        <v>5000</v>
      </c>
      <c r="K706" s="122">
        <v>0</v>
      </c>
      <c r="L706" s="125"/>
      <c r="M706" s="126"/>
    </row>
    <row r="707" spans="1:13" x14ac:dyDescent="0.25">
      <c r="A707" s="100" t="str">
        <f t="shared" si="103"/>
        <v>GENERAL SERVICE LESS THAN 50 KW SERVICE CLASSIFICATION</v>
      </c>
      <c r="C707" s="117"/>
      <c r="D707" s="118" t="s">
        <v>154</v>
      </c>
      <c r="E707" s="119"/>
      <c r="F707" s="127"/>
      <c r="G707" s="121">
        <f>IF($E697&gt;0, $E697, $E696)</f>
        <v>5000</v>
      </c>
      <c r="H707" s="122">
        <v>0</v>
      </c>
      <c r="I707" s="128"/>
      <c r="J707" s="121">
        <f>IF($E697&gt;0, $E697, $E696)</f>
        <v>5000</v>
      </c>
      <c r="K707" s="122">
        <v>0</v>
      </c>
      <c r="L707" s="125">
        <f>K707-H707</f>
        <v>0</v>
      </c>
      <c r="M707" s="126" t="str">
        <f>IF(ISERROR(L707/H707), "", L707/H707)</f>
        <v/>
      </c>
    </row>
    <row r="708" spans="1:13" x14ac:dyDescent="0.25">
      <c r="A708" s="100" t="str">
        <f t="shared" si="103"/>
        <v>GENERAL SERVICE LESS THAN 50 KW SERVICE CLASSIFICATION</v>
      </c>
      <c r="C708" s="117"/>
      <c r="D708" s="129" t="s">
        <v>155</v>
      </c>
      <c r="E708" s="119"/>
      <c r="F708" s="120">
        <v>0</v>
      </c>
      <c r="G708" s="121">
        <v>1</v>
      </c>
      <c r="H708" s="122">
        <f t="shared" si="101"/>
        <v>0</v>
      </c>
      <c r="I708" s="226">
        <f>'Rate Riders'!O9</f>
        <v>5.0258152524611814</v>
      </c>
      <c r="J708" s="124">
        <f>G708</f>
        <v>1</v>
      </c>
      <c r="K708" s="122">
        <f t="shared" ref="K708:K715" si="104">J708*I708</f>
        <v>5.0258152524611814</v>
      </c>
      <c r="L708" s="125">
        <f t="shared" si="100"/>
        <v>5.0258152524611814</v>
      </c>
      <c r="M708" s="126" t="str">
        <f t="shared" si="102"/>
        <v/>
      </c>
    </row>
    <row r="709" spans="1:13" x14ac:dyDescent="0.25">
      <c r="A709" s="100" t="str">
        <f t="shared" si="103"/>
        <v>GENERAL SERVICE LESS THAN 50 KW SERVICE CLASSIFICATION</v>
      </c>
      <c r="C709" s="117"/>
      <c r="D709" s="118" t="s">
        <v>156</v>
      </c>
      <c r="E709" s="119"/>
      <c r="F709" s="127">
        <v>0</v>
      </c>
      <c r="G709" s="121">
        <f>IF($E697&gt;0, $E697, $E696)</f>
        <v>5000</v>
      </c>
      <c r="H709" s="122">
        <f t="shared" si="101"/>
        <v>0</v>
      </c>
      <c r="I709" s="227">
        <f>'Rate Riders'!P9</f>
        <v>1.8069550784315846E-3</v>
      </c>
      <c r="J709" s="124">
        <f>IF($E697&gt;0, $E697, $E696)</f>
        <v>5000</v>
      </c>
      <c r="K709" s="122">
        <f t="shared" si="104"/>
        <v>9.0347753921579237</v>
      </c>
      <c r="L709" s="125">
        <f t="shared" si="100"/>
        <v>9.0347753921579237</v>
      </c>
      <c r="M709" s="126" t="str">
        <f t="shared" si="102"/>
        <v/>
      </c>
    </row>
    <row r="710" spans="1:13" x14ac:dyDescent="0.25">
      <c r="A710" s="100" t="str">
        <f t="shared" si="103"/>
        <v>GENERAL SERVICE LESS THAN 50 KW SERVICE CLASSIFICATION</v>
      </c>
      <c r="B710" s="130" t="s">
        <v>157</v>
      </c>
      <c r="C710" s="117">
        <f>B41</f>
        <v>12</v>
      </c>
      <c r="D710" s="131" t="s">
        <v>158</v>
      </c>
      <c r="E710" s="132"/>
      <c r="F710" s="133"/>
      <c r="G710" s="134"/>
      <c r="H710" s="135">
        <f>SUM(H704:H709)</f>
        <v>79.37</v>
      </c>
      <c r="I710" s="136"/>
      <c r="J710" s="137"/>
      <c r="K710" s="135">
        <f>SUM(K704:K709)</f>
        <v>94.270590644619119</v>
      </c>
      <c r="L710" s="138">
        <f t="shared" si="100"/>
        <v>14.900590644619115</v>
      </c>
      <c r="M710" s="139">
        <f>IF((H710)=0,"",(L710/H710))</f>
        <v>0.18773580250244568</v>
      </c>
    </row>
    <row r="711" spans="1:13" x14ac:dyDescent="0.25">
      <c r="A711" s="100" t="str">
        <f t="shared" si="103"/>
        <v>GENERAL SERVICE LESS THAN 50 KW SERVICE CLASSIFICATION</v>
      </c>
      <c r="C711" s="117"/>
      <c r="D711" s="140" t="s">
        <v>159</v>
      </c>
      <c r="E711" s="119"/>
      <c r="F711" s="127">
        <f>IF((E696*12&gt;=150000), 0, IF(E695="RPP",(F727*0.65+F728*0.17+F729*0.18),IF(E695="Non-RPP (Retailer)",F730,F731)))</f>
        <v>8.1990000000000007E-2</v>
      </c>
      <c r="G711" s="141">
        <f>IF(F711=0, 0, $E696*E698-E696)</f>
        <v>280</v>
      </c>
      <c r="H711" s="122">
        <f>G711*F711</f>
        <v>22.9572</v>
      </c>
      <c r="I711" s="128">
        <f>IF((E696*12&gt;=150000), 0, IF(E695="RPP",(I727*0.65+I728*0.17+I729*0.18),IF(E695="Non-RPP (Retailer)",I730,I731)))</f>
        <v>8.1990000000000007E-2</v>
      </c>
      <c r="J711" s="141">
        <f>IF(I711=0, 0, E696*E699-E696)</f>
        <v>280</v>
      </c>
      <c r="K711" s="122">
        <f>J711*I711</f>
        <v>22.9572</v>
      </c>
      <c r="L711" s="125">
        <f>K711-H711</f>
        <v>0</v>
      </c>
      <c r="M711" s="126">
        <f>IF(ISERROR(L711/H711), "", L711/H711)</f>
        <v>0</v>
      </c>
    </row>
    <row r="712" spans="1:13" ht="25.5" x14ac:dyDescent="0.25">
      <c r="A712" s="100" t="str">
        <f t="shared" si="103"/>
        <v>GENERAL SERVICE LESS THAN 50 KW SERVICE CLASSIFICATION</v>
      </c>
      <c r="C712" s="117"/>
      <c r="D712" s="140" t="s">
        <v>160</v>
      </c>
      <c r="E712" s="119"/>
      <c r="F712" s="127">
        <v>-1.4E-3</v>
      </c>
      <c r="G712" s="142">
        <f>IF($E697&gt;0, $E697, $E696)</f>
        <v>5000</v>
      </c>
      <c r="H712" s="122">
        <f t="shared" si="101"/>
        <v>-7</v>
      </c>
      <c r="I712" s="128">
        <v>-5.3E-3</v>
      </c>
      <c r="J712" s="142">
        <f>IF($E697&gt;0, $E697, $E696)</f>
        <v>5000</v>
      </c>
      <c r="K712" s="122">
        <f t="shared" si="104"/>
        <v>-26.5</v>
      </c>
      <c r="L712" s="125">
        <f t="shared" si="100"/>
        <v>-19.5</v>
      </c>
      <c r="M712" s="126">
        <f t="shared" si="102"/>
        <v>2.7857142857142856</v>
      </c>
    </row>
    <row r="713" spans="1:13" x14ac:dyDescent="0.25">
      <c r="A713" s="100" t="str">
        <f t="shared" si="103"/>
        <v>GENERAL SERVICE LESS THAN 50 KW SERVICE CLASSIFICATION</v>
      </c>
      <c r="C713" s="117"/>
      <c r="D713" s="140" t="s">
        <v>161</v>
      </c>
      <c r="E713" s="119"/>
      <c r="F713" s="127">
        <v>-1E-4</v>
      </c>
      <c r="G713" s="142">
        <f>IF($E697&gt;0, $E697, $E696)</f>
        <v>5000</v>
      </c>
      <c r="H713" s="122">
        <f>G713*F713</f>
        <v>-0.5</v>
      </c>
      <c r="I713" s="128">
        <v>0</v>
      </c>
      <c r="J713" s="142">
        <f>IF($E697&gt;0, $E697, $E696)</f>
        <v>5000</v>
      </c>
      <c r="K713" s="122">
        <f>J713*I713</f>
        <v>0</v>
      </c>
      <c r="L713" s="125">
        <f t="shared" si="100"/>
        <v>0.5</v>
      </c>
      <c r="M713" s="126">
        <f t="shared" si="102"/>
        <v>-1</v>
      </c>
    </row>
    <row r="714" spans="1:13" x14ac:dyDescent="0.25">
      <c r="A714" s="100" t="str">
        <f t="shared" si="103"/>
        <v>GENERAL SERVICE LESS THAN 50 KW SERVICE CLASSIFICATION</v>
      </c>
      <c r="C714" s="117"/>
      <c r="D714" s="140" t="s">
        <v>162</v>
      </c>
      <c r="E714" s="119"/>
      <c r="F714" s="127">
        <v>0</v>
      </c>
      <c r="G714" s="142">
        <f>E696</f>
        <v>5000</v>
      </c>
      <c r="H714" s="122">
        <f>G714*F714</f>
        <v>0</v>
      </c>
      <c r="I714" s="128">
        <v>0</v>
      </c>
      <c r="J714" s="142">
        <f>E696</f>
        <v>5000</v>
      </c>
      <c r="K714" s="122">
        <f t="shared" si="104"/>
        <v>0</v>
      </c>
      <c r="L714" s="125">
        <f t="shared" si="100"/>
        <v>0</v>
      </c>
      <c r="M714" s="126" t="str">
        <f t="shared" si="102"/>
        <v/>
      </c>
    </row>
    <row r="715" spans="1:13" x14ac:dyDescent="0.25">
      <c r="A715" s="100" t="str">
        <f t="shared" si="103"/>
        <v>GENERAL SERVICE LESS THAN 50 KW SERVICE CLASSIFICATION</v>
      </c>
      <c r="C715" s="117"/>
      <c r="D715" s="143" t="s">
        <v>163</v>
      </c>
      <c r="E715" s="119"/>
      <c r="F715" s="127">
        <v>2.3999999999999998E-3</v>
      </c>
      <c r="G715" s="142">
        <f>IF($E697&gt;0, $E697, $E696)</f>
        <v>5000</v>
      </c>
      <c r="H715" s="122">
        <f t="shared" si="101"/>
        <v>11.999999999999998</v>
      </c>
      <c r="I715" s="128">
        <v>2.3999999999999998E-3</v>
      </c>
      <c r="J715" s="142">
        <f>IF($E697&gt;0, $E697, $E696)</f>
        <v>5000</v>
      </c>
      <c r="K715" s="122">
        <f t="shared" si="104"/>
        <v>11.999999999999998</v>
      </c>
      <c r="L715" s="125">
        <f t="shared" si="100"/>
        <v>0</v>
      </c>
      <c r="M715" s="126">
        <f t="shared" si="102"/>
        <v>0</v>
      </c>
    </row>
    <row r="716" spans="1:13" ht="25.5" x14ac:dyDescent="0.25">
      <c r="A716" s="100" t="str">
        <f t="shared" si="103"/>
        <v>GENERAL SERVICE LESS THAN 50 KW SERVICE CLASSIFICATION</v>
      </c>
      <c r="C716" s="117"/>
      <c r="D716" s="144" t="s">
        <v>164</v>
      </c>
      <c r="E716" s="119"/>
      <c r="F716" s="145">
        <f>IF(OR(ISNUMBER(SEARCH("RESIDENTIAL", E694))=TRUE, ISNUMBER(SEARCH("GENERAL SERVICE LESS THAN 50", E694))=TRUE), SME, 0)</f>
        <v>0.56999999999999995</v>
      </c>
      <c r="G716" s="121">
        <v>1</v>
      </c>
      <c r="H716" s="122">
        <f>G716*F716</f>
        <v>0.56999999999999995</v>
      </c>
      <c r="I716" s="146">
        <f>IF(OR(ISNUMBER(SEARCH("RESIDENTIAL", E694))=TRUE, ISNUMBER(SEARCH("GENERAL SERVICE LESS THAN 50", E694))=TRUE), SME, 0)</f>
        <v>0.56999999999999995</v>
      </c>
      <c r="J716" s="121">
        <v>1</v>
      </c>
      <c r="K716" s="122">
        <f>J716*I716</f>
        <v>0.56999999999999995</v>
      </c>
      <c r="L716" s="125">
        <f t="shared" si="100"/>
        <v>0</v>
      </c>
      <c r="M716" s="126">
        <f>IF(ISERROR(L716/H716), "", L716/H716)</f>
        <v>0</v>
      </c>
    </row>
    <row r="717" spans="1:13" x14ac:dyDescent="0.25">
      <c r="A717" s="100" t="str">
        <f t="shared" si="103"/>
        <v>GENERAL SERVICE LESS THAN 50 KW SERVICE CLASSIFICATION</v>
      </c>
      <c r="C717" s="117"/>
      <c r="D717" s="143" t="s">
        <v>165</v>
      </c>
      <c r="E717" s="119"/>
      <c r="F717" s="120">
        <v>0</v>
      </c>
      <c r="G717" s="121">
        <v>1</v>
      </c>
      <c r="H717" s="122">
        <f t="shared" si="101"/>
        <v>0</v>
      </c>
      <c r="I717" s="123">
        <v>0</v>
      </c>
      <c r="J717" s="121">
        <v>1</v>
      </c>
      <c r="K717" s="122">
        <f>J717*I717</f>
        <v>0</v>
      </c>
      <c r="L717" s="125">
        <f>K717-H717</f>
        <v>0</v>
      </c>
      <c r="M717" s="126" t="str">
        <f>IF(ISERROR(L717/H717), "", L717/H717)</f>
        <v/>
      </c>
    </row>
    <row r="718" spans="1:13" x14ac:dyDescent="0.25">
      <c r="A718" s="100" t="str">
        <f t="shared" si="103"/>
        <v>GENERAL SERVICE LESS THAN 50 KW SERVICE CLASSIFICATION</v>
      </c>
      <c r="C718" s="117"/>
      <c r="D718" s="143" t="s">
        <v>166</v>
      </c>
      <c r="E718" s="119"/>
      <c r="F718" s="127"/>
      <c r="G718" s="142">
        <f>IF($E697&gt;0, $E697, $E696)</f>
        <v>5000</v>
      </c>
      <c r="H718" s="122">
        <f>G718*F718</f>
        <v>0</v>
      </c>
      <c r="I718" s="128">
        <v>0</v>
      </c>
      <c r="J718" s="142">
        <f>IF($E697&gt;0, $E697, $E696)</f>
        <v>5000</v>
      </c>
      <c r="K718" s="122">
        <f>J718*I718</f>
        <v>0</v>
      </c>
      <c r="L718" s="125">
        <f t="shared" si="100"/>
        <v>0</v>
      </c>
      <c r="M718" s="126" t="str">
        <f>IF(ISERROR(L718/H718), "", L718/H718)</f>
        <v/>
      </c>
    </row>
    <row r="719" spans="1:13" ht="25.5" x14ac:dyDescent="0.25">
      <c r="A719" s="100" t="str">
        <f t="shared" si="103"/>
        <v>GENERAL SERVICE LESS THAN 50 KW SERVICE CLASSIFICATION</v>
      </c>
      <c r="B719" s="105" t="s">
        <v>167</v>
      </c>
      <c r="C719" s="117">
        <f>B41</f>
        <v>12</v>
      </c>
      <c r="D719" s="147" t="s">
        <v>168</v>
      </c>
      <c r="E719" s="148"/>
      <c r="F719" s="149"/>
      <c r="G719" s="150"/>
      <c r="H719" s="151">
        <f>SUM(H710:H718)</f>
        <v>107.3972</v>
      </c>
      <c r="I719" s="152"/>
      <c r="J719" s="153"/>
      <c r="K719" s="151">
        <f>SUM(K710:K718)</f>
        <v>103.29779064461911</v>
      </c>
      <c r="L719" s="138">
        <f t="shared" si="100"/>
        <v>-4.0994093553808852</v>
      </c>
      <c r="M719" s="139">
        <f>IF((H719)=0,"",(L719/H719))</f>
        <v>-3.8170542205764074E-2</v>
      </c>
    </row>
    <row r="720" spans="1:13" x14ac:dyDescent="0.25">
      <c r="A720" s="100" t="str">
        <f t="shared" si="103"/>
        <v>GENERAL SERVICE LESS THAN 50 KW SERVICE CLASSIFICATION</v>
      </c>
      <c r="C720" s="117"/>
      <c r="D720" s="154" t="s">
        <v>169</v>
      </c>
      <c r="E720" s="119"/>
      <c r="F720" s="127">
        <v>6.0000000000000001E-3</v>
      </c>
      <c r="G720" s="141">
        <f>IF($E697&gt;0, $E697, $E696*$E698)</f>
        <v>5280</v>
      </c>
      <c r="H720" s="122">
        <f>G720*F720</f>
        <v>31.68</v>
      </c>
      <c r="I720" s="128">
        <v>5.7000000000000002E-3</v>
      </c>
      <c r="J720" s="141">
        <f>IF($E697&gt;0, $E697, $E696*$E699)</f>
        <v>5280</v>
      </c>
      <c r="K720" s="122">
        <f>J720*I720</f>
        <v>30.096</v>
      </c>
      <c r="L720" s="125">
        <f t="shared" si="100"/>
        <v>-1.5839999999999996</v>
      </c>
      <c r="M720" s="126">
        <f>IF(ISERROR(L720/H720), "", L720/H720)</f>
        <v>-4.9999999999999989E-2</v>
      </c>
    </row>
    <row r="721" spans="1:13" ht="25.5" x14ac:dyDescent="0.25">
      <c r="A721" s="100" t="str">
        <f t="shared" si="103"/>
        <v>GENERAL SERVICE LESS THAN 50 KW SERVICE CLASSIFICATION</v>
      </c>
      <c r="C721" s="117"/>
      <c r="D721" s="155" t="s">
        <v>170</v>
      </c>
      <c r="E721" s="119"/>
      <c r="F721" s="127">
        <v>5.3E-3</v>
      </c>
      <c r="G721" s="141">
        <f>IF($E697&gt;0, $E697, $E696*$E698)</f>
        <v>5280</v>
      </c>
      <c r="H721" s="122">
        <f>G721*F721</f>
        <v>27.984000000000002</v>
      </c>
      <c r="I721" s="128">
        <v>5.0000000000000001E-3</v>
      </c>
      <c r="J721" s="141">
        <f>IF($E697&gt;0, $E697, $E696*$E699)</f>
        <v>5280</v>
      </c>
      <c r="K721" s="122">
        <f>J721*I721</f>
        <v>26.400000000000002</v>
      </c>
      <c r="L721" s="125">
        <f t="shared" si="100"/>
        <v>-1.5839999999999996</v>
      </c>
      <c r="M721" s="126">
        <f>IF(ISERROR(L721/H721), "", L721/H721)</f>
        <v>-5.6603773584905641E-2</v>
      </c>
    </row>
    <row r="722" spans="1:13" ht="25.5" x14ac:dyDescent="0.25">
      <c r="A722" s="100" t="str">
        <f t="shared" si="103"/>
        <v>GENERAL SERVICE LESS THAN 50 KW SERVICE CLASSIFICATION</v>
      </c>
      <c r="B722" s="105" t="s">
        <v>171</v>
      </c>
      <c r="C722" s="117">
        <f>B41</f>
        <v>12</v>
      </c>
      <c r="D722" s="147" t="s">
        <v>172</v>
      </c>
      <c r="E722" s="132"/>
      <c r="F722" s="149"/>
      <c r="G722" s="150"/>
      <c r="H722" s="151">
        <f>SUM(H719:H721)</f>
        <v>167.06120000000001</v>
      </c>
      <c r="I722" s="152"/>
      <c r="J722" s="137"/>
      <c r="K722" s="151">
        <f>SUM(K719:K721)</f>
        <v>159.79379064461912</v>
      </c>
      <c r="L722" s="138">
        <f t="shared" si="100"/>
        <v>-7.2674093553808916</v>
      </c>
      <c r="M722" s="139">
        <f>IF((H722)=0,"",(L722/H722))</f>
        <v>-4.3501479430178229E-2</v>
      </c>
    </row>
    <row r="723" spans="1:13" ht="25.5" x14ac:dyDescent="0.25">
      <c r="A723" s="100" t="str">
        <f t="shared" si="103"/>
        <v>GENERAL SERVICE LESS THAN 50 KW SERVICE CLASSIFICATION</v>
      </c>
      <c r="C723" s="117"/>
      <c r="D723" s="156" t="s">
        <v>173</v>
      </c>
      <c r="E723" s="119"/>
      <c r="F723" s="127">
        <v>3.6000000000000003E-3</v>
      </c>
      <c r="G723" s="141">
        <f>E696*E698</f>
        <v>5280</v>
      </c>
      <c r="H723" s="157">
        <f t="shared" ref="H723:H729" si="105">G723*F723</f>
        <v>19.008000000000003</v>
      </c>
      <c r="I723" s="128">
        <v>3.6000000000000003E-3</v>
      </c>
      <c r="J723" s="141">
        <f>E696*E699</f>
        <v>5280</v>
      </c>
      <c r="K723" s="157">
        <f t="shared" ref="K723:K729" si="106">J723*I723</f>
        <v>19.008000000000003</v>
      </c>
      <c r="L723" s="125">
        <f t="shared" si="100"/>
        <v>0</v>
      </c>
      <c r="M723" s="126">
        <f t="shared" ref="M723:M731" si="107">IF(ISERROR(L723/H723), "", L723/H723)</f>
        <v>0</v>
      </c>
    </row>
    <row r="724" spans="1:13" ht="25.5" x14ac:dyDescent="0.25">
      <c r="A724" s="100" t="str">
        <f t="shared" si="103"/>
        <v>GENERAL SERVICE LESS THAN 50 KW SERVICE CLASSIFICATION</v>
      </c>
      <c r="C724" s="117"/>
      <c r="D724" s="156" t="s">
        <v>174</v>
      </c>
      <c r="E724" s="119"/>
      <c r="F724" s="127">
        <f>'[1]17. Regulatory Charges'!$D$16</f>
        <v>2.9999999999999997E-4</v>
      </c>
      <c r="G724" s="141">
        <f>E696*E698</f>
        <v>5280</v>
      </c>
      <c r="H724" s="157">
        <f t="shared" si="105"/>
        <v>1.5839999999999999</v>
      </c>
      <c r="I724" s="128">
        <v>2.9999999999999997E-4</v>
      </c>
      <c r="J724" s="141">
        <f>E696*E699</f>
        <v>5280</v>
      </c>
      <c r="K724" s="157">
        <f t="shared" si="106"/>
        <v>1.5839999999999999</v>
      </c>
      <c r="L724" s="125">
        <f t="shared" si="100"/>
        <v>0</v>
      </c>
      <c r="M724" s="126">
        <f t="shared" si="107"/>
        <v>0</v>
      </c>
    </row>
    <row r="725" spans="1:13" x14ac:dyDescent="0.25">
      <c r="A725" s="100" t="str">
        <f t="shared" si="103"/>
        <v>GENERAL SERVICE LESS THAN 50 KW SERVICE CLASSIFICATION</v>
      </c>
      <c r="C725" s="117"/>
      <c r="D725" s="158" t="s">
        <v>175</v>
      </c>
      <c r="E725" s="119"/>
      <c r="F725" s="145">
        <v>0.25</v>
      </c>
      <c r="G725" s="121">
        <v>1</v>
      </c>
      <c r="H725" s="157">
        <f t="shared" si="105"/>
        <v>0.25</v>
      </c>
      <c r="I725" s="146">
        <f>'[1]17. Regulatory Charges'!$D$17</f>
        <v>0.25</v>
      </c>
      <c r="J725" s="124">
        <v>1</v>
      </c>
      <c r="K725" s="157">
        <f t="shared" si="106"/>
        <v>0.25</v>
      </c>
      <c r="L725" s="125">
        <f t="shared" si="100"/>
        <v>0</v>
      </c>
      <c r="M725" s="126">
        <f t="shared" si="107"/>
        <v>0</v>
      </c>
    </row>
    <row r="726" spans="1:13" ht="25.5" x14ac:dyDescent="0.25">
      <c r="A726" s="100" t="str">
        <f t="shared" si="103"/>
        <v>GENERAL SERVICE LESS THAN 50 KW SERVICE CLASSIFICATION</v>
      </c>
      <c r="C726" s="117"/>
      <c r="D726" s="156" t="s">
        <v>176</v>
      </c>
      <c r="E726" s="119"/>
      <c r="F726" s="127"/>
      <c r="G726" s="141"/>
      <c r="H726" s="157"/>
      <c r="I726" s="128"/>
      <c r="J726" s="141"/>
      <c r="K726" s="157"/>
      <c r="L726" s="125"/>
      <c r="M726" s="126"/>
    </row>
    <row r="727" spans="1:13" x14ac:dyDescent="0.25">
      <c r="A727" s="100" t="str">
        <f t="shared" si="103"/>
        <v>GENERAL SERVICE LESS THAN 50 KW SERVICE CLASSIFICATION</v>
      </c>
      <c r="B727" s="105" t="s">
        <v>117</v>
      </c>
      <c r="C727" s="117"/>
      <c r="D727" s="159" t="s">
        <v>177</v>
      </c>
      <c r="E727" s="119"/>
      <c r="F727" s="160">
        <f>OffPeak</f>
        <v>6.5000000000000002E-2</v>
      </c>
      <c r="G727" s="161">
        <f>IF(AND(E696*12&gt;=150000),0.65*E696*E698,0.65*E696)</f>
        <v>3250</v>
      </c>
      <c r="H727" s="157">
        <f t="shared" si="105"/>
        <v>211.25</v>
      </c>
      <c r="I727" s="162">
        <f>OffPeak</f>
        <v>6.5000000000000002E-2</v>
      </c>
      <c r="J727" s="161">
        <f>IF(AND(E696*12&gt;=150000),0.65*E696*E699,0.65*E696)</f>
        <v>3250</v>
      </c>
      <c r="K727" s="157">
        <f t="shared" si="106"/>
        <v>211.25</v>
      </c>
      <c r="L727" s="125">
        <f>K727-H727</f>
        <v>0</v>
      </c>
      <c r="M727" s="126">
        <f t="shared" si="107"/>
        <v>0</v>
      </c>
    </row>
    <row r="728" spans="1:13" x14ac:dyDescent="0.25">
      <c r="A728" s="100" t="str">
        <f t="shared" si="103"/>
        <v>GENERAL SERVICE LESS THAN 50 KW SERVICE CLASSIFICATION</v>
      </c>
      <c r="B728" s="105" t="s">
        <v>117</v>
      </c>
      <c r="C728" s="117"/>
      <c r="D728" s="159" t="s">
        <v>178</v>
      </c>
      <c r="E728" s="119"/>
      <c r="F728" s="160">
        <f>MidPeak</f>
        <v>9.4E-2</v>
      </c>
      <c r="G728" s="161">
        <f>IF(AND(E696*12&gt;=150000),0.17*E696*E698,0.17*E696)</f>
        <v>850.00000000000011</v>
      </c>
      <c r="H728" s="157">
        <f t="shared" si="105"/>
        <v>79.900000000000006</v>
      </c>
      <c r="I728" s="162">
        <f>MidPeak</f>
        <v>9.4E-2</v>
      </c>
      <c r="J728" s="161">
        <f>IF(AND(E696*12&gt;=150000),0.17*E696*E699,0.17*E696)</f>
        <v>850.00000000000011</v>
      </c>
      <c r="K728" s="157">
        <f t="shared" si="106"/>
        <v>79.900000000000006</v>
      </c>
      <c r="L728" s="125">
        <f>K728-H728</f>
        <v>0</v>
      </c>
      <c r="M728" s="126">
        <f t="shared" si="107"/>
        <v>0</v>
      </c>
    </row>
    <row r="729" spans="1:13" ht="15.75" thickBot="1" x14ac:dyDescent="0.3">
      <c r="A729" s="100" t="str">
        <f t="shared" si="103"/>
        <v>GENERAL SERVICE LESS THAN 50 KW SERVICE CLASSIFICATION</v>
      </c>
      <c r="B729" s="105" t="s">
        <v>117</v>
      </c>
      <c r="C729" s="117"/>
      <c r="D729" s="105" t="s">
        <v>179</v>
      </c>
      <c r="E729" s="119"/>
      <c r="F729" s="160">
        <f>OnPeak</f>
        <v>0.13200000000000001</v>
      </c>
      <c r="G729" s="161">
        <f>IF(AND(E696*12&gt;=150000),0.18*E696*E698,0.18*E696)</f>
        <v>900</v>
      </c>
      <c r="H729" s="157">
        <f t="shared" si="105"/>
        <v>118.80000000000001</v>
      </c>
      <c r="I729" s="162">
        <f>OnPeak</f>
        <v>0.13200000000000001</v>
      </c>
      <c r="J729" s="161">
        <f>IF(AND(E696*12&gt;=150000),0.18*E696*E699,0.18*E696)</f>
        <v>900</v>
      </c>
      <c r="K729" s="157">
        <f t="shared" si="106"/>
        <v>118.80000000000001</v>
      </c>
      <c r="L729" s="125">
        <f>K729-H729</f>
        <v>0</v>
      </c>
      <c r="M729" s="126">
        <f t="shared" si="107"/>
        <v>0</v>
      </c>
    </row>
    <row r="730" spans="1:13" hidden="1" x14ac:dyDescent="0.25">
      <c r="A730" s="100" t="str">
        <f t="shared" si="103"/>
        <v>GENERAL SERVICE LESS THAN 50 KW SERVICE CLASSIFICATION</v>
      </c>
      <c r="B730" s="100" t="s">
        <v>180</v>
      </c>
      <c r="C730" s="117"/>
      <c r="D730" s="159" t="s">
        <v>181</v>
      </c>
      <c r="E730" s="119"/>
      <c r="F730" s="163">
        <v>0.1101</v>
      </c>
      <c r="G730" s="161">
        <f>IF(AND(E696*12&gt;=150000),E696*E698,E696)</f>
        <v>5000</v>
      </c>
      <c r="H730" s="157">
        <f>G730*F730</f>
        <v>550.5</v>
      </c>
      <c r="I730" s="164">
        <f>F730</f>
        <v>0.1101</v>
      </c>
      <c r="J730" s="161">
        <f>IF(AND(E696*12&gt;=150000),E696*E699,E696)</f>
        <v>5000</v>
      </c>
      <c r="K730" s="157">
        <f>J730*I730</f>
        <v>550.5</v>
      </c>
      <c r="L730" s="125">
        <f>K730-H730</f>
        <v>0</v>
      </c>
      <c r="M730" s="126">
        <f t="shared" si="107"/>
        <v>0</v>
      </c>
    </row>
    <row r="731" spans="1:13" ht="15.75" hidden="1" thickBot="1" x14ac:dyDescent="0.3">
      <c r="A731" s="100" t="str">
        <f t="shared" si="103"/>
        <v>GENERAL SERVICE LESS THAN 50 KW SERVICE CLASSIFICATION</v>
      </c>
      <c r="B731" s="100" t="s">
        <v>121</v>
      </c>
      <c r="C731" s="117"/>
      <c r="D731" s="159" t="s">
        <v>182</v>
      </c>
      <c r="E731" s="119"/>
      <c r="F731" s="163">
        <v>0.1101</v>
      </c>
      <c r="G731" s="161">
        <f>IF(AND(E696*12&gt;=150000),E696*E698,E696)</f>
        <v>5000</v>
      </c>
      <c r="H731" s="157">
        <f>G731*F731</f>
        <v>550.5</v>
      </c>
      <c r="I731" s="164">
        <f>F731</f>
        <v>0.1101</v>
      </c>
      <c r="J731" s="161">
        <f>IF(AND(E696*12&gt;=150000),E696*E699,E696)</f>
        <v>5000</v>
      </c>
      <c r="K731" s="157">
        <f>J731*I731</f>
        <v>550.5</v>
      </c>
      <c r="L731" s="125">
        <f>K731-H731</f>
        <v>0</v>
      </c>
      <c r="M731" s="126">
        <f t="shared" si="107"/>
        <v>0</v>
      </c>
    </row>
    <row r="732" spans="1:13" ht="15.75" thickBot="1" x14ac:dyDescent="0.3">
      <c r="A732" s="100" t="str">
        <f t="shared" si="103"/>
        <v>GENERAL SERVICE LESS THAN 50 KW SERVICE CLASSIFICATION</v>
      </c>
      <c r="B732" s="105"/>
      <c r="C732" s="117"/>
      <c r="D732" s="165"/>
      <c r="E732" s="166"/>
      <c r="F732" s="167"/>
      <c r="G732" s="168"/>
      <c r="H732" s="169"/>
      <c r="I732" s="167"/>
      <c r="J732" s="170"/>
      <c r="K732" s="169"/>
      <c r="L732" s="171"/>
      <c r="M732" s="172"/>
    </row>
    <row r="733" spans="1:13" x14ac:dyDescent="0.25">
      <c r="A733" s="100" t="str">
        <f t="shared" si="103"/>
        <v>GENERAL SERVICE LESS THAN 50 KW SERVICE CLASSIFICATION</v>
      </c>
      <c r="B733" s="105" t="s">
        <v>117</v>
      </c>
      <c r="C733" s="117"/>
      <c r="D733" s="173" t="s">
        <v>183</v>
      </c>
      <c r="E733" s="158"/>
      <c r="F733" s="174"/>
      <c r="G733" s="175"/>
      <c r="H733" s="176">
        <f>SUM(H723:H729,H722)</f>
        <v>597.85320000000002</v>
      </c>
      <c r="I733" s="177"/>
      <c r="J733" s="177"/>
      <c r="K733" s="176">
        <f>SUM(K723:K729,K722)</f>
        <v>590.58579064461912</v>
      </c>
      <c r="L733" s="178">
        <f>K733-H733</f>
        <v>-7.2674093553808916</v>
      </c>
      <c r="M733" s="179">
        <f>IF((H733)=0,"",(L733/H733))</f>
        <v>-1.2155842530207904E-2</v>
      </c>
    </row>
    <row r="734" spans="1:13" x14ac:dyDescent="0.25">
      <c r="A734" s="100" t="str">
        <f t="shared" si="103"/>
        <v>GENERAL SERVICE LESS THAN 50 KW SERVICE CLASSIFICATION</v>
      </c>
      <c r="B734" s="105" t="s">
        <v>117</v>
      </c>
      <c r="C734" s="117"/>
      <c r="D734" s="180" t="s">
        <v>184</v>
      </c>
      <c r="E734" s="158"/>
      <c r="F734" s="174">
        <v>0.13</v>
      </c>
      <c r="G734" s="181"/>
      <c r="H734" s="182">
        <f>H733*F734</f>
        <v>77.720916000000003</v>
      </c>
      <c r="I734" s="183">
        <v>0.13</v>
      </c>
      <c r="J734" s="121"/>
      <c r="K734" s="182">
        <f>K733*I734</f>
        <v>76.776152783800484</v>
      </c>
      <c r="L734" s="184">
        <f>K734-H734</f>
        <v>-0.94476321619951875</v>
      </c>
      <c r="M734" s="185">
        <f>IF((H734)=0,"",(L734/H734))</f>
        <v>-1.215584253020794E-2</v>
      </c>
    </row>
    <row r="735" spans="1:13" x14ac:dyDescent="0.25">
      <c r="A735" s="100" t="str">
        <f t="shared" si="103"/>
        <v>GENERAL SERVICE LESS THAN 50 KW SERVICE CLASSIFICATION</v>
      </c>
      <c r="B735" s="105" t="s">
        <v>117</v>
      </c>
      <c r="C735" s="117"/>
      <c r="D735" s="180" t="s">
        <v>185</v>
      </c>
      <c r="E735" s="158"/>
      <c r="F735" s="174">
        <v>0.08</v>
      </c>
      <c r="G735" s="181"/>
      <c r="H735" s="182">
        <f>H733*-F735</f>
        <v>-47.828256000000003</v>
      </c>
      <c r="I735" s="174">
        <v>0.08</v>
      </c>
      <c r="J735" s="121"/>
      <c r="K735" s="182">
        <f>K733*-I735</f>
        <v>-47.246863251569529</v>
      </c>
      <c r="L735" s="184">
        <f>K735-H735</f>
        <v>0.58139274843047417</v>
      </c>
      <c r="M735" s="185"/>
    </row>
    <row r="736" spans="1:13" ht="15.75" thickBot="1" x14ac:dyDescent="0.3">
      <c r="A736" s="100" t="str">
        <f t="shared" si="103"/>
        <v>GENERAL SERVICE LESS THAN 50 KW SERVICE CLASSIFICATION</v>
      </c>
      <c r="B736" s="105" t="s">
        <v>186</v>
      </c>
      <c r="C736" s="117">
        <f>B41</f>
        <v>12</v>
      </c>
      <c r="D736" s="301" t="s">
        <v>187</v>
      </c>
      <c r="E736" s="301"/>
      <c r="F736" s="186"/>
      <c r="G736" s="187"/>
      <c r="H736" s="188">
        <f>H733+H734+H735</f>
        <v>627.74585999999999</v>
      </c>
      <c r="I736" s="189"/>
      <c r="J736" s="189"/>
      <c r="K736" s="190">
        <f>K733+K734+K735</f>
        <v>620.11508017685014</v>
      </c>
      <c r="L736" s="191">
        <f>K736-H736</f>
        <v>-7.6307798231498509</v>
      </c>
      <c r="M736" s="192">
        <f>IF((H736)=0,"",(L736/H736))</f>
        <v>-1.2155842530207768E-2</v>
      </c>
    </row>
    <row r="737" spans="1:13" ht="15.75" hidden="1" thickBot="1" x14ac:dyDescent="0.3">
      <c r="A737" s="100" t="str">
        <f t="shared" si="103"/>
        <v>GENERAL SERVICE LESS THAN 50 KW SERVICE CLASSIFICATION</v>
      </c>
      <c r="B737" s="100" t="s">
        <v>117</v>
      </c>
      <c r="C737" s="117"/>
      <c r="D737" s="165"/>
      <c r="E737" s="166"/>
      <c r="F737" s="167"/>
      <c r="G737" s="168"/>
      <c r="H737" s="169"/>
      <c r="I737" s="167"/>
      <c r="J737" s="170"/>
      <c r="K737" s="169"/>
      <c r="L737" s="171"/>
      <c r="M737" s="172"/>
    </row>
    <row r="738" spans="1:13" hidden="1" x14ac:dyDescent="0.25">
      <c r="A738" s="100" t="str">
        <f t="shared" si="103"/>
        <v>GENERAL SERVICE LESS THAN 50 KW SERVICE CLASSIFICATION</v>
      </c>
      <c r="B738" s="100" t="s">
        <v>180</v>
      </c>
      <c r="C738" s="117"/>
      <c r="D738" s="173" t="s">
        <v>188</v>
      </c>
      <c r="E738" s="158"/>
      <c r="F738" s="174"/>
      <c r="G738" s="175"/>
      <c r="H738" s="176">
        <f>SUM(H730,H723:H726,H722)</f>
        <v>738.40319999999997</v>
      </c>
      <c r="I738" s="177"/>
      <c r="J738" s="177"/>
      <c r="K738" s="176">
        <f>SUM(K730,K723:K726,K722)</f>
        <v>731.13579064461908</v>
      </c>
      <c r="L738" s="178">
        <f>K738-H738</f>
        <v>-7.2674093553808916</v>
      </c>
      <c r="M738" s="179">
        <f>IF((H738)=0,"",(L738/H738))</f>
        <v>-9.8420610248992589E-3</v>
      </c>
    </row>
    <row r="739" spans="1:13" hidden="1" x14ac:dyDescent="0.25">
      <c r="A739" s="100" t="str">
        <f t="shared" si="103"/>
        <v>GENERAL SERVICE LESS THAN 50 KW SERVICE CLASSIFICATION</v>
      </c>
      <c r="B739" s="100" t="s">
        <v>180</v>
      </c>
      <c r="C739" s="117"/>
      <c r="D739" s="180" t="s">
        <v>184</v>
      </c>
      <c r="E739" s="158"/>
      <c r="F739" s="174">
        <v>0.13</v>
      </c>
      <c r="G739" s="175"/>
      <c r="H739" s="182">
        <f>H738*F739</f>
        <v>95.992416000000006</v>
      </c>
      <c r="I739" s="174">
        <v>0.13</v>
      </c>
      <c r="J739" s="183"/>
      <c r="K739" s="182">
        <f>K738*I739</f>
        <v>95.047652783800487</v>
      </c>
      <c r="L739" s="184">
        <f>K739-H739</f>
        <v>-0.94476321619951875</v>
      </c>
      <c r="M739" s="185">
        <f>IF((H739)=0,"",(L739/H739))</f>
        <v>-9.8420610248992867E-3</v>
      </c>
    </row>
    <row r="740" spans="1:13" hidden="1" x14ac:dyDescent="0.25">
      <c r="A740" s="100" t="str">
        <f t="shared" si="103"/>
        <v>GENERAL SERVICE LESS THAN 50 KW SERVICE CLASSIFICATION</v>
      </c>
      <c r="B740" s="100" t="s">
        <v>180</v>
      </c>
      <c r="C740" s="117"/>
      <c r="D740" s="180" t="s">
        <v>185</v>
      </c>
      <c r="E740" s="158"/>
      <c r="F740" s="174">
        <v>0.08</v>
      </c>
      <c r="G740" s="175"/>
      <c r="H740" s="182"/>
      <c r="I740" s="174">
        <v>0.08</v>
      </c>
      <c r="J740" s="183"/>
      <c r="K740" s="182"/>
      <c r="L740" s="184"/>
      <c r="M740" s="185"/>
    </row>
    <row r="741" spans="1:13" ht="15.75" hidden="1" thickBot="1" x14ac:dyDescent="0.3">
      <c r="A741" s="100" t="str">
        <f t="shared" si="103"/>
        <v>GENERAL SERVICE LESS THAN 50 KW SERVICE CLASSIFICATION</v>
      </c>
      <c r="B741" s="100" t="s">
        <v>189</v>
      </c>
      <c r="C741" s="117"/>
      <c r="D741" s="301" t="s">
        <v>188</v>
      </c>
      <c r="E741" s="301"/>
      <c r="F741" s="193"/>
      <c r="G741" s="194"/>
      <c r="H741" s="188">
        <f>SUM(H738,H739)</f>
        <v>834.39561600000002</v>
      </c>
      <c r="I741" s="195"/>
      <c r="J741" s="195"/>
      <c r="K741" s="188">
        <f>SUM(K738,K739)</f>
        <v>826.18344342841954</v>
      </c>
      <c r="L741" s="196">
        <f>K741-H741</f>
        <v>-8.2121725715804814</v>
      </c>
      <c r="M741" s="197">
        <f>IF((H741)=0,"",(L741/H741))</f>
        <v>-9.8420610248993456E-3</v>
      </c>
    </row>
    <row r="742" spans="1:13" ht="15.75" hidden="1" thickBot="1" x14ac:dyDescent="0.3">
      <c r="A742" s="100" t="str">
        <f t="shared" si="103"/>
        <v>GENERAL SERVICE LESS THAN 50 KW SERVICE CLASSIFICATION</v>
      </c>
      <c r="B742" s="100" t="s">
        <v>180</v>
      </c>
      <c r="C742" s="117"/>
      <c r="D742" s="165"/>
      <c r="E742" s="166"/>
      <c r="F742" s="198"/>
      <c r="G742" s="199"/>
      <c r="H742" s="200"/>
      <c r="I742" s="198"/>
      <c r="J742" s="168"/>
      <c r="K742" s="200"/>
      <c r="L742" s="201"/>
      <c r="M742" s="172"/>
    </row>
    <row r="743" spans="1:13" hidden="1" x14ac:dyDescent="0.25">
      <c r="A743" s="100" t="str">
        <f t="shared" si="103"/>
        <v>GENERAL SERVICE LESS THAN 50 KW SERVICE CLASSIFICATION</v>
      </c>
      <c r="B743" s="100" t="s">
        <v>121</v>
      </c>
      <c r="C743" s="117"/>
      <c r="D743" s="173" t="s">
        <v>190</v>
      </c>
      <c r="E743" s="158"/>
      <c r="F743" s="174"/>
      <c r="G743" s="175"/>
      <c r="H743" s="176">
        <f>SUM(H731,H723:H726,H722)</f>
        <v>738.40319999999997</v>
      </c>
      <c r="I743" s="177"/>
      <c r="J743" s="177"/>
      <c r="K743" s="176">
        <f>SUM(K731,K723:K726,K722)</f>
        <v>731.13579064461908</v>
      </c>
      <c r="L743" s="178">
        <f>K743-H743</f>
        <v>-7.2674093553808916</v>
      </c>
      <c r="M743" s="179">
        <f>IF((H743)=0,"",(L743/H743))</f>
        <v>-9.8420610248992589E-3</v>
      </c>
    </row>
    <row r="744" spans="1:13" hidden="1" x14ac:dyDescent="0.25">
      <c r="A744" s="100" t="str">
        <f t="shared" si="103"/>
        <v>GENERAL SERVICE LESS THAN 50 KW SERVICE CLASSIFICATION</v>
      </c>
      <c r="B744" s="100" t="s">
        <v>121</v>
      </c>
      <c r="C744" s="117"/>
      <c r="D744" s="180" t="s">
        <v>184</v>
      </c>
      <c r="E744" s="158"/>
      <c r="F744" s="174">
        <v>0.13</v>
      </c>
      <c r="G744" s="175"/>
      <c r="H744" s="182">
        <f>H743*F744</f>
        <v>95.992416000000006</v>
      </c>
      <c r="I744" s="174">
        <v>0.13</v>
      </c>
      <c r="J744" s="183"/>
      <c r="K744" s="182">
        <f>K743*I744</f>
        <v>95.047652783800487</v>
      </c>
      <c r="L744" s="184">
        <f>K744-H744</f>
        <v>-0.94476321619951875</v>
      </c>
      <c r="M744" s="185">
        <f>IF((H744)=0,"",(L744/H744))</f>
        <v>-9.8420610248992867E-3</v>
      </c>
    </row>
    <row r="745" spans="1:13" hidden="1" x14ac:dyDescent="0.25">
      <c r="A745" s="100" t="str">
        <f t="shared" si="103"/>
        <v>GENERAL SERVICE LESS THAN 50 KW SERVICE CLASSIFICATION</v>
      </c>
      <c r="B745" s="100" t="s">
        <v>121</v>
      </c>
      <c r="C745" s="117"/>
      <c r="D745" s="180" t="s">
        <v>185</v>
      </c>
      <c r="E745" s="158"/>
      <c r="F745" s="174">
        <v>0.08</v>
      </c>
      <c r="G745" s="175"/>
      <c r="H745" s="182"/>
      <c r="I745" s="174">
        <v>0.08</v>
      </c>
      <c r="J745" s="183"/>
      <c r="K745" s="182"/>
      <c r="L745" s="184"/>
      <c r="M745" s="185"/>
    </row>
    <row r="746" spans="1:13" ht="15.75" hidden="1" thickBot="1" x14ac:dyDescent="0.3">
      <c r="A746" s="100" t="str">
        <f t="shared" si="103"/>
        <v>GENERAL SERVICE LESS THAN 50 KW SERVICE CLASSIFICATION</v>
      </c>
      <c r="B746" s="100" t="s">
        <v>191</v>
      </c>
      <c r="C746" s="117"/>
      <c r="D746" s="301" t="s">
        <v>190</v>
      </c>
      <c r="E746" s="301"/>
      <c r="F746" s="193"/>
      <c r="G746" s="194"/>
      <c r="H746" s="188">
        <f>SUM(H743,H744)</f>
        <v>834.39561600000002</v>
      </c>
      <c r="I746" s="195"/>
      <c r="J746" s="195"/>
      <c r="K746" s="188">
        <f>SUM(K743,K744)</f>
        <v>826.18344342841954</v>
      </c>
      <c r="L746" s="196">
        <f>K746-H746</f>
        <v>-8.2121725715804814</v>
      </c>
      <c r="M746" s="197">
        <f>IF((H746)=0,"",(L746/H746))</f>
        <v>-9.8420610248993456E-3</v>
      </c>
    </row>
    <row r="747" spans="1:13" ht="15.75" thickBot="1" x14ac:dyDescent="0.3">
      <c r="A747" s="100" t="str">
        <f t="shared" si="103"/>
        <v>GENERAL SERVICE LESS THAN 50 KW SERVICE CLASSIFICATION</v>
      </c>
      <c r="B747" s="100" t="s">
        <v>121</v>
      </c>
      <c r="C747" s="117"/>
      <c r="D747" s="165"/>
      <c r="E747" s="166"/>
      <c r="F747" s="202"/>
      <c r="G747" s="203"/>
      <c r="H747" s="204"/>
      <c r="I747" s="202"/>
      <c r="J747" s="205"/>
      <c r="K747" s="204"/>
      <c r="L747" s="206"/>
      <c r="M747" s="207"/>
    </row>
    <row r="750" spans="1:13" x14ac:dyDescent="0.25">
      <c r="C750" s="100"/>
      <c r="D750" s="101" t="s">
        <v>134</v>
      </c>
      <c r="E750" s="302" t="str">
        <f>D42</f>
        <v>GENERAL SERVICE LESS THAN 50 KW SERVICE CLASSIFICATION</v>
      </c>
      <c r="F750" s="302"/>
      <c r="G750" s="302"/>
      <c r="H750" s="302"/>
      <c r="I750" s="302"/>
      <c r="J750" s="302"/>
      <c r="K750" s="100" t="str">
        <f>IF(N42="DEMAND - INTERVAL","RTSR - INTERVAL METERED","")</f>
        <v/>
      </c>
    </row>
    <row r="751" spans="1:13" x14ac:dyDescent="0.25">
      <c r="C751" s="100"/>
      <c r="D751" s="101" t="s">
        <v>135</v>
      </c>
      <c r="E751" s="303" t="str">
        <f>H42</f>
        <v>RPP</v>
      </c>
      <c r="F751" s="303"/>
      <c r="G751" s="303"/>
      <c r="H751" s="102"/>
      <c r="I751" s="102"/>
    </row>
    <row r="752" spans="1:13" ht="15.75" x14ac:dyDescent="0.25">
      <c r="C752" s="100"/>
      <c r="D752" s="101" t="s">
        <v>136</v>
      </c>
      <c r="E752" s="103">
        <f>K42</f>
        <v>15000</v>
      </c>
      <c r="F752" s="104" t="s">
        <v>137</v>
      </c>
      <c r="G752" s="105"/>
      <c r="J752" s="106"/>
      <c r="K752" s="106"/>
      <c r="L752" s="106"/>
      <c r="M752" s="106"/>
    </row>
    <row r="753" spans="1:13" ht="15.75" x14ac:dyDescent="0.25">
      <c r="C753" s="100"/>
      <c r="D753" s="101" t="s">
        <v>138</v>
      </c>
      <c r="E753" s="103">
        <f>L42</f>
        <v>0</v>
      </c>
      <c r="F753" s="107" t="s">
        <v>139</v>
      </c>
      <c r="G753" s="108"/>
      <c r="H753" s="109"/>
      <c r="I753" s="109"/>
      <c r="J753" s="109"/>
    </row>
    <row r="754" spans="1:13" x14ac:dyDescent="0.25">
      <c r="C754" s="100"/>
      <c r="D754" s="101" t="s">
        <v>140</v>
      </c>
      <c r="E754" s="110">
        <f>I42</f>
        <v>1.056</v>
      </c>
    </row>
    <row r="755" spans="1:13" x14ac:dyDescent="0.25">
      <c r="C755" s="100"/>
      <c r="D755" s="101" t="s">
        <v>141</v>
      </c>
      <c r="E755" s="110">
        <f>J42</f>
        <v>1.056</v>
      </c>
    </row>
    <row r="756" spans="1:13" x14ac:dyDescent="0.25">
      <c r="C756" s="100"/>
      <c r="D756" s="105"/>
    </row>
    <row r="757" spans="1:13" x14ac:dyDescent="0.25">
      <c r="C757" s="100"/>
      <c r="D757" s="105"/>
      <c r="E757" s="111"/>
      <c r="F757" s="304" t="s">
        <v>142</v>
      </c>
      <c r="G757" s="305"/>
      <c r="H757" s="306"/>
      <c r="I757" s="304" t="s">
        <v>143</v>
      </c>
      <c r="J757" s="305"/>
      <c r="K757" s="306"/>
      <c r="L757" s="304" t="s">
        <v>144</v>
      </c>
      <c r="M757" s="306"/>
    </row>
    <row r="758" spans="1:13" x14ac:dyDescent="0.25">
      <c r="C758" s="100"/>
      <c r="D758" s="105"/>
      <c r="E758" s="295"/>
      <c r="F758" s="112" t="s">
        <v>145</v>
      </c>
      <c r="G758" s="112" t="s">
        <v>146</v>
      </c>
      <c r="H758" s="113" t="s">
        <v>147</v>
      </c>
      <c r="I758" s="112" t="s">
        <v>145</v>
      </c>
      <c r="J758" s="114" t="s">
        <v>146</v>
      </c>
      <c r="K758" s="113" t="s">
        <v>147</v>
      </c>
      <c r="L758" s="297" t="s">
        <v>148</v>
      </c>
      <c r="M758" s="299" t="s">
        <v>149</v>
      </c>
    </row>
    <row r="759" spans="1:13" x14ac:dyDescent="0.25">
      <c r="C759" s="100"/>
      <c r="D759" s="105"/>
      <c r="E759" s="296"/>
      <c r="F759" s="115" t="s">
        <v>150</v>
      </c>
      <c r="G759" s="115"/>
      <c r="H759" s="116" t="s">
        <v>150</v>
      </c>
      <c r="I759" s="115" t="s">
        <v>150</v>
      </c>
      <c r="J759" s="116"/>
      <c r="K759" s="116" t="s">
        <v>150</v>
      </c>
      <c r="L759" s="298"/>
      <c r="M759" s="300"/>
    </row>
    <row r="760" spans="1:13" x14ac:dyDescent="0.25">
      <c r="A760" s="100" t="str">
        <f>$E750</f>
        <v>GENERAL SERVICE LESS THAN 50 KW SERVICE CLASSIFICATION</v>
      </c>
      <c r="C760" s="117"/>
      <c r="D760" s="118" t="s">
        <v>151</v>
      </c>
      <c r="E760" s="119"/>
      <c r="F760" s="120">
        <v>28.37</v>
      </c>
      <c r="G760" s="121">
        <v>1</v>
      </c>
      <c r="H760" s="122">
        <f>G760*F760</f>
        <v>28.37</v>
      </c>
      <c r="I760" s="123">
        <v>28.71</v>
      </c>
      <c r="J760" s="124">
        <f>G760</f>
        <v>1</v>
      </c>
      <c r="K760" s="122">
        <f>J760*I760</f>
        <v>28.71</v>
      </c>
      <c r="L760" s="125">
        <f t="shared" ref="L760:L781" si="108">K760-H760</f>
        <v>0.33999999999999986</v>
      </c>
      <c r="M760" s="126">
        <f>IF(ISERROR(L760/H760), "", L760/H760)</f>
        <v>1.198449065914698E-2</v>
      </c>
    </row>
    <row r="761" spans="1:13" x14ac:dyDescent="0.25">
      <c r="A761" s="100" t="str">
        <f>A760</f>
        <v>GENERAL SERVICE LESS THAN 50 KW SERVICE CLASSIFICATION</v>
      </c>
      <c r="C761" s="117"/>
      <c r="D761" s="118" t="s">
        <v>152</v>
      </c>
      <c r="E761" s="119"/>
      <c r="F761" s="127">
        <v>1.0200000000000001E-2</v>
      </c>
      <c r="G761" s="121">
        <f>IF($E753&gt;0, $E753, $E752)</f>
        <v>15000</v>
      </c>
      <c r="H761" s="122">
        <f t="shared" ref="H761:H773" si="109">G761*F761</f>
        <v>153</v>
      </c>
      <c r="I761" s="128">
        <v>1.03E-2</v>
      </c>
      <c r="J761" s="124">
        <f>IF($E753&gt;0, $E753, $E752)</f>
        <v>15000</v>
      </c>
      <c r="K761" s="122">
        <f>J761*I761</f>
        <v>154.5</v>
      </c>
      <c r="L761" s="125">
        <f t="shared" si="108"/>
        <v>1.5</v>
      </c>
      <c r="M761" s="126">
        <f t="shared" ref="M761:M771" si="110">IF(ISERROR(L761/H761), "", L761/H761)</f>
        <v>9.8039215686274508E-3</v>
      </c>
    </row>
    <row r="762" spans="1:13" x14ac:dyDescent="0.25">
      <c r="A762" s="100" t="str">
        <f t="shared" ref="A762:A803" si="111">A761</f>
        <v>GENERAL SERVICE LESS THAN 50 KW SERVICE CLASSIFICATION</v>
      </c>
      <c r="C762" s="117"/>
      <c r="D762" s="118" t="s">
        <v>153</v>
      </c>
      <c r="E762" s="119"/>
      <c r="F762" s="127"/>
      <c r="G762" s="121">
        <f>IF($E753&gt;0, $E753, $E752)</f>
        <v>15000</v>
      </c>
      <c r="H762" s="122">
        <v>0</v>
      </c>
      <c r="I762" s="128"/>
      <c r="J762" s="124">
        <f>IF($E753&gt;0, $E753, $E752)</f>
        <v>15000</v>
      </c>
      <c r="K762" s="122">
        <v>0</v>
      </c>
      <c r="L762" s="125"/>
      <c r="M762" s="126"/>
    </row>
    <row r="763" spans="1:13" x14ac:dyDescent="0.25">
      <c r="A763" s="100" t="str">
        <f t="shared" si="111"/>
        <v>GENERAL SERVICE LESS THAN 50 KW SERVICE CLASSIFICATION</v>
      </c>
      <c r="C763" s="117"/>
      <c r="D763" s="118" t="s">
        <v>154</v>
      </c>
      <c r="E763" s="119"/>
      <c r="F763" s="127"/>
      <c r="G763" s="121">
        <f>IF($E753&gt;0, $E753, $E752)</f>
        <v>15000</v>
      </c>
      <c r="H763" s="122">
        <v>0</v>
      </c>
      <c r="I763" s="128"/>
      <c r="J763" s="121">
        <f>IF($E753&gt;0, $E753, $E752)</f>
        <v>15000</v>
      </c>
      <c r="K763" s="122">
        <v>0</v>
      </c>
      <c r="L763" s="125">
        <f>K763-H763</f>
        <v>0</v>
      </c>
      <c r="M763" s="126" t="str">
        <f>IF(ISERROR(L763/H763), "", L763/H763)</f>
        <v/>
      </c>
    </row>
    <row r="764" spans="1:13" x14ac:dyDescent="0.25">
      <c r="A764" s="100" t="str">
        <f t="shared" si="111"/>
        <v>GENERAL SERVICE LESS THAN 50 KW SERVICE CLASSIFICATION</v>
      </c>
      <c r="C764" s="117"/>
      <c r="D764" s="129" t="s">
        <v>155</v>
      </c>
      <c r="E764" s="119"/>
      <c r="F764" s="120">
        <v>0</v>
      </c>
      <c r="G764" s="121">
        <v>1</v>
      </c>
      <c r="H764" s="122">
        <f t="shared" si="109"/>
        <v>0</v>
      </c>
      <c r="I764" s="226">
        <f>'Rate Riders'!O9</f>
        <v>5.0258152524611814</v>
      </c>
      <c r="J764" s="124">
        <f>G764</f>
        <v>1</v>
      </c>
      <c r="K764" s="122">
        <f t="shared" ref="K764:K771" si="112">J764*I764</f>
        <v>5.0258152524611814</v>
      </c>
      <c r="L764" s="125">
        <f t="shared" si="108"/>
        <v>5.0258152524611814</v>
      </c>
      <c r="M764" s="126" t="str">
        <f t="shared" si="110"/>
        <v/>
      </c>
    </row>
    <row r="765" spans="1:13" x14ac:dyDescent="0.25">
      <c r="A765" s="100" t="str">
        <f t="shared" si="111"/>
        <v>GENERAL SERVICE LESS THAN 50 KW SERVICE CLASSIFICATION</v>
      </c>
      <c r="C765" s="117"/>
      <c r="D765" s="118" t="s">
        <v>156</v>
      </c>
      <c r="E765" s="119"/>
      <c r="F765" s="127">
        <v>0</v>
      </c>
      <c r="G765" s="121">
        <f>IF($E753&gt;0, $E753, $E752)</f>
        <v>15000</v>
      </c>
      <c r="H765" s="122">
        <f t="shared" si="109"/>
        <v>0</v>
      </c>
      <c r="I765" s="227">
        <f>'Rate Riders'!P9</f>
        <v>1.8069550784315846E-3</v>
      </c>
      <c r="J765" s="124">
        <f>IF($E753&gt;0, $E753, $E752)</f>
        <v>15000</v>
      </c>
      <c r="K765" s="122">
        <f t="shared" si="112"/>
        <v>27.104326176473769</v>
      </c>
      <c r="L765" s="125">
        <f t="shared" si="108"/>
        <v>27.104326176473769</v>
      </c>
      <c r="M765" s="126" t="str">
        <f t="shared" si="110"/>
        <v/>
      </c>
    </row>
    <row r="766" spans="1:13" x14ac:dyDescent="0.25">
      <c r="A766" s="100" t="str">
        <f t="shared" si="111"/>
        <v>GENERAL SERVICE LESS THAN 50 KW SERVICE CLASSIFICATION</v>
      </c>
      <c r="B766" s="130" t="s">
        <v>157</v>
      </c>
      <c r="C766" s="117">
        <f>B42</f>
        <v>13</v>
      </c>
      <c r="D766" s="131" t="s">
        <v>158</v>
      </c>
      <c r="E766" s="132"/>
      <c r="F766" s="133"/>
      <c r="G766" s="134"/>
      <c r="H766" s="135">
        <f>SUM(H760:H765)</f>
        <v>181.37</v>
      </c>
      <c r="I766" s="136"/>
      <c r="J766" s="137"/>
      <c r="K766" s="135">
        <f>SUM(K760:K765)</f>
        <v>215.34014142893494</v>
      </c>
      <c r="L766" s="138">
        <f t="shared" si="108"/>
        <v>33.970141428934937</v>
      </c>
      <c r="M766" s="139">
        <f>IF((H766)=0,"",(L766/H766))</f>
        <v>0.18729746611311096</v>
      </c>
    </row>
    <row r="767" spans="1:13" x14ac:dyDescent="0.25">
      <c r="A767" s="100" t="str">
        <f t="shared" si="111"/>
        <v>GENERAL SERVICE LESS THAN 50 KW SERVICE CLASSIFICATION</v>
      </c>
      <c r="C767" s="117"/>
      <c r="D767" s="140" t="s">
        <v>159</v>
      </c>
      <c r="E767" s="119"/>
      <c r="F767" s="127">
        <f>IF((E752*12&gt;=150000), 0, IF(E751="RPP",(F783*0.65+F784*0.17+F785*0.18),IF(E751="Non-RPP (Retailer)",F786,F787)))</f>
        <v>0</v>
      </c>
      <c r="G767" s="141">
        <f>IF(F767=0, 0, $E752*E754-E752)</f>
        <v>0</v>
      </c>
      <c r="H767" s="122">
        <f>G767*F767</f>
        <v>0</v>
      </c>
      <c r="I767" s="128">
        <f>IF((E752*12&gt;=150000), 0, IF(E751="RPP",(I783*0.65+I784*0.17+I785*0.18),IF(E751="Non-RPP (Retailer)",I786,I787)))</f>
        <v>0</v>
      </c>
      <c r="J767" s="141">
        <f>IF(I767=0, 0, E752*E755-E752)</f>
        <v>0</v>
      </c>
      <c r="K767" s="122">
        <f>J767*I767</f>
        <v>0</v>
      </c>
      <c r="L767" s="125">
        <f>K767-H767</f>
        <v>0</v>
      </c>
      <c r="M767" s="126" t="str">
        <f>IF(ISERROR(L767/H767), "", L767/H767)</f>
        <v/>
      </c>
    </row>
    <row r="768" spans="1:13" ht="25.5" x14ac:dyDescent="0.25">
      <c r="A768" s="100" t="str">
        <f t="shared" si="111"/>
        <v>GENERAL SERVICE LESS THAN 50 KW SERVICE CLASSIFICATION</v>
      </c>
      <c r="C768" s="117"/>
      <c r="D768" s="140" t="s">
        <v>160</v>
      </c>
      <c r="E768" s="119"/>
      <c r="F768" s="127">
        <v>-1.4E-3</v>
      </c>
      <c r="G768" s="142">
        <f>IF($E753&gt;0, $E753, $E752)</f>
        <v>15000</v>
      </c>
      <c r="H768" s="122">
        <f t="shared" si="109"/>
        <v>-21</v>
      </c>
      <c r="I768" s="128">
        <v>-5.3E-3</v>
      </c>
      <c r="J768" s="142">
        <f>IF($E753&gt;0, $E753, $E752)</f>
        <v>15000</v>
      </c>
      <c r="K768" s="122">
        <f t="shared" si="112"/>
        <v>-79.5</v>
      </c>
      <c r="L768" s="125">
        <f t="shared" si="108"/>
        <v>-58.5</v>
      </c>
      <c r="M768" s="126">
        <f t="shared" si="110"/>
        <v>2.7857142857142856</v>
      </c>
    </row>
    <row r="769" spans="1:13" x14ac:dyDescent="0.25">
      <c r="A769" s="100" t="str">
        <f t="shared" si="111"/>
        <v>GENERAL SERVICE LESS THAN 50 KW SERVICE CLASSIFICATION</v>
      </c>
      <c r="C769" s="117"/>
      <c r="D769" s="140" t="s">
        <v>161</v>
      </c>
      <c r="E769" s="119"/>
      <c r="F769" s="127">
        <v>-1E-4</v>
      </c>
      <c r="G769" s="142">
        <f>IF($E753&gt;0, $E753, $E752)</f>
        <v>15000</v>
      </c>
      <c r="H769" s="122">
        <f>G769*F769</f>
        <v>-1.5</v>
      </c>
      <c r="I769" s="128">
        <v>0</v>
      </c>
      <c r="J769" s="142">
        <f>IF($E753&gt;0, $E753, $E752)</f>
        <v>15000</v>
      </c>
      <c r="K769" s="122">
        <f>J769*I769</f>
        <v>0</v>
      </c>
      <c r="L769" s="125">
        <f t="shared" si="108"/>
        <v>1.5</v>
      </c>
      <c r="M769" s="126">
        <f t="shared" si="110"/>
        <v>-1</v>
      </c>
    </row>
    <row r="770" spans="1:13" x14ac:dyDescent="0.25">
      <c r="A770" s="100" t="str">
        <f t="shared" si="111"/>
        <v>GENERAL SERVICE LESS THAN 50 KW SERVICE CLASSIFICATION</v>
      </c>
      <c r="C770" s="117"/>
      <c r="D770" s="140" t="s">
        <v>162</v>
      </c>
      <c r="E770" s="119"/>
      <c r="F770" s="127">
        <v>0</v>
      </c>
      <c r="G770" s="142">
        <f>E752</f>
        <v>15000</v>
      </c>
      <c r="H770" s="122">
        <f>G770*F770</f>
        <v>0</v>
      </c>
      <c r="I770" s="128">
        <v>0</v>
      </c>
      <c r="J770" s="142">
        <f>E752</f>
        <v>15000</v>
      </c>
      <c r="K770" s="122">
        <f t="shared" si="112"/>
        <v>0</v>
      </c>
      <c r="L770" s="125">
        <f t="shared" si="108"/>
        <v>0</v>
      </c>
      <c r="M770" s="126" t="str">
        <f t="shared" si="110"/>
        <v/>
      </c>
    </row>
    <row r="771" spans="1:13" x14ac:dyDescent="0.25">
      <c r="A771" s="100" t="str">
        <f t="shared" si="111"/>
        <v>GENERAL SERVICE LESS THAN 50 KW SERVICE CLASSIFICATION</v>
      </c>
      <c r="C771" s="117"/>
      <c r="D771" s="143" t="s">
        <v>163</v>
      </c>
      <c r="E771" s="119"/>
      <c r="F771" s="127">
        <v>2.3999999999999998E-3</v>
      </c>
      <c r="G771" s="142">
        <f>IF($E753&gt;0, $E753, $E752)</f>
        <v>15000</v>
      </c>
      <c r="H771" s="122">
        <f t="shared" si="109"/>
        <v>36</v>
      </c>
      <c r="I771" s="128">
        <v>2.3999999999999998E-3</v>
      </c>
      <c r="J771" s="142">
        <f>IF($E753&gt;0, $E753, $E752)</f>
        <v>15000</v>
      </c>
      <c r="K771" s="122">
        <f t="shared" si="112"/>
        <v>36</v>
      </c>
      <c r="L771" s="125">
        <f t="shared" si="108"/>
        <v>0</v>
      </c>
      <c r="M771" s="126">
        <f t="shared" si="110"/>
        <v>0</v>
      </c>
    </row>
    <row r="772" spans="1:13" ht="25.5" x14ac:dyDescent="0.25">
      <c r="A772" s="100" t="str">
        <f t="shared" si="111"/>
        <v>GENERAL SERVICE LESS THAN 50 KW SERVICE CLASSIFICATION</v>
      </c>
      <c r="C772" s="117"/>
      <c r="D772" s="144" t="s">
        <v>164</v>
      </c>
      <c r="E772" s="119"/>
      <c r="F772" s="145">
        <f>IF(OR(ISNUMBER(SEARCH("RESIDENTIAL", E750))=TRUE, ISNUMBER(SEARCH("GENERAL SERVICE LESS THAN 50", E750))=TRUE), SME, 0)</f>
        <v>0.56999999999999995</v>
      </c>
      <c r="G772" s="121">
        <v>1</v>
      </c>
      <c r="H772" s="122">
        <f>G772*F772</f>
        <v>0.56999999999999995</v>
      </c>
      <c r="I772" s="146">
        <f>IF(OR(ISNUMBER(SEARCH("RESIDENTIAL", E750))=TRUE, ISNUMBER(SEARCH("GENERAL SERVICE LESS THAN 50", E750))=TRUE), SME, 0)</f>
        <v>0.56999999999999995</v>
      </c>
      <c r="J772" s="121">
        <v>1</v>
      </c>
      <c r="K772" s="122">
        <f>J772*I772</f>
        <v>0.56999999999999995</v>
      </c>
      <c r="L772" s="125">
        <f t="shared" si="108"/>
        <v>0</v>
      </c>
      <c r="M772" s="126">
        <f>IF(ISERROR(L772/H772), "", L772/H772)</f>
        <v>0</v>
      </c>
    </row>
    <row r="773" spans="1:13" x14ac:dyDescent="0.25">
      <c r="A773" s="100" t="str">
        <f t="shared" si="111"/>
        <v>GENERAL SERVICE LESS THAN 50 KW SERVICE CLASSIFICATION</v>
      </c>
      <c r="C773" s="117"/>
      <c r="D773" s="143" t="s">
        <v>165</v>
      </c>
      <c r="E773" s="119"/>
      <c r="F773" s="120">
        <v>0</v>
      </c>
      <c r="G773" s="121">
        <v>1</v>
      </c>
      <c r="H773" s="122">
        <f t="shared" si="109"/>
        <v>0</v>
      </c>
      <c r="I773" s="123">
        <v>0</v>
      </c>
      <c r="J773" s="121">
        <v>1</v>
      </c>
      <c r="K773" s="122">
        <f>J773*I773</f>
        <v>0</v>
      </c>
      <c r="L773" s="125">
        <f>K773-H773</f>
        <v>0</v>
      </c>
      <c r="M773" s="126" t="str">
        <f>IF(ISERROR(L773/H773), "", L773/H773)</f>
        <v/>
      </c>
    </row>
    <row r="774" spans="1:13" x14ac:dyDescent="0.25">
      <c r="A774" s="100" t="str">
        <f t="shared" si="111"/>
        <v>GENERAL SERVICE LESS THAN 50 KW SERVICE CLASSIFICATION</v>
      </c>
      <c r="C774" s="117"/>
      <c r="D774" s="143" t="s">
        <v>166</v>
      </c>
      <c r="E774" s="119"/>
      <c r="F774" s="127"/>
      <c r="G774" s="142">
        <f>IF($E753&gt;0, $E753, $E752)</f>
        <v>15000</v>
      </c>
      <c r="H774" s="122">
        <f>G774*F774</f>
        <v>0</v>
      </c>
      <c r="I774" s="128">
        <v>0</v>
      </c>
      <c r="J774" s="142">
        <f>IF($E753&gt;0, $E753, $E752)</f>
        <v>15000</v>
      </c>
      <c r="K774" s="122">
        <f>J774*I774</f>
        <v>0</v>
      </c>
      <c r="L774" s="125">
        <f t="shared" si="108"/>
        <v>0</v>
      </c>
      <c r="M774" s="126" t="str">
        <f>IF(ISERROR(L774/H774), "", L774/H774)</f>
        <v/>
      </c>
    </row>
    <row r="775" spans="1:13" ht="25.5" x14ac:dyDescent="0.25">
      <c r="A775" s="100" t="str">
        <f t="shared" si="111"/>
        <v>GENERAL SERVICE LESS THAN 50 KW SERVICE CLASSIFICATION</v>
      </c>
      <c r="B775" s="105" t="s">
        <v>167</v>
      </c>
      <c r="C775" s="117">
        <f>B42</f>
        <v>13</v>
      </c>
      <c r="D775" s="147" t="s">
        <v>168</v>
      </c>
      <c r="E775" s="148"/>
      <c r="F775" s="149"/>
      <c r="G775" s="150"/>
      <c r="H775" s="151">
        <f>SUM(H766:H774)</f>
        <v>195.44</v>
      </c>
      <c r="I775" s="152"/>
      <c r="J775" s="153"/>
      <c r="K775" s="151">
        <f>SUM(K766:K774)</f>
        <v>172.41014142893493</v>
      </c>
      <c r="L775" s="138">
        <f t="shared" si="108"/>
        <v>-23.029858571065063</v>
      </c>
      <c r="M775" s="139">
        <f>IF((H775)=0,"",(L775/H775))</f>
        <v>-0.1178359525740128</v>
      </c>
    </row>
    <row r="776" spans="1:13" x14ac:dyDescent="0.25">
      <c r="A776" s="100" t="str">
        <f t="shared" si="111"/>
        <v>GENERAL SERVICE LESS THAN 50 KW SERVICE CLASSIFICATION</v>
      </c>
      <c r="C776" s="117"/>
      <c r="D776" s="154" t="s">
        <v>169</v>
      </c>
      <c r="E776" s="119"/>
      <c r="F776" s="127">
        <v>6.0000000000000001E-3</v>
      </c>
      <c r="G776" s="141">
        <f>IF($E753&gt;0, $E753, $E752*$E754)</f>
        <v>15840</v>
      </c>
      <c r="H776" s="122">
        <f>G776*F776</f>
        <v>95.04</v>
      </c>
      <c r="I776" s="128">
        <v>5.7000000000000002E-3</v>
      </c>
      <c r="J776" s="141">
        <f>IF($E753&gt;0, $E753, $E752*$E755)</f>
        <v>15840</v>
      </c>
      <c r="K776" s="122">
        <f>J776*I776</f>
        <v>90.287999999999997</v>
      </c>
      <c r="L776" s="125">
        <f t="shared" si="108"/>
        <v>-4.7520000000000095</v>
      </c>
      <c r="M776" s="126">
        <f>IF(ISERROR(L776/H776), "", L776/H776)</f>
        <v>-5.00000000000001E-2</v>
      </c>
    </row>
    <row r="777" spans="1:13" ht="25.5" x14ac:dyDescent="0.25">
      <c r="A777" s="100" t="str">
        <f t="shared" si="111"/>
        <v>GENERAL SERVICE LESS THAN 50 KW SERVICE CLASSIFICATION</v>
      </c>
      <c r="C777" s="117"/>
      <c r="D777" s="155" t="s">
        <v>170</v>
      </c>
      <c r="E777" s="119"/>
      <c r="F777" s="127">
        <v>5.3E-3</v>
      </c>
      <c r="G777" s="141">
        <f>IF($E753&gt;0, $E753, $E752*$E754)</f>
        <v>15840</v>
      </c>
      <c r="H777" s="122">
        <f>G777*F777</f>
        <v>83.951999999999998</v>
      </c>
      <c r="I777" s="128">
        <v>5.0000000000000001E-3</v>
      </c>
      <c r="J777" s="141">
        <f>IF($E753&gt;0, $E753, $E752*$E755)</f>
        <v>15840</v>
      </c>
      <c r="K777" s="122">
        <f>J777*I777</f>
        <v>79.2</v>
      </c>
      <c r="L777" s="125">
        <f t="shared" si="108"/>
        <v>-4.7519999999999953</v>
      </c>
      <c r="M777" s="126">
        <f>IF(ISERROR(L777/H777), "", L777/H777)</f>
        <v>-5.6603773584905606E-2</v>
      </c>
    </row>
    <row r="778" spans="1:13" ht="25.5" x14ac:dyDescent="0.25">
      <c r="A778" s="100" t="str">
        <f t="shared" si="111"/>
        <v>GENERAL SERVICE LESS THAN 50 KW SERVICE CLASSIFICATION</v>
      </c>
      <c r="B778" s="105" t="s">
        <v>171</v>
      </c>
      <c r="C778" s="117">
        <f>B42</f>
        <v>13</v>
      </c>
      <c r="D778" s="147" t="s">
        <v>172</v>
      </c>
      <c r="E778" s="132"/>
      <c r="F778" s="149"/>
      <c r="G778" s="150"/>
      <c r="H778" s="151">
        <f>SUM(H775:H777)</f>
        <v>374.43200000000002</v>
      </c>
      <c r="I778" s="152"/>
      <c r="J778" s="137"/>
      <c r="K778" s="151">
        <f>SUM(K775:K777)</f>
        <v>341.89814142893493</v>
      </c>
      <c r="L778" s="138">
        <f t="shared" si="108"/>
        <v>-32.533858571065082</v>
      </c>
      <c r="M778" s="139">
        <f>IF((H778)=0,"",(L778/H778))</f>
        <v>-8.6888563400203719E-2</v>
      </c>
    </row>
    <row r="779" spans="1:13" ht="25.5" x14ac:dyDescent="0.25">
      <c r="A779" s="100" t="str">
        <f t="shared" si="111"/>
        <v>GENERAL SERVICE LESS THAN 50 KW SERVICE CLASSIFICATION</v>
      </c>
      <c r="C779" s="117"/>
      <c r="D779" s="156" t="s">
        <v>173</v>
      </c>
      <c r="E779" s="119"/>
      <c r="F779" s="127">
        <v>3.6000000000000003E-3</v>
      </c>
      <c r="G779" s="141">
        <f>E752*E754</f>
        <v>15840</v>
      </c>
      <c r="H779" s="157">
        <f t="shared" ref="H779:H785" si="113">G779*F779</f>
        <v>57.024000000000008</v>
      </c>
      <c r="I779" s="128">
        <v>3.6000000000000003E-3</v>
      </c>
      <c r="J779" s="141">
        <f>E752*E755</f>
        <v>15840</v>
      </c>
      <c r="K779" s="157">
        <f t="shared" ref="K779:K785" si="114">J779*I779</f>
        <v>57.024000000000008</v>
      </c>
      <c r="L779" s="125">
        <f t="shared" si="108"/>
        <v>0</v>
      </c>
      <c r="M779" s="126">
        <f t="shared" ref="M779:M787" si="115">IF(ISERROR(L779/H779), "", L779/H779)</f>
        <v>0</v>
      </c>
    </row>
    <row r="780" spans="1:13" ht="25.5" x14ac:dyDescent="0.25">
      <c r="A780" s="100" t="str">
        <f t="shared" si="111"/>
        <v>GENERAL SERVICE LESS THAN 50 KW SERVICE CLASSIFICATION</v>
      </c>
      <c r="C780" s="117"/>
      <c r="D780" s="156" t="s">
        <v>174</v>
      </c>
      <c r="E780" s="119"/>
      <c r="F780" s="127">
        <f>'[1]17. Regulatory Charges'!$D$16</f>
        <v>2.9999999999999997E-4</v>
      </c>
      <c r="G780" s="141">
        <f>E752*E754</f>
        <v>15840</v>
      </c>
      <c r="H780" s="157">
        <f t="shared" si="113"/>
        <v>4.7519999999999998</v>
      </c>
      <c r="I780" s="128">
        <v>2.9999999999999997E-4</v>
      </c>
      <c r="J780" s="141">
        <f>E752*E755</f>
        <v>15840</v>
      </c>
      <c r="K780" s="157">
        <f t="shared" si="114"/>
        <v>4.7519999999999998</v>
      </c>
      <c r="L780" s="125">
        <f t="shared" si="108"/>
        <v>0</v>
      </c>
      <c r="M780" s="126">
        <f t="shared" si="115"/>
        <v>0</v>
      </c>
    </row>
    <row r="781" spans="1:13" x14ac:dyDescent="0.25">
      <c r="A781" s="100" t="str">
        <f t="shared" si="111"/>
        <v>GENERAL SERVICE LESS THAN 50 KW SERVICE CLASSIFICATION</v>
      </c>
      <c r="C781" s="117"/>
      <c r="D781" s="158" t="s">
        <v>175</v>
      </c>
      <c r="E781" s="119"/>
      <c r="F781" s="145">
        <v>0.25</v>
      </c>
      <c r="G781" s="121">
        <v>1</v>
      </c>
      <c r="H781" s="157">
        <f t="shared" si="113"/>
        <v>0.25</v>
      </c>
      <c r="I781" s="146">
        <f>'[1]17. Regulatory Charges'!$D$17</f>
        <v>0.25</v>
      </c>
      <c r="J781" s="124">
        <v>1</v>
      </c>
      <c r="K781" s="157">
        <f t="shared" si="114"/>
        <v>0.25</v>
      </c>
      <c r="L781" s="125">
        <f t="shared" si="108"/>
        <v>0</v>
      </c>
      <c r="M781" s="126">
        <f t="shared" si="115"/>
        <v>0</v>
      </c>
    </row>
    <row r="782" spans="1:13" ht="25.5" x14ac:dyDescent="0.25">
      <c r="A782" s="100" t="str">
        <f t="shared" si="111"/>
        <v>GENERAL SERVICE LESS THAN 50 KW SERVICE CLASSIFICATION</v>
      </c>
      <c r="C782" s="117"/>
      <c r="D782" s="156" t="s">
        <v>176</v>
      </c>
      <c r="E782" s="119"/>
      <c r="F782" s="127"/>
      <c r="G782" s="141"/>
      <c r="H782" s="157"/>
      <c r="I782" s="128"/>
      <c r="J782" s="141"/>
      <c r="K782" s="157"/>
      <c r="L782" s="125"/>
      <c r="M782" s="126"/>
    </row>
    <row r="783" spans="1:13" x14ac:dyDescent="0.25">
      <c r="A783" s="100" t="str">
        <f t="shared" si="111"/>
        <v>GENERAL SERVICE LESS THAN 50 KW SERVICE CLASSIFICATION</v>
      </c>
      <c r="B783" s="105" t="s">
        <v>117</v>
      </c>
      <c r="C783" s="117"/>
      <c r="D783" s="159" t="s">
        <v>177</v>
      </c>
      <c r="E783" s="119"/>
      <c r="F783" s="160">
        <f>OffPeak</f>
        <v>6.5000000000000002E-2</v>
      </c>
      <c r="G783" s="161">
        <f>IF(AND(E752*12&gt;=150000),0.65*E752*E754,0.65*E752)</f>
        <v>10296</v>
      </c>
      <c r="H783" s="157">
        <f t="shared" si="113"/>
        <v>669.24</v>
      </c>
      <c r="I783" s="162">
        <f>OffPeak</f>
        <v>6.5000000000000002E-2</v>
      </c>
      <c r="J783" s="161">
        <f>IF(AND(E752*12&gt;=150000),0.65*E752*E755,0.65*E752)</f>
        <v>10296</v>
      </c>
      <c r="K783" s="157">
        <f t="shared" si="114"/>
        <v>669.24</v>
      </c>
      <c r="L783" s="125">
        <f>K783-H783</f>
        <v>0</v>
      </c>
      <c r="M783" s="126">
        <f t="shared" si="115"/>
        <v>0</v>
      </c>
    </row>
    <row r="784" spans="1:13" x14ac:dyDescent="0.25">
      <c r="A784" s="100" t="str">
        <f t="shared" si="111"/>
        <v>GENERAL SERVICE LESS THAN 50 KW SERVICE CLASSIFICATION</v>
      </c>
      <c r="B784" s="105" t="s">
        <v>117</v>
      </c>
      <c r="C784" s="117"/>
      <c r="D784" s="159" t="s">
        <v>178</v>
      </c>
      <c r="E784" s="119"/>
      <c r="F784" s="160">
        <f>MidPeak</f>
        <v>9.4E-2</v>
      </c>
      <c r="G784" s="161">
        <f>IF(AND(E752*12&gt;=150000),0.17*E752*E754,0.17*E752)</f>
        <v>2692.8</v>
      </c>
      <c r="H784" s="157">
        <f t="shared" si="113"/>
        <v>253.12320000000003</v>
      </c>
      <c r="I784" s="162">
        <f>MidPeak</f>
        <v>9.4E-2</v>
      </c>
      <c r="J784" s="161">
        <f>IF(AND(E752*12&gt;=150000),0.17*E752*E755,0.17*E752)</f>
        <v>2692.8</v>
      </c>
      <c r="K784" s="157">
        <f t="shared" si="114"/>
        <v>253.12320000000003</v>
      </c>
      <c r="L784" s="125">
        <f>K784-H784</f>
        <v>0</v>
      </c>
      <c r="M784" s="126">
        <f t="shared" si="115"/>
        <v>0</v>
      </c>
    </row>
    <row r="785" spans="1:13" ht="15.75" thickBot="1" x14ac:dyDescent="0.3">
      <c r="A785" s="100" t="str">
        <f t="shared" si="111"/>
        <v>GENERAL SERVICE LESS THAN 50 KW SERVICE CLASSIFICATION</v>
      </c>
      <c r="B785" s="105" t="s">
        <v>117</v>
      </c>
      <c r="C785" s="117"/>
      <c r="D785" s="105" t="s">
        <v>179</v>
      </c>
      <c r="E785" s="119"/>
      <c r="F785" s="160">
        <f>OnPeak</f>
        <v>0.13200000000000001</v>
      </c>
      <c r="G785" s="161">
        <f>IF(AND(E752*12&gt;=150000),0.18*E752*E754,0.18*E752)</f>
        <v>2851.2000000000003</v>
      </c>
      <c r="H785" s="157">
        <f t="shared" si="113"/>
        <v>376.35840000000007</v>
      </c>
      <c r="I785" s="162">
        <f>OnPeak</f>
        <v>0.13200000000000001</v>
      </c>
      <c r="J785" s="161">
        <f>IF(AND(E752*12&gt;=150000),0.18*E752*E755,0.18*E752)</f>
        <v>2851.2000000000003</v>
      </c>
      <c r="K785" s="157">
        <f t="shared" si="114"/>
        <v>376.35840000000007</v>
      </c>
      <c r="L785" s="125">
        <f>K785-H785</f>
        <v>0</v>
      </c>
      <c r="M785" s="126">
        <f t="shared" si="115"/>
        <v>0</v>
      </c>
    </row>
    <row r="786" spans="1:13" hidden="1" x14ac:dyDescent="0.25">
      <c r="A786" s="100" t="str">
        <f t="shared" si="111"/>
        <v>GENERAL SERVICE LESS THAN 50 KW SERVICE CLASSIFICATION</v>
      </c>
      <c r="B786" s="100" t="s">
        <v>180</v>
      </c>
      <c r="C786" s="117"/>
      <c r="D786" s="159" t="s">
        <v>181</v>
      </c>
      <c r="E786" s="119"/>
      <c r="F786" s="163">
        <v>0.1101</v>
      </c>
      <c r="G786" s="161">
        <f>IF(AND(E752*12&gt;=150000),E752*E754,E752)</f>
        <v>15840</v>
      </c>
      <c r="H786" s="157">
        <f>G786*F786</f>
        <v>1743.9840000000002</v>
      </c>
      <c r="I786" s="164">
        <f>F786</f>
        <v>0.1101</v>
      </c>
      <c r="J786" s="161">
        <f>IF(AND(E752*12&gt;=150000),E752*E755,E752)</f>
        <v>15840</v>
      </c>
      <c r="K786" s="157">
        <f>J786*I786</f>
        <v>1743.9840000000002</v>
      </c>
      <c r="L786" s="125">
        <f>K786-H786</f>
        <v>0</v>
      </c>
      <c r="M786" s="126">
        <f t="shared" si="115"/>
        <v>0</v>
      </c>
    </row>
    <row r="787" spans="1:13" ht="15.75" hidden="1" thickBot="1" x14ac:dyDescent="0.3">
      <c r="A787" s="100" t="str">
        <f t="shared" si="111"/>
        <v>GENERAL SERVICE LESS THAN 50 KW SERVICE CLASSIFICATION</v>
      </c>
      <c r="B787" s="100" t="s">
        <v>121</v>
      </c>
      <c r="C787" s="117"/>
      <c r="D787" s="159" t="s">
        <v>182</v>
      </c>
      <c r="E787" s="119"/>
      <c r="F787" s="163">
        <v>0.1101</v>
      </c>
      <c r="G787" s="161">
        <f>IF(AND(E752*12&gt;=150000),E752*E754,E752)</f>
        <v>15840</v>
      </c>
      <c r="H787" s="157">
        <f>G787*F787</f>
        <v>1743.9840000000002</v>
      </c>
      <c r="I787" s="164">
        <f>F787</f>
        <v>0.1101</v>
      </c>
      <c r="J787" s="161">
        <f>IF(AND(E752*12&gt;=150000),E752*E755,E752)</f>
        <v>15840</v>
      </c>
      <c r="K787" s="157">
        <f>J787*I787</f>
        <v>1743.9840000000002</v>
      </c>
      <c r="L787" s="125">
        <f>K787-H787</f>
        <v>0</v>
      </c>
      <c r="M787" s="126">
        <f t="shared" si="115"/>
        <v>0</v>
      </c>
    </row>
    <row r="788" spans="1:13" ht="15.75" thickBot="1" x14ac:dyDescent="0.3">
      <c r="A788" s="100" t="str">
        <f t="shared" si="111"/>
        <v>GENERAL SERVICE LESS THAN 50 KW SERVICE CLASSIFICATION</v>
      </c>
      <c r="B788" s="105"/>
      <c r="C788" s="117"/>
      <c r="D788" s="165"/>
      <c r="E788" s="166"/>
      <c r="F788" s="167"/>
      <c r="G788" s="168"/>
      <c r="H788" s="169"/>
      <c r="I788" s="167"/>
      <c r="J788" s="170"/>
      <c r="K788" s="169"/>
      <c r="L788" s="171"/>
      <c r="M788" s="172"/>
    </row>
    <row r="789" spans="1:13" x14ac:dyDescent="0.25">
      <c r="A789" s="100" t="str">
        <f t="shared" si="111"/>
        <v>GENERAL SERVICE LESS THAN 50 KW SERVICE CLASSIFICATION</v>
      </c>
      <c r="B789" s="105" t="s">
        <v>117</v>
      </c>
      <c r="C789" s="117"/>
      <c r="D789" s="173" t="s">
        <v>183</v>
      </c>
      <c r="E789" s="158"/>
      <c r="F789" s="174"/>
      <c r="G789" s="175"/>
      <c r="H789" s="176">
        <f>SUM(H779:H785,H778)</f>
        <v>1735.1796000000002</v>
      </c>
      <c r="I789" s="177"/>
      <c r="J789" s="177"/>
      <c r="K789" s="176">
        <f>SUM(K779:K785,K778)</f>
        <v>1702.645741428935</v>
      </c>
      <c r="L789" s="178">
        <f>K789-H789</f>
        <v>-32.533858571065139</v>
      </c>
      <c r="M789" s="179">
        <f>IF((H789)=0,"",(L789/H789))</f>
        <v>-1.8749562622258315E-2</v>
      </c>
    </row>
    <row r="790" spans="1:13" x14ac:dyDescent="0.25">
      <c r="A790" s="100" t="str">
        <f t="shared" si="111"/>
        <v>GENERAL SERVICE LESS THAN 50 KW SERVICE CLASSIFICATION</v>
      </c>
      <c r="B790" s="105" t="s">
        <v>117</v>
      </c>
      <c r="C790" s="117"/>
      <c r="D790" s="180" t="s">
        <v>184</v>
      </c>
      <c r="E790" s="158"/>
      <c r="F790" s="174">
        <v>0.13</v>
      </c>
      <c r="G790" s="181"/>
      <c r="H790" s="182">
        <f>H789*F790</f>
        <v>225.57334800000004</v>
      </c>
      <c r="I790" s="183">
        <v>0.13</v>
      </c>
      <c r="J790" s="121"/>
      <c r="K790" s="182">
        <f>K789*I790</f>
        <v>221.34394638576157</v>
      </c>
      <c r="L790" s="184">
        <f>K790-H790</f>
        <v>-4.2294016142384692</v>
      </c>
      <c r="M790" s="185">
        <f>IF((H790)=0,"",(L790/H790))</f>
        <v>-1.8749562622258319E-2</v>
      </c>
    </row>
    <row r="791" spans="1:13" x14ac:dyDescent="0.25">
      <c r="A791" s="100" t="str">
        <f t="shared" si="111"/>
        <v>GENERAL SERVICE LESS THAN 50 KW SERVICE CLASSIFICATION</v>
      </c>
      <c r="B791" s="105" t="s">
        <v>117</v>
      </c>
      <c r="C791" s="117"/>
      <c r="D791" s="180" t="s">
        <v>185</v>
      </c>
      <c r="E791" s="158"/>
      <c r="F791" s="174">
        <v>0.08</v>
      </c>
      <c r="G791" s="181"/>
      <c r="H791" s="182">
        <f>H789*-F791</f>
        <v>-138.81436800000003</v>
      </c>
      <c r="I791" s="174">
        <v>0.08</v>
      </c>
      <c r="J791" s="121"/>
      <c r="K791" s="182">
        <f>K789*-I791</f>
        <v>-136.2116593143148</v>
      </c>
      <c r="L791" s="184">
        <f>K791-H791</f>
        <v>2.6027086856852293</v>
      </c>
      <c r="M791" s="185"/>
    </row>
    <row r="792" spans="1:13" ht="15.75" thickBot="1" x14ac:dyDescent="0.3">
      <c r="A792" s="100" t="str">
        <f t="shared" si="111"/>
        <v>GENERAL SERVICE LESS THAN 50 KW SERVICE CLASSIFICATION</v>
      </c>
      <c r="B792" s="105" t="s">
        <v>186</v>
      </c>
      <c r="C792" s="117">
        <f>B42</f>
        <v>13</v>
      </c>
      <c r="D792" s="301" t="s">
        <v>187</v>
      </c>
      <c r="E792" s="301"/>
      <c r="F792" s="186"/>
      <c r="G792" s="187"/>
      <c r="H792" s="188">
        <f>H789+H790+H791</f>
        <v>1821.9385800000002</v>
      </c>
      <c r="I792" s="189"/>
      <c r="J792" s="189"/>
      <c r="K792" s="190">
        <f>K789+K790+K791</f>
        <v>1787.7780285003817</v>
      </c>
      <c r="L792" s="191">
        <f>K792-H792</f>
        <v>-34.160551499618578</v>
      </c>
      <c r="M792" s="192">
        <f>IF((H792)=0,"",(L792/H792))</f>
        <v>-1.8749562622258416E-2</v>
      </c>
    </row>
    <row r="793" spans="1:13" ht="15.75" hidden="1" thickBot="1" x14ac:dyDescent="0.3">
      <c r="A793" s="100" t="str">
        <f t="shared" si="111"/>
        <v>GENERAL SERVICE LESS THAN 50 KW SERVICE CLASSIFICATION</v>
      </c>
      <c r="B793" s="100" t="s">
        <v>117</v>
      </c>
      <c r="C793" s="117"/>
      <c r="D793" s="165"/>
      <c r="E793" s="166"/>
      <c r="F793" s="167"/>
      <c r="G793" s="168"/>
      <c r="H793" s="169"/>
      <c r="I793" s="167"/>
      <c r="J793" s="170"/>
      <c r="K793" s="169"/>
      <c r="L793" s="171"/>
      <c r="M793" s="172"/>
    </row>
    <row r="794" spans="1:13" hidden="1" x14ac:dyDescent="0.25">
      <c r="A794" s="100" t="str">
        <f t="shared" si="111"/>
        <v>GENERAL SERVICE LESS THAN 50 KW SERVICE CLASSIFICATION</v>
      </c>
      <c r="B794" s="100" t="s">
        <v>180</v>
      </c>
      <c r="C794" s="117"/>
      <c r="D794" s="173" t="s">
        <v>188</v>
      </c>
      <c r="E794" s="158"/>
      <c r="F794" s="174"/>
      <c r="G794" s="175"/>
      <c r="H794" s="176">
        <f>SUM(H786,H779:H782,H778)</f>
        <v>2180.442</v>
      </c>
      <c r="I794" s="177"/>
      <c r="J794" s="177"/>
      <c r="K794" s="176">
        <f>SUM(K786,K779:K782,K778)</f>
        <v>2147.9081414289353</v>
      </c>
      <c r="L794" s="178">
        <f>K794-H794</f>
        <v>-32.533858571064684</v>
      </c>
      <c r="M794" s="179">
        <f>IF((H794)=0,"",(L794/H794))</f>
        <v>-1.4920763116406987E-2</v>
      </c>
    </row>
    <row r="795" spans="1:13" hidden="1" x14ac:dyDescent="0.25">
      <c r="A795" s="100" t="str">
        <f t="shared" si="111"/>
        <v>GENERAL SERVICE LESS THAN 50 KW SERVICE CLASSIFICATION</v>
      </c>
      <c r="B795" s="100" t="s">
        <v>180</v>
      </c>
      <c r="C795" s="117"/>
      <c r="D795" s="180" t="s">
        <v>184</v>
      </c>
      <c r="E795" s="158"/>
      <c r="F795" s="174">
        <v>0.13</v>
      </c>
      <c r="G795" s="175"/>
      <c r="H795" s="182">
        <f>H794*F795</f>
        <v>283.45746000000003</v>
      </c>
      <c r="I795" s="174">
        <v>0.13</v>
      </c>
      <c r="J795" s="183"/>
      <c r="K795" s="182">
        <f>K794*I795</f>
        <v>279.22805838576159</v>
      </c>
      <c r="L795" s="184">
        <f>K795-H795</f>
        <v>-4.2294016142384407</v>
      </c>
      <c r="M795" s="185">
        <f>IF((H795)=0,"",(L795/H795))</f>
        <v>-1.4920763116407098E-2</v>
      </c>
    </row>
    <row r="796" spans="1:13" hidden="1" x14ac:dyDescent="0.25">
      <c r="A796" s="100" t="str">
        <f t="shared" si="111"/>
        <v>GENERAL SERVICE LESS THAN 50 KW SERVICE CLASSIFICATION</v>
      </c>
      <c r="B796" s="100" t="s">
        <v>180</v>
      </c>
      <c r="C796" s="117"/>
      <c r="D796" s="180" t="s">
        <v>185</v>
      </c>
      <c r="E796" s="158"/>
      <c r="F796" s="174">
        <v>0.08</v>
      </c>
      <c r="G796" s="175"/>
      <c r="H796" s="182"/>
      <c r="I796" s="174">
        <v>0.08</v>
      </c>
      <c r="J796" s="183"/>
      <c r="K796" s="182"/>
      <c r="L796" s="184"/>
      <c r="M796" s="185"/>
    </row>
    <row r="797" spans="1:13" ht="15.75" hidden="1" thickBot="1" x14ac:dyDescent="0.3">
      <c r="A797" s="100" t="str">
        <f t="shared" si="111"/>
        <v>GENERAL SERVICE LESS THAN 50 KW SERVICE CLASSIFICATION</v>
      </c>
      <c r="B797" s="100" t="s">
        <v>189</v>
      </c>
      <c r="C797" s="117"/>
      <c r="D797" s="301" t="s">
        <v>188</v>
      </c>
      <c r="E797" s="301"/>
      <c r="F797" s="193"/>
      <c r="G797" s="194"/>
      <c r="H797" s="188">
        <f>SUM(H794,H795)</f>
        <v>2463.8994600000001</v>
      </c>
      <c r="I797" s="195"/>
      <c r="J797" s="195"/>
      <c r="K797" s="188">
        <f>SUM(K794,K795)</f>
        <v>2427.1361998146967</v>
      </c>
      <c r="L797" s="196">
        <f>K797-H797</f>
        <v>-36.763260185303352</v>
      </c>
      <c r="M797" s="197">
        <f>IF((H797)=0,"",(L797/H797))</f>
        <v>-1.4920763116407092E-2</v>
      </c>
    </row>
    <row r="798" spans="1:13" ht="15.75" hidden="1" thickBot="1" x14ac:dyDescent="0.3">
      <c r="A798" s="100" t="str">
        <f t="shared" si="111"/>
        <v>GENERAL SERVICE LESS THAN 50 KW SERVICE CLASSIFICATION</v>
      </c>
      <c r="B798" s="100" t="s">
        <v>180</v>
      </c>
      <c r="C798" s="117"/>
      <c r="D798" s="165"/>
      <c r="E798" s="166"/>
      <c r="F798" s="198"/>
      <c r="G798" s="199"/>
      <c r="H798" s="200"/>
      <c r="I798" s="198"/>
      <c r="J798" s="168"/>
      <c r="K798" s="200"/>
      <c r="L798" s="201"/>
      <c r="M798" s="172"/>
    </row>
    <row r="799" spans="1:13" hidden="1" x14ac:dyDescent="0.25">
      <c r="A799" s="100" t="str">
        <f t="shared" si="111"/>
        <v>GENERAL SERVICE LESS THAN 50 KW SERVICE CLASSIFICATION</v>
      </c>
      <c r="B799" s="100" t="s">
        <v>121</v>
      </c>
      <c r="C799" s="117"/>
      <c r="D799" s="173" t="s">
        <v>190</v>
      </c>
      <c r="E799" s="158"/>
      <c r="F799" s="174"/>
      <c r="G799" s="175"/>
      <c r="H799" s="176">
        <f>SUM(H787,H779:H782,H778)</f>
        <v>2180.442</v>
      </c>
      <c r="I799" s="177"/>
      <c r="J799" s="177"/>
      <c r="K799" s="176">
        <f>SUM(K787,K779:K782,K778)</f>
        <v>2147.9081414289353</v>
      </c>
      <c r="L799" s="178">
        <f>K799-H799</f>
        <v>-32.533858571064684</v>
      </c>
      <c r="M799" s="179">
        <f>IF((H799)=0,"",(L799/H799))</f>
        <v>-1.4920763116406987E-2</v>
      </c>
    </row>
    <row r="800" spans="1:13" hidden="1" x14ac:dyDescent="0.25">
      <c r="A800" s="100" t="str">
        <f t="shared" si="111"/>
        <v>GENERAL SERVICE LESS THAN 50 KW SERVICE CLASSIFICATION</v>
      </c>
      <c r="B800" s="100" t="s">
        <v>121</v>
      </c>
      <c r="C800" s="117"/>
      <c r="D800" s="180" t="s">
        <v>184</v>
      </c>
      <c r="E800" s="158"/>
      <c r="F800" s="174">
        <v>0.13</v>
      </c>
      <c r="G800" s="175"/>
      <c r="H800" s="182">
        <f>H799*F800</f>
        <v>283.45746000000003</v>
      </c>
      <c r="I800" s="174">
        <v>0.13</v>
      </c>
      <c r="J800" s="183"/>
      <c r="K800" s="182">
        <f>K799*I800</f>
        <v>279.22805838576159</v>
      </c>
      <c r="L800" s="184">
        <f>K800-H800</f>
        <v>-4.2294016142384407</v>
      </c>
      <c r="M800" s="185">
        <f>IF((H800)=0,"",(L800/H800))</f>
        <v>-1.4920763116407098E-2</v>
      </c>
    </row>
    <row r="801" spans="1:13" hidden="1" x14ac:dyDescent="0.25">
      <c r="A801" s="100" t="str">
        <f t="shared" si="111"/>
        <v>GENERAL SERVICE LESS THAN 50 KW SERVICE CLASSIFICATION</v>
      </c>
      <c r="B801" s="100" t="s">
        <v>121</v>
      </c>
      <c r="C801" s="117"/>
      <c r="D801" s="180" t="s">
        <v>185</v>
      </c>
      <c r="E801" s="158"/>
      <c r="F801" s="174">
        <v>0.08</v>
      </c>
      <c r="G801" s="175"/>
      <c r="H801" s="182"/>
      <c r="I801" s="174">
        <v>0.08</v>
      </c>
      <c r="J801" s="183"/>
      <c r="K801" s="182"/>
      <c r="L801" s="184"/>
      <c r="M801" s="185"/>
    </row>
    <row r="802" spans="1:13" ht="15.75" hidden="1" thickBot="1" x14ac:dyDescent="0.3">
      <c r="A802" s="100" t="str">
        <f t="shared" si="111"/>
        <v>GENERAL SERVICE LESS THAN 50 KW SERVICE CLASSIFICATION</v>
      </c>
      <c r="B802" s="100" t="s">
        <v>191</v>
      </c>
      <c r="C802" s="117"/>
      <c r="D802" s="301" t="s">
        <v>190</v>
      </c>
      <c r="E802" s="301"/>
      <c r="F802" s="193"/>
      <c r="G802" s="194"/>
      <c r="H802" s="188">
        <f>SUM(H799,H800)</f>
        <v>2463.8994600000001</v>
      </c>
      <c r="I802" s="195"/>
      <c r="J802" s="195"/>
      <c r="K802" s="188">
        <f>SUM(K799,K800)</f>
        <v>2427.1361998146967</v>
      </c>
      <c r="L802" s="196">
        <f>K802-H802</f>
        <v>-36.763260185303352</v>
      </c>
      <c r="M802" s="197">
        <f>IF((H802)=0,"",(L802/H802))</f>
        <v>-1.4920763116407092E-2</v>
      </c>
    </row>
    <row r="803" spans="1:13" ht="15.75" thickBot="1" x14ac:dyDescent="0.3">
      <c r="A803" s="100" t="str">
        <f t="shared" si="111"/>
        <v>GENERAL SERVICE LESS THAN 50 KW SERVICE CLASSIFICATION</v>
      </c>
      <c r="B803" s="100" t="s">
        <v>121</v>
      </c>
      <c r="C803" s="117"/>
      <c r="D803" s="165"/>
      <c r="E803" s="166"/>
      <c r="F803" s="202"/>
      <c r="G803" s="203"/>
      <c r="H803" s="204"/>
      <c r="I803" s="202"/>
      <c r="J803" s="205"/>
      <c r="K803" s="204"/>
      <c r="L803" s="206"/>
      <c r="M803" s="207"/>
    </row>
    <row r="806" spans="1:13" x14ac:dyDescent="0.25">
      <c r="C806" s="100"/>
      <c r="D806" s="101" t="s">
        <v>134</v>
      </c>
      <c r="E806" s="302" t="str">
        <f>D43</f>
        <v>GENERAL SERVICE 50 TO 999 KW SERVICE CLASSIFICATION</v>
      </c>
      <c r="F806" s="302"/>
      <c r="G806" s="302"/>
      <c r="H806" s="302"/>
      <c r="I806" s="302"/>
      <c r="J806" s="302"/>
      <c r="K806" s="100" t="str">
        <f>IF(N43="DEMAND - INTERVAL","RTSR - INTERVAL METERED","")</f>
        <v/>
      </c>
    </row>
    <row r="807" spans="1:13" x14ac:dyDescent="0.25">
      <c r="C807" s="100"/>
      <c r="D807" s="101" t="s">
        <v>135</v>
      </c>
      <c r="E807" s="303" t="str">
        <f>H43</f>
        <v>Non-RPP (Other)</v>
      </c>
      <c r="F807" s="303"/>
      <c r="G807" s="303"/>
      <c r="H807" s="102"/>
      <c r="I807" s="102"/>
    </row>
    <row r="808" spans="1:13" ht="15.75" x14ac:dyDescent="0.25">
      <c r="C808" s="100"/>
      <c r="D808" s="101" t="s">
        <v>136</v>
      </c>
      <c r="E808" s="103">
        <f>K43</f>
        <v>20000</v>
      </c>
      <c r="F808" s="104" t="s">
        <v>137</v>
      </c>
      <c r="G808" s="105"/>
      <c r="J808" s="106"/>
      <c r="K808" s="106"/>
      <c r="L808" s="106"/>
      <c r="M808" s="106"/>
    </row>
    <row r="809" spans="1:13" ht="15.75" x14ac:dyDescent="0.25">
      <c r="C809" s="100"/>
      <c r="D809" s="101" t="s">
        <v>138</v>
      </c>
      <c r="E809" s="103">
        <f>L43</f>
        <v>60</v>
      </c>
      <c r="F809" s="107" t="s">
        <v>139</v>
      </c>
      <c r="G809" s="108"/>
      <c r="H809" s="109"/>
      <c r="I809" s="109"/>
      <c r="J809" s="109"/>
    </row>
    <row r="810" spans="1:13" x14ac:dyDescent="0.25">
      <c r="C810" s="100"/>
      <c r="D810" s="101" t="s">
        <v>140</v>
      </c>
      <c r="E810" s="110">
        <f>I43</f>
        <v>1.056</v>
      </c>
    </row>
    <row r="811" spans="1:13" x14ac:dyDescent="0.25">
      <c r="C811" s="100"/>
      <c r="D811" s="101" t="s">
        <v>141</v>
      </c>
      <c r="E811" s="110">
        <f>J43</f>
        <v>1.056</v>
      </c>
    </row>
    <row r="812" spans="1:13" x14ac:dyDescent="0.25">
      <c r="C812" s="100"/>
      <c r="D812" s="105"/>
    </row>
    <row r="813" spans="1:13" x14ac:dyDescent="0.25">
      <c r="C813" s="100"/>
      <c r="D813" s="105"/>
      <c r="E813" s="111"/>
      <c r="F813" s="304" t="s">
        <v>142</v>
      </c>
      <c r="G813" s="305"/>
      <c r="H813" s="306"/>
      <c r="I813" s="304" t="s">
        <v>143</v>
      </c>
      <c r="J813" s="305"/>
      <c r="K813" s="306"/>
      <c r="L813" s="304" t="s">
        <v>144</v>
      </c>
      <c r="M813" s="306"/>
    </row>
    <row r="814" spans="1:13" x14ac:dyDescent="0.25">
      <c r="C814" s="100"/>
      <c r="D814" s="105"/>
      <c r="E814" s="295"/>
      <c r="F814" s="112" t="s">
        <v>145</v>
      </c>
      <c r="G814" s="112" t="s">
        <v>146</v>
      </c>
      <c r="H814" s="113" t="s">
        <v>147</v>
      </c>
      <c r="I814" s="112" t="s">
        <v>145</v>
      </c>
      <c r="J814" s="114" t="s">
        <v>146</v>
      </c>
      <c r="K814" s="113" t="s">
        <v>147</v>
      </c>
      <c r="L814" s="297" t="s">
        <v>148</v>
      </c>
      <c r="M814" s="299" t="s">
        <v>149</v>
      </c>
    </row>
    <row r="815" spans="1:13" x14ac:dyDescent="0.25">
      <c r="C815" s="100"/>
      <c r="D815" s="105"/>
      <c r="E815" s="296"/>
      <c r="F815" s="115" t="s">
        <v>150</v>
      </c>
      <c r="G815" s="115"/>
      <c r="H815" s="116" t="s">
        <v>150</v>
      </c>
      <c r="I815" s="115" t="s">
        <v>150</v>
      </c>
      <c r="J815" s="116"/>
      <c r="K815" s="116" t="s">
        <v>150</v>
      </c>
      <c r="L815" s="298"/>
      <c r="M815" s="300"/>
    </row>
    <row r="816" spans="1:13" x14ac:dyDescent="0.25">
      <c r="A816" s="100" t="str">
        <f>$E806</f>
        <v>GENERAL SERVICE 50 TO 999 KW SERVICE CLASSIFICATION</v>
      </c>
      <c r="C816" s="117"/>
      <c r="D816" s="118" t="s">
        <v>151</v>
      </c>
      <c r="E816" s="119"/>
      <c r="F816" s="120">
        <v>86.83</v>
      </c>
      <c r="G816" s="121">
        <v>1</v>
      </c>
      <c r="H816" s="122">
        <f>G816*F816</f>
        <v>86.83</v>
      </c>
      <c r="I816" s="123">
        <v>87.87</v>
      </c>
      <c r="J816" s="124">
        <f>G816</f>
        <v>1</v>
      </c>
      <c r="K816" s="122">
        <f>J816*I816</f>
        <v>87.87</v>
      </c>
      <c r="L816" s="125">
        <f t="shared" ref="L816:L837" si="116">K816-H816</f>
        <v>1.0400000000000063</v>
      </c>
      <c r="M816" s="126">
        <f>IF(ISERROR(L816/H816), "", L816/H816)</f>
        <v>1.1977427156512798E-2</v>
      </c>
    </row>
    <row r="817" spans="1:13" x14ac:dyDescent="0.25">
      <c r="A817" s="100" t="str">
        <f>A816</f>
        <v>GENERAL SERVICE 50 TO 999 KW SERVICE CLASSIFICATION</v>
      </c>
      <c r="C817" s="117"/>
      <c r="D817" s="118" t="s">
        <v>152</v>
      </c>
      <c r="E817" s="119"/>
      <c r="F817" s="127">
        <v>3.8580000000000001</v>
      </c>
      <c r="G817" s="121">
        <f>IF($E809&gt;0, $E809, $E808)</f>
        <v>60</v>
      </c>
      <c r="H817" s="122">
        <f t="shared" ref="H817:H829" si="117">G817*F817</f>
        <v>231.48000000000002</v>
      </c>
      <c r="I817" s="128">
        <v>3.9043000000000001</v>
      </c>
      <c r="J817" s="124">
        <f>IF($E809&gt;0, $E809, $E808)</f>
        <v>60</v>
      </c>
      <c r="K817" s="122">
        <f>J817*I817</f>
        <v>234.25800000000001</v>
      </c>
      <c r="L817" s="125">
        <f t="shared" si="116"/>
        <v>2.7779999999999916</v>
      </c>
      <c r="M817" s="126">
        <f t="shared" ref="M817:M827" si="118">IF(ISERROR(L817/H817), "", L817/H817)</f>
        <v>1.2001036806635525E-2</v>
      </c>
    </row>
    <row r="818" spans="1:13" x14ac:dyDescent="0.25">
      <c r="A818" s="100" t="str">
        <f t="shared" ref="A818:A859" si="119">A817</f>
        <v>GENERAL SERVICE 50 TO 999 KW SERVICE CLASSIFICATION</v>
      </c>
      <c r="C818" s="117"/>
      <c r="D818" s="118" t="s">
        <v>153</v>
      </c>
      <c r="E818" s="119"/>
      <c r="F818" s="127"/>
      <c r="G818" s="121">
        <f>IF($E809&gt;0, $E809, $E808)</f>
        <v>60</v>
      </c>
      <c r="H818" s="122">
        <v>0</v>
      </c>
      <c r="I818" s="128"/>
      <c r="J818" s="124">
        <f>IF($E809&gt;0, $E809, $E808)</f>
        <v>60</v>
      </c>
      <c r="K818" s="122">
        <v>0</v>
      </c>
      <c r="L818" s="125"/>
      <c r="M818" s="126"/>
    </row>
    <row r="819" spans="1:13" x14ac:dyDescent="0.25">
      <c r="A819" s="100" t="str">
        <f t="shared" si="119"/>
        <v>GENERAL SERVICE 50 TO 999 KW SERVICE CLASSIFICATION</v>
      </c>
      <c r="C819" s="117"/>
      <c r="D819" s="118" t="s">
        <v>154</v>
      </c>
      <c r="E819" s="119"/>
      <c r="F819" s="127"/>
      <c r="G819" s="121">
        <f>IF($E809&gt;0, $E809, $E808)</f>
        <v>60</v>
      </c>
      <c r="H819" s="122">
        <v>0</v>
      </c>
      <c r="I819" s="128"/>
      <c r="J819" s="121">
        <f>IF($E809&gt;0, $E809, $E808)</f>
        <v>60</v>
      </c>
      <c r="K819" s="122">
        <v>0</v>
      </c>
      <c r="L819" s="125">
        <f>K819-H819</f>
        <v>0</v>
      </c>
      <c r="M819" s="126" t="str">
        <f>IF(ISERROR(L819/H819), "", L819/H819)</f>
        <v/>
      </c>
    </row>
    <row r="820" spans="1:13" x14ac:dyDescent="0.25">
      <c r="A820" s="100" t="str">
        <f t="shared" si="119"/>
        <v>GENERAL SERVICE 50 TO 999 KW SERVICE CLASSIFICATION</v>
      </c>
      <c r="C820" s="117"/>
      <c r="D820" s="129" t="s">
        <v>155</v>
      </c>
      <c r="E820" s="119"/>
      <c r="F820" s="120">
        <v>0</v>
      </c>
      <c r="G820" s="121">
        <v>1</v>
      </c>
      <c r="H820" s="122">
        <f t="shared" si="117"/>
        <v>0</v>
      </c>
      <c r="I820" s="226">
        <f>'Rate Riders'!O10</f>
        <v>15.382147986295536</v>
      </c>
      <c r="J820" s="124">
        <f>G820</f>
        <v>1</v>
      </c>
      <c r="K820" s="122">
        <f t="shared" ref="K820:K827" si="120">J820*I820</f>
        <v>15.382147986295536</v>
      </c>
      <c r="L820" s="125">
        <f t="shared" si="116"/>
        <v>15.382147986295536</v>
      </c>
      <c r="M820" s="126" t="str">
        <f t="shared" si="118"/>
        <v/>
      </c>
    </row>
    <row r="821" spans="1:13" x14ac:dyDescent="0.25">
      <c r="A821" s="100" t="str">
        <f t="shared" si="119"/>
        <v>GENERAL SERVICE 50 TO 999 KW SERVICE CLASSIFICATION</v>
      </c>
      <c r="C821" s="117"/>
      <c r="D821" s="118" t="s">
        <v>156</v>
      </c>
      <c r="E821" s="119"/>
      <c r="F821" s="127">
        <v>0</v>
      </c>
      <c r="G821" s="121">
        <f>IF($E809&gt;0, $E809, $E808)</f>
        <v>60</v>
      </c>
      <c r="H821" s="122">
        <f t="shared" si="117"/>
        <v>0</v>
      </c>
      <c r="I821" s="227">
        <f>'Rate Riders'!Q10</f>
        <v>0.68345418554794635</v>
      </c>
      <c r="J821" s="124">
        <f>IF($E809&gt;0, $E809, $E808)</f>
        <v>60</v>
      </c>
      <c r="K821" s="122">
        <f t="shared" si="120"/>
        <v>41.007251132876782</v>
      </c>
      <c r="L821" s="125">
        <f t="shared" si="116"/>
        <v>41.007251132876782</v>
      </c>
      <c r="M821" s="126" t="str">
        <f t="shared" si="118"/>
        <v/>
      </c>
    </row>
    <row r="822" spans="1:13" x14ac:dyDescent="0.25">
      <c r="A822" s="100" t="str">
        <f t="shared" si="119"/>
        <v>GENERAL SERVICE 50 TO 999 KW SERVICE CLASSIFICATION</v>
      </c>
      <c r="B822" s="130" t="s">
        <v>157</v>
      </c>
      <c r="C822" s="117">
        <f>B43</f>
        <v>14</v>
      </c>
      <c r="D822" s="131" t="s">
        <v>158</v>
      </c>
      <c r="E822" s="132"/>
      <c r="F822" s="133"/>
      <c r="G822" s="134"/>
      <c r="H822" s="135">
        <f>SUM(H816:H821)</f>
        <v>318.31</v>
      </c>
      <c r="I822" s="136"/>
      <c r="J822" s="137"/>
      <c r="K822" s="135">
        <f>SUM(K816:K821)</f>
        <v>378.51739911917235</v>
      </c>
      <c r="L822" s="138">
        <f t="shared" si="116"/>
        <v>60.207399119172351</v>
      </c>
      <c r="M822" s="139">
        <f>IF((H822)=0,"",(L822/H822))</f>
        <v>0.18914705513233121</v>
      </c>
    </row>
    <row r="823" spans="1:13" x14ac:dyDescent="0.25">
      <c r="A823" s="100" t="str">
        <f t="shared" si="119"/>
        <v>GENERAL SERVICE 50 TO 999 KW SERVICE CLASSIFICATION</v>
      </c>
      <c r="C823" s="117"/>
      <c r="D823" s="140" t="s">
        <v>159</v>
      </c>
      <c r="E823" s="119"/>
      <c r="F823" s="127">
        <f>IF((E808*12&gt;=150000), 0, IF(E807="RPP",(F839*0.65+F840*0.17+F841*0.18),IF(E807="Non-RPP (Retailer)",F842,F843)))</f>
        <v>0</v>
      </c>
      <c r="G823" s="141">
        <f>IF(F823=0, 0, $E808*E810-E808)</f>
        <v>0</v>
      </c>
      <c r="H823" s="122">
        <f>G823*F823</f>
        <v>0</v>
      </c>
      <c r="I823" s="128">
        <f>IF((E808*12&gt;=150000), 0, IF(E807="RPP",(I839*0.65+I840*0.17+I841*0.18),IF(E807="Non-RPP (Retailer)",I842,I843)))</f>
        <v>0</v>
      </c>
      <c r="J823" s="141">
        <f>IF(I823=0, 0, E808*E811-E808)</f>
        <v>0</v>
      </c>
      <c r="K823" s="122">
        <f>J823*I823</f>
        <v>0</v>
      </c>
      <c r="L823" s="125">
        <f>K823-H823</f>
        <v>0</v>
      </c>
      <c r="M823" s="126" t="str">
        <f>IF(ISERROR(L823/H823), "", L823/H823)</f>
        <v/>
      </c>
    </row>
    <row r="824" spans="1:13" ht="25.5" x14ac:dyDescent="0.25">
      <c r="A824" s="100" t="str">
        <f t="shared" si="119"/>
        <v>GENERAL SERVICE 50 TO 999 KW SERVICE CLASSIFICATION</v>
      </c>
      <c r="C824" s="117"/>
      <c r="D824" s="140" t="s">
        <v>160</v>
      </c>
      <c r="E824" s="119"/>
      <c r="F824" s="127">
        <v>-0.70650000000000002</v>
      </c>
      <c r="G824" s="142">
        <f>IF($E809&gt;0, $E809, $E808)</f>
        <v>60</v>
      </c>
      <c r="H824" s="122">
        <f t="shared" si="117"/>
        <v>-42.39</v>
      </c>
      <c r="I824" s="128">
        <v>-1.7801</v>
      </c>
      <c r="J824" s="142">
        <f>IF($E809&gt;0, $E809, $E808)</f>
        <v>60</v>
      </c>
      <c r="K824" s="122">
        <f t="shared" si="120"/>
        <v>-106.806</v>
      </c>
      <c r="L824" s="125">
        <f t="shared" si="116"/>
        <v>-64.415999999999997</v>
      </c>
      <c r="M824" s="126">
        <f t="shared" si="118"/>
        <v>1.5196036801132342</v>
      </c>
    </row>
    <row r="825" spans="1:13" x14ac:dyDescent="0.25">
      <c r="A825" s="100" t="str">
        <f t="shared" si="119"/>
        <v>GENERAL SERVICE 50 TO 999 KW SERVICE CLASSIFICATION</v>
      </c>
      <c r="C825" s="117"/>
      <c r="D825" s="140" t="s">
        <v>161</v>
      </c>
      <c r="E825" s="119"/>
      <c r="F825" s="127">
        <v>-2.76E-2</v>
      </c>
      <c r="G825" s="142">
        <f>IF($E809&gt;0, $E809, $E808)</f>
        <v>60</v>
      </c>
      <c r="H825" s="122">
        <f>G825*F825</f>
        <v>-1.6559999999999999</v>
      </c>
      <c r="I825" s="128">
        <v>0</v>
      </c>
      <c r="J825" s="142">
        <f>IF($E809&gt;0, $E809, $E808)</f>
        <v>60</v>
      </c>
      <c r="K825" s="122">
        <f>J825*I825</f>
        <v>0</v>
      </c>
      <c r="L825" s="125">
        <f t="shared" si="116"/>
        <v>1.6559999999999999</v>
      </c>
      <c r="M825" s="126">
        <f t="shared" si="118"/>
        <v>-1</v>
      </c>
    </row>
    <row r="826" spans="1:13" x14ac:dyDescent="0.25">
      <c r="A826" s="100" t="str">
        <f t="shared" si="119"/>
        <v>GENERAL SERVICE 50 TO 999 KW SERVICE CLASSIFICATION</v>
      </c>
      <c r="C826" s="117"/>
      <c r="D826" s="140" t="s">
        <v>162</v>
      </c>
      <c r="E826" s="119"/>
      <c r="F826" s="127">
        <v>-1E-3</v>
      </c>
      <c r="G826" s="142">
        <f>E808</f>
        <v>20000</v>
      </c>
      <c r="H826" s="122">
        <f>G826*F826</f>
        <v>-20</v>
      </c>
      <c r="I826" s="128">
        <v>1.37E-2</v>
      </c>
      <c r="J826" s="142">
        <f>E808</f>
        <v>20000</v>
      </c>
      <c r="K826" s="122">
        <f t="shared" si="120"/>
        <v>274</v>
      </c>
      <c r="L826" s="125">
        <f t="shared" si="116"/>
        <v>294</v>
      </c>
      <c r="M826" s="126">
        <f t="shared" si="118"/>
        <v>-14.7</v>
      </c>
    </row>
    <row r="827" spans="1:13" x14ac:dyDescent="0.25">
      <c r="A827" s="100" t="str">
        <f t="shared" si="119"/>
        <v>GENERAL SERVICE 50 TO 999 KW SERVICE CLASSIFICATION</v>
      </c>
      <c r="C827" s="117"/>
      <c r="D827" s="143" t="s">
        <v>163</v>
      </c>
      <c r="E827" s="119"/>
      <c r="F827" s="127">
        <v>1.0483</v>
      </c>
      <c r="G827" s="142">
        <f>IF($E809&gt;0, $E809, $E808)</f>
        <v>60</v>
      </c>
      <c r="H827" s="122">
        <f t="shared" si="117"/>
        <v>62.898000000000003</v>
      </c>
      <c r="I827" s="128">
        <v>1.0483</v>
      </c>
      <c r="J827" s="142">
        <f>IF($E809&gt;0, $E809, $E808)</f>
        <v>60</v>
      </c>
      <c r="K827" s="122">
        <f t="shared" si="120"/>
        <v>62.898000000000003</v>
      </c>
      <c r="L827" s="125">
        <f t="shared" si="116"/>
        <v>0</v>
      </c>
      <c r="M827" s="126">
        <f t="shared" si="118"/>
        <v>0</v>
      </c>
    </row>
    <row r="828" spans="1:13" ht="25.5" x14ac:dyDescent="0.25">
      <c r="A828" s="100" t="str">
        <f t="shared" si="119"/>
        <v>GENERAL SERVICE 50 TO 999 KW SERVICE CLASSIFICATION</v>
      </c>
      <c r="C828" s="117"/>
      <c r="D828" s="144" t="s">
        <v>164</v>
      </c>
      <c r="E828" s="119"/>
      <c r="F828" s="145">
        <f>IF(OR(ISNUMBER(SEARCH("RESIDENTIAL", E806))=TRUE, ISNUMBER(SEARCH("GENERAL SERVICE LESS THAN 50", E806))=TRUE), SME, 0)</f>
        <v>0</v>
      </c>
      <c r="G828" s="121">
        <v>1</v>
      </c>
      <c r="H828" s="122">
        <f>G828*F828</f>
        <v>0</v>
      </c>
      <c r="I828" s="146">
        <f>IF(OR(ISNUMBER(SEARCH("RESIDENTIAL", E806))=TRUE, ISNUMBER(SEARCH("GENERAL SERVICE LESS THAN 50", E806))=TRUE), SME, 0)</f>
        <v>0</v>
      </c>
      <c r="J828" s="121">
        <v>1</v>
      </c>
      <c r="K828" s="122">
        <f>J828*I828</f>
        <v>0</v>
      </c>
      <c r="L828" s="125">
        <f t="shared" si="116"/>
        <v>0</v>
      </c>
      <c r="M828" s="126" t="str">
        <f>IF(ISERROR(L828/H828), "", L828/H828)</f>
        <v/>
      </c>
    </row>
    <row r="829" spans="1:13" x14ac:dyDescent="0.25">
      <c r="A829" s="100" t="str">
        <f t="shared" si="119"/>
        <v>GENERAL SERVICE 50 TO 999 KW SERVICE CLASSIFICATION</v>
      </c>
      <c r="C829" s="117"/>
      <c r="D829" s="143" t="s">
        <v>165</v>
      </c>
      <c r="E829" s="119"/>
      <c r="F829" s="120">
        <v>0</v>
      </c>
      <c r="G829" s="121">
        <v>1</v>
      </c>
      <c r="H829" s="122">
        <f t="shared" si="117"/>
        <v>0</v>
      </c>
      <c r="I829" s="123">
        <v>0</v>
      </c>
      <c r="J829" s="121">
        <v>1</v>
      </c>
      <c r="K829" s="122">
        <f>J829*I829</f>
        <v>0</v>
      </c>
      <c r="L829" s="125">
        <f>K829-H829</f>
        <v>0</v>
      </c>
      <c r="M829" s="126" t="str">
        <f>IF(ISERROR(L829/H829), "", L829/H829)</f>
        <v/>
      </c>
    </row>
    <row r="830" spans="1:13" x14ac:dyDescent="0.25">
      <c r="A830" s="100" t="str">
        <f t="shared" si="119"/>
        <v>GENERAL SERVICE 50 TO 999 KW SERVICE CLASSIFICATION</v>
      </c>
      <c r="C830" s="117"/>
      <c r="D830" s="143" t="s">
        <v>166</v>
      </c>
      <c r="E830" s="119"/>
      <c r="F830" s="127"/>
      <c r="G830" s="142">
        <f>IF($E809&gt;0, $E809, $E808)</f>
        <v>60</v>
      </c>
      <c r="H830" s="122">
        <f>G830*F830</f>
        <v>0</v>
      </c>
      <c r="I830" s="128">
        <v>0</v>
      </c>
      <c r="J830" s="142">
        <f>IF($E809&gt;0, $E809, $E808)</f>
        <v>60</v>
      </c>
      <c r="K830" s="122">
        <f>J830*I830</f>
        <v>0</v>
      </c>
      <c r="L830" s="125">
        <f t="shared" si="116"/>
        <v>0</v>
      </c>
      <c r="M830" s="126" t="str">
        <f>IF(ISERROR(L830/H830), "", L830/H830)</f>
        <v/>
      </c>
    </row>
    <row r="831" spans="1:13" ht="25.5" x14ac:dyDescent="0.25">
      <c r="A831" s="100" t="str">
        <f t="shared" si="119"/>
        <v>GENERAL SERVICE 50 TO 999 KW SERVICE CLASSIFICATION</v>
      </c>
      <c r="B831" s="105" t="s">
        <v>167</v>
      </c>
      <c r="C831" s="117">
        <f>B43</f>
        <v>14</v>
      </c>
      <c r="D831" s="147" t="s">
        <v>168</v>
      </c>
      <c r="E831" s="148"/>
      <c r="F831" s="149"/>
      <c r="G831" s="150"/>
      <c r="H831" s="151">
        <f>SUM(H822:H830)</f>
        <v>317.16200000000003</v>
      </c>
      <c r="I831" s="152"/>
      <c r="J831" s="153"/>
      <c r="K831" s="151">
        <f>SUM(K822:K830)</f>
        <v>608.60939911917239</v>
      </c>
      <c r="L831" s="138">
        <f t="shared" si="116"/>
        <v>291.44739911917236</v>
      </c>
      <c r="M831" s="139">
        <f>IF((H831)=0,"",(L831/H831))</f>
        <v>0.91892281899840567</v>
      </c>
    </row>
    <row r="832" spans="1:13" x14ac:dyDescent="0.25">
      <c r="A832" s="100" t="str">
        <f t="shared" si="119"/>
        <v>GENERAL SERVICE 50 TO 999 KW SERVICE CLASSIFICATION</v>
      </c>
      <c r="C832" s="117"/>
      <c r="D832" s="154" t="s">
        <v>169</v>
      </c>
      <c r="E832" s="119"/>
      <c r="F832" s="127">
        <v>2.6217000000000001</v>
      </c>
      <c r="G832" s="141">
        <f>IF($E809&gt;0, $E809, $E808*$E810)</f>
        <v>60</v>
      </c>
      <c r="H832" s="122">
        <f>G832*F832</f>
        <v>157.30200000000002</v>
      </c>
      <c r="I832" s="128">
        <v>2.4868999999999999</v>
      </c>
      <c r="J832" s="141">
        <f>IF($E809&gt;0, $E809, $E808*$E811)</f>
        <v>60</v>
      </c>
      <c r="K832" s="122">
        <f>J832*I832</f>
        <v>149.214</v>
      </c>
      <c r="L832" s="125">
        <f t="shared" si="116"/>
        <v>-8.0880000000000223</v>
      </c>
      <c r="M832" s="126">
        <f>IF(ISERROR(L832/H832), "", L832/H832)</f>
        <v>-5.1417019491169988E-2</v>
      </c>
    </row>
    <row r="833" spans="1:13" ht="25.5" x14ac:dyDescent="0.25">
      <c r="A833" s="100" t="str">
        <f t="shared" si="119"/>
        <v>GENERAL SERVICE 50 TO 999 KW SERVICE CLASSIFICATION</v>
      </c>
      <c r="C833" s="117"/>
      <c r="D833" s="155" t="s">
        <v>170</v>
      </c>
      <c r="E833" s="119"/>
      <c r="F833" s="127">
        <v>2.2145999999999999</v>
      </c>
      <c r="G833" s="141">
        <f>IF($E809&gt;0, $E809, $E808*$E810)</f>
        <v>60</v>
      </c>
      <c r="H833" s="122">
        <f>G833*F833</f>
        <v>132.876</v>
      </c>
      <c r="I833" s="128">
        <v>2.0933000000000002</v>
      </c>
      <c r="J833" s="141">
        <f>IF($E809&gt;0, $E809, $E808*$E811)</f>
        <v>60</v>
      </c>
      <c r="K833" s="122">
        <f>J833*I833</f>
        <v>125.59800000000001</v>
      </c>
      <c r="L833" s="125">
        <f t="shared" si="116"/>
        <v>-7.2779999999999916</v>
      </c>
      <c r="M833" s="126">
        <f>IF(ISERROR(L833/H833), "", L833/H833)</f>
        <v>-5.4772870947349346E-2</v>
      </c>
    </row>
    <row r="834" spans="1:13" ht="25.5" x14ac:dyDescent="0.25">
      <c r="A834" s="100" t="str">
        <f t="shared" si="119"/>
        <v>GENERAL SERVICE 50 TO 999 KW SERVICE CLASSIFICATION</v>
      </c>
      <c r="B834" s="105" t="s">
        <v>171</v>
      </c>
      <c r="C834" s="117">
        <f>B43</f>
        <v>14</v>
      </c>
      <c r="D834" s="147" t="s">
        <v>172</v>
      </c>
      <c r="E834" s="132"/>
      <c r="F834" s="149"/>
      <c r="G834" s="150"/>
      <c r="H834" s="151">
        <f>SUM(H831:H833)</f>
        <v>607.34</v>
      </c>
      <c r="I834" s="152"/>
      <c r="J834" s="137"/>
      <c r="K834" s="151">
        <f>SUM(K831:K833)</f>
        <v>883.42139911917229</v>
      </c>
      <c r="L834" s="138">
        <f t="shared" si="116"/>
        <v>276.08139911917226</v>
      </c>
      <c r="M834" s="139">
        <f>IF((H834)=0,"",(L834/H834))</f>
        <v>0.45457470135207995</v>
      </c>
    </row>
    <row r="835" spans="1:13" ht="25.5" x14ac:dyDescent="0.25">
      <c r="A835" s="100" t="str">
        <f t="shared" si="119"/>
        <v>GENERAL SERVICE 50 TO 999 KW SERVICE CLASSIFICATION</v>
      </c>
      <c r="C835" s="117"/>
      <c r="D835" s="156" t="s">
        <v>173</v>
      </c>
      <c r="E835" s="119"/>
      <c r="F835" s="127">
        <v>3.6000000000000003E-3</v>
      </c>
      <c r="G835" s="141">
        <f>E808*E810</f>
        <v>21120</v>
      </c>
      <c r="H835" s="157">
        <f t="shared" ref="H835:H841" si="121">G835*F835</f>
        <v>76.032000000000011</v>
      </c>
      <c r="I835" s="128">
        <v>3.6000000000000003E-3</v>
      </c>
      <c r="J835" s="141">
        <f>E808*E811</f>
        <v>21120</v>
      </c>
      <c r="K835" s="157">
        <f t="shared" ref="K835:K841" si="122">J835*I835</f>
        <v>76.032000000000011</v>
      </c>
      <c r="L835" s="125">
        <f t="shared" si="116"/>
        <v>0</v>
      </c>
      <c r="M835" s="126">
        <f t="shared" ref="M835:M843" si="123">IF(ISERROR(L835/H835), "", L835/H835)</f>
        <v>0</v>
      </c>
    </row>
    <row r="836" spans="1:13" ht="25.5" x14ac:dyDescent="0.25">
      <c r="A836" s="100" t="str">
        <f t="shared" si="119"/>
        <v>GENERAL SERVICE 50 TO 999 KW SERVICE CLASSIFICATION</v>
      </c>
      <c r="C836" s="117"/>
      <c r="D836" s="156" t="s">
        <v>174</v>
      </c>
      <c r="E836" s="119"/>
      <c r="F836" s="127">
        <f>'[1]17. Regulatory Charges'!$D$16</f>
        <v>2.9999999999999997E-4</v>
      </c>
      <c r="G836" s="141">
        <f>E808*E810</f>
        <v>21120</v>
      </c>
      <c r="H836" s="157">
        <f t="shared" si="121"/>
        <v>6.3359999999999994</v>
      </c>
      <c r="I836" s="128">
        <v>2.9999999999999997E-4</v>
      </c>
      <c r="J836" s="141">
        <f>E808*E811</f>
        <v>21120</v>
      </c>
      <c r="K836" s="157">
        <f t="shared" si="122"/>
        <v>6.3359999999999994</v>
      </c>
      <c r="L836" s="125">
        <f t="shared" si="116"/>
        <v>0</v>
      </c>
      <c r="M836" s="126">
        <f t="shared" si="123"/>
        <v>0</v>
      </c>
    </row>
    <row r="837" spans="1:13" x14ac:dyDescent="0.25">
      <c r="A837" s="100" t="str">
        <f t="shared" si="119"/>
        <v>GENERAL SERVICE 50 TO 999 KW SERVICE CLASSIFICATION</v>
      </c>
      <c r="C837" s="117"/>
      <c r="D837" s="158" t="s">
        <v>175</v>
      </c>
      <c r="E837" s="119"/>
      <c r="F837" s="145">
        <v>0.25</v>
      </c>
      <c r="G837" s="121">
        <v>1</v>
      </c>
      <c r="H837" s="157">
        <f t="shared" si="121"/>
        <v>0.25</v>
      </c>
      <c r="I837" s="146">
        <f>'[1]17. Regulatory Charges'!$D$17</f>
        <v>0.25</v>
      </c>
      <c r="J837" s="124">
        <v>1</v>
      </c>
      <c r="K837" s="157">
        <f t="shared" si="122"/>
        <v>0.25</v>
      </c>
      <c r="L837" s="125">
        <f t="shared" si="116"/>
        <v>0</v>
      </c>
      <c r="M837" s="126">
        <f t="shared" si="123"/>
        <v>0</v>
      </c>
    </row>
    <row r="838" spans="1:13" ht="25.5" x14ac:dyDescent="0.25">
      <c r="A838" s="100" t="str">
        <f t="shared" si="119"/>
        <v>GENERAL SERVICE 50 TO 999 KW SERVICE CLASSIFICATION</v>
      </c>
      <c r="C838" s="117"/>
      <c r="D838" s="156" t="s">
        <v>176</v>
      </c>
      <c r="E838" s="119"/>
      <c r="F838" s="127"/>
      <c r="G838" s="141"/>
      <c r="H838" s="157"/>
      <c r="I838" s="128"/>
      <c r="J838" s="141"/>
      <c r="K838" s="157"/>
      <c r="L838" s="125"/>
      <c r="M838" s="126"/>
    </row>
    <row r="839" spans="1:13" hidden="1" x14ac:dyDescent="0.25">
      <c r="A839" s="100" t="str">
        <f t="shared" si="119"/>
        <v>GENERAL SERVICE 50 TO 999 KW SERVICE CLASSIFICATION</v>
      </c>
      <c r="B839" s="105" t="s">
        <v>117</v>
      </c>
      <c r="C839" s="117"/>
      <c r="D839" s="159" t="s">
        <v>177</v>
      </c>
      <c r="E839" s="119"/>
      <c r="F839" s="160">
        <f>OffPeak</f>
        <v>6.5000000000000002E-2</v>
      </c>
      <c r="G839" s="161">
        <f>IF(AND(E808*12&gt;=150000),0.65*E808*E810,0.65*E808)</f>
        <v>13728</v>
      </c>
      <c r="H839" s="157">
        <f t="shared" si="121"/>
        <v>892.32</v>
      </c>
      <c r="I839" s="162">
        <f>OffPeak</f>
        <v>6.5000000000000002E-2</v>
      </c>
      <c r="J839" s="161">
        <f>IF(AND(E808*12&gt;=150000),0.65*E808*E811,0.65*E808)</f>
        <v>13728</v>
      </c>
      <c r="K839" s="157">
        <f t="shared" si="122"/>
        <v>892.32</v>
      </c>
      <c r="L839" s="125">
        <f>K839-H839</f>
        <v>0</v>
      </c>
      <c r="M839" s="126">
        <f t="shared" si="123"/>
        <v>0</v>
      </c>
    </row>
    <row r="840" spans="1:13" hidden="1" x14ac:dyDescent="0.25">
      <c r="A840" s="100" t="str">
        <f t="shared" si="119"/>
        <v>GENERAL SERVICE 50 TO 999 KW SERVICE CLASSIFICATION</v>
      </c>
      <c r="B840" s="105" t="s">
        <v>117</v>
      </c>
      <c r="C840" s="117"/>
      <c r="D840" s="159" t="s">
        <v>178</v>
      </c>
      <c r="E840" s="119"/>
      <c r="F840" s="160">
        <f>MidPeak</f>
        <v>9.4E-2</v>
      </c>
      <c r="G840" s="161">
        <f>IF(AND(E808*12&gt;=150000),0.17*E808*E810,0.17*E808)</f>
        <v>3590.4000000000005</v>
      </c>
      <c r="H840" s="157">
        <f t="shared" si="121"/>
        <v>337.49760000000003</v>
      </c>
      <c r="I840" s="162">
        <f>MidPeak</f>
        <v>9.4E-2</v>
      </c>
      <c r="J840" s="161">
        <f>IF(AND(E808*12&gt;=150000),0.17*E808*E811,0.17*E808)</f>
        <v>3590.4000000000005</v>
      </c>
      <c r="K840" s="157">
        <f t="shared" si="122"/>
        <v>337.49760000000003</v>
      </c>
      <c r="L840" s="125">
        <f>K840-H840</f>
        <v>0</v>
      </c>
      <c r="M840" s="126">
        <f t="shared" si="123"/>
        <v>0</v>
      </c>
    </row>
    <row r="841" spans="1:13" hidden="1" x14ac:dyDescent="0.25">
      <c r="A841" s="100" t="str">
        <f t="shared" si="119"/>
        <v>GENERAL SERVICE 50 TO 999 KW SERVICE CLASSIFICATION</v>
      </c>
      <c r="B841" s="105" t="s">
        <v>117</v>
      </c>
      <c r="C841" s="117"/>
      <c r="D841" s="105" t="s">
        <v>179</v>
      </c>
      <c r="E841" s="119"/>
      <c r="F841" s="160">
        <f>OnPeak</f>
        <v>0.13200000000000001</v>
      </c>
      <c r="G841" s="161">
        <f>IF(AND(E808*12&gt;=150000),0.18*E808*E810,0.18*E808)</f>
        <v>3801.6000000000004</v>
      </c>
      <c r="H841" s="157">
        <f t="shared" si="121"/>
        <v>501.8112000000001</v>
      </c>
      <c r="I841" s="162">
        <f>OnPeak</f>
        <v>0.13200000000000001</v>
      </c>
      <c r="J841" s="161">
        <f>IF(AND(E808*12&gt;=150000),0.18*E808*E811,0.18*E808)</f>
        <v>3801.6000000000004</v>
      </c>
      <c r="K841" s="157">
        <f t="shared" si="122"/>
        <v>501.8112000000001</v>
      </c>
      <c r="L841" s="125">
        <f>K841-H841</f>
        <v>0</v>
      </c>
      <c r="M841" s="126">
        <f t="shared" si="123"/>
        <v>0</v>
      </c>
    </row>
    <row r="842" spans="1:13" hidden="1" x14ac:dyDescent="0.25">
      <c r="A842" s="100" t="str">
        <f t="shared" si="119"/>
        <v>GENERAL SERVICE 50 TO 999 KW SERVICE CLASSIFICATION</v>
      </c>
      <c r="B842" s="100" t="s">
        <v>180</v>
      </c>
      <c r="C842" s="117"/>
      <c r="D842" s="159" t="s">
        <v>181</v>
      </c>
      <c r="E842" s="119"/>
      <c r="F842" s="163">
        <v>0.1101</v>
      </c>
      <c r="G842" s="161">
        <f>IF(AND(E808*12&gt;=150000),E808*E810,E808)</f>
        <v>21120</v>
      </c>
      <c r="H842" s="157">
        <f>G842*F842</f>
        <v>2325.3119999999999</v>
      </c>
      <c r="I842" s="164">
        <f>F842</f>
        <v>0.1101</v>
      </c>
      <c r="J842" s="161">
        <f>IF(AND(E808*12&gt;=150000),E808*E811,E808)</f>
        <v>21120</v>
      </c>
      <c r="K842" s="157">
        <f>J842*I842</f>
        <v>2325.3119999999999</v>
      </c>
      <c r="L842" s="125">
        <f>K842-H842</f>
        <v>0</v>
      </c>
      <c r="M842" s="126">
        <f t="shared" si="123"/>
        <v>0</v>
      </c>
    </row>
    <row r="843" spans="1:13" ht="15.75" thickBot="1" x14ac:dyDescent="0.3">
      <c r="A843" s="100" t="str">
        <f t="shared" si="119"/>
        <v>GENERAL SERVICE 50 TO 999 KW SERVICE CLASSIFICATION</v>
      </c>
      <c r="B843" s="100" t="s">
        <v>121</v>
      </c>
      <c r="C843" s="117"/>
      <c r="D843" s="159" t="s">
        <v>182</v>
      </c>
      <c r="E843" s="119"/>
      <c r="F843" s="163">
        <v>0.1101</v>
      </c>
      <c r="G843" s="161">
        <f>IF(AND(E808*12&gt;=150000),E808*E810,E808)</f>
        <v>21120</v>
      </c>
      <c r="H843" s="157">
        <f>G843*F843</f>
        <v>2325.3119999999999</v>
      </c>
      <c r="I843" s="164">
        <f>F843</f>
        <v>0.1101</v>
      </c>
      <c r="J843" s="161">
        <f>IF(AND(E808*12&gt;=150000),E808*E811,E808)</f>
        <v>21120</v>
      </c>
      <c r="K843" s="157">
        <f>J843*I843</f>
        <v>2325.3119999999999</v>
      </c>
      <c r="L843" s="125">
        <f>K843-H843</f>
        <v>0</v>
      </c>
      <c r="M843" s="126">
        <f t="shared" si="123"/>
        <v>0</v>
      </c>
    </row>
    <row r="844" spans="1:13" ht="15.75" thickBot="1" x14ac:dyDescent="0.3">
      <c r="A844" s="100" t="str">
        <f t="shared" si="119"/>
        <v>GENERAL SERVICE 50 TO 999 KW SERVICE CLASSIFICATION</v>
      </c>
      <c r="B844" s="105"/>
      <c r="C844" s="117"/>
      <c r="D844" s="165"/>
      <c r="E844" s="166"/>
      <c r="F844" s="167"/>
      <c r="G844" s="168"/>
      <c r="H844" s="169"/>
      <c r="I844" s="167"/>
      <c r="J844" s="170"/>
      <c r="K844" s="169"/>
      <c r="L844" s="171"/>
      <c r="M844" s="172"/>
    </row>
    <row r="845" spans="1:13" hidden="1" x14ac:dyDescent="0.25">
      <c r="A845" s="100" t="str">
        <f t="shared" si="119"/>
        <v>GENERAL SERVICE 50 TO 999 KW SERVICE CLASSIFICATION</v>
      </c>
      <c r="B845" s="105" t="s">
        <v>117</v>
      </c>
      <c r="C845" s="117"/>
      <c r="D845" s="173" t="s">
        <v>183</v>
      </c>
      <c r="E845" s="158"/>
      <c r="F845" s="174"/>
      <c r="G845" s="175"/>
      <c r="H845" s="176">
        <f>SUM(H835:H841,H834)</f>
        <v>2421.5868000000005</v>
      </c>
      <c r="I845" s="177"/>
      <c r="J845" s="177"/>
      <c r="K845" s="176">
        <f>SUM(K835:K841,K834)</f>
        <v>2697.6681991191726</v>
      </c>
      <c r="L845" s="178">
        <f>K845-H845</f>
        <v>276.08139911917215</v>
      </c>
      <c r="M845" s="179">
        <f>IF((H845)=0,"",(L845/H845))</f>
        <v>0.1140084671419468</v>
      </c>
    </row>
    <row r="846" spans="1:13" hidden="1" x14ac:dyDescent="0.25">
      <c r="A846" s="100" t="str">
        <f t="shared" si="119"/>
        <v>GENERAL SERVICE 50 TO 999 KW SERVICE CLASSIFICATION</v>
      </c>
      <c r="B846" s="105" t="s">
        <v>117</v>
      </c>
      <c r="C846" s="117"/>
      <c r="D846" s="180" t="s">
        <v>184</v>
      </c>
      <c r="E846" s="158"/>
      <c r="F846" s="174">
        <v>0.13</v>
      </c>
      <c r="G846" s="181"/>
      <c r="H846" s="182">
        <f>H845*F846</f>
        <v>314.80628400000006</v>
      </c>
      <c r="I846" s="183">
        <v>0.13</v>
      </c>
      <c r="J846" s="121"/>
      <c r="K846" s="182">
        <f>K845*I846</f>
        <v>350.69686588549246</v>
      </c>
      <c r="L846" s="184">
        <f>K846-H846</f>
        <v>35.890581885492395</v>
      </c>
      <c r="M846" s="185">
        <f>IF((H846)=0,"",(L846/H846))</f>
        <v>0.11400846714194685</v>
      </c>
    </row>
    <row r="847" spans="1:13" hidden="1" x14ac:dyDescent="0.25">
      <c r="A847" s="100" t="str">
        <f t="shared" si="119"/>
        <v>GENERAL SERVICE 50 TO 999 KW SERVICE CLASSIFICATION</v>
      </c>
      <c r="B847" s="105" t="s">
        <v>117</v>
      </c>
      <c r="C847" s="117"/>
      <c r="D847" s="180" t="s">
        <v>185</v>
      </c>
      <c r="E847" s="158"/>
      <c r="F847" s="174">
        <v>0.08</v>
      </c>
      <c r="G847" s="181"/>
      <c r="H847" s="182">
        <v>0</v>
      </c>
      <c r="I847" s="174">
        <v>0.08</v>
      </c>
      <c r="J847" s="121"/>
      <c r="K847" s="182">
        <v>0</v>
      </c>
      <c r="L847" s="184">
        <f>K847-H847</f>
        <v>0</v>
      </c>
      <c r="M847" s="185"/>
    </row>
    <row r="848" spans="1:13" ht="15.75" hidden="1" thickBot="1" x14ac:dyDescent="0.3">
      <c r="A848" s="100" t="str">
        <f t="shared" si="119"/>
        <v>GENERAL SERVICE 50 TO 999 KW SERVICE CLASSIFICATION</v>
      </c>
      <c r="B848" s="105" t="s">
        <v>186</v>
      </c>
      <c r="C848" s="117"/>
      <c r="D848" s="301" t="s">
        <v>187</v>
      </c>
      <c r="E848" s="301"/>
      <c r="F848" s="186"/>
      <c r="G848" s="187"/>
      <c r="H848" s="188">
        <f>H845+H846+H847</f>
        <v>2736.3930840000007</v>
      </c>
      <c r="I848" s="189"/>
      <c r="J848" s="189"/>
      <c r="K848" s="190">
        <f>K845+K846+K847</f>
        <v>3048.3650650046652</v>
      </c>
      <c r="L848" s="191">
        <f>K848-H848</f>
        <v>311.97198100466449</v>
      </c>
      <c r="M848" s="192">
        <f>IF((H848)=0,"",(L848/H848))</f>
        <v>0.11400846714194678</v>
      </c>
    </row>
    <row r="849" spans="1:13" ht="15.75" hidden="1" thickBot="1" x14ac:dyDescent="0.3">
      <c r="A849" s="100" t="str">
        <f t="shared" si="119"/>
        <v>GENERAL SERVICE 50 TO 999 KW SERVICE CLASSIFICATION</v>
      </c>
      <c r="B849" s="100" t="s">
        <v>117</v>
      </c>
      <c r="C849" s="117"/>
      <c r="D849" s="165"/>
      <c r="E849" s="166"/>
      <c r="F849" s="167"/>
      <c r="G849" s="168"/>
      <c r="H849" s="169"/>
      <c r="I849" s="167"/>
      <c r="J849" s="170"/>
      <c r="K849" s="169"/>
      <c r="L849" s="171"/>
      <c r="M849" s="172"/>
    </row>
    <row r="850" spans="1:13" hidden="1" x14ac:dyDescent="0.25">
      <c r="A850" s="100" t="str">
        <f t="shared" si="119"/>
        <v>GENERAL SERVICE 50 TO 999 KW SERVICE CLASSIFICATION</v>
      </c>
      <c r="B850" s="100" t="s">
        <v>180</v>
      </c>
      <c r="C850" s="117"/>
      <c r="D850" s="173" t="s">
        <v>188</v>
      </c>
      <c r="E850" s="158"/>
      <c r="F850" s="174"/>
      <c r="G850" s="175"/>
      <c r="H850" s="176">
        <f>SUM(H842,H835:H838,H834)</f>
        <v>3015.27</v>
      </c>
      <c r="I850" s="177"/>
      <c r="J850" s="177"/>
      <c r="K850" s="176">
        <f>SUM(K842,K835:K838,K834)</f>
        <v>3291.3513991191721</v>
      </c>
      <c r="L850" s="178">
        <f>K850-H850</f>
        <v>276.08139911917215</v>
      </c>
      <c r="M850" s="179">
        <f>IF((H850)=0,"",(L850/H850))</f>
        <v>9.1561087106352718E-2</v>
      </c>
    </row>
    <row r="851" spans="1:13" hidden="1" x14ac:dyDescent="0.25">
      <c r="A851" s="100" t="str">
        <f t="shared" si="119"/>
        <v>GENERAL SERVICE 50 TO 999 KW SERVICE CLASSIFICATION</v>
      </c>
      <c r="B851" s="100" t="s">
        <v>180</v>
      </c>
      <c r="C851" s="117"/>
      <c r="D851" s="180" t="s">
        <v>184</v>
      </c>
      <c r="E851" s="158"/>
      <c r="F851" s="174">
        <v>0.13</v>
      </c>
      <c r="G851" s="175"/>
      <c r="H851" s="182">
        <f>H850*F851</f>
        <v>391.98509999999999</v>
      </c>
      <c r="I851" s="174">
        <v>0.13</v>
      </c>
      <c r="J851" s="183"/>
      <c r="K851" s="182">
        <f>K850*I851</f>
        <v>427.87568188549238</v>
      </c>
      <c r="L851" s="184">
        <f>K851-H851</f>
        <v>35.890581885492395</v>
      </c>
      <c r="M851" s="185">
        <f>IF((H851)=0,"",(L851/H851))</f>
        <v>9.1561087106352759E-2</v>
      </c>
    </row>
    <row r="852" spans="1:13" hidden="1" x14ac:dyDescent="0.25">
      <c r="A852" s="100" t="str">
        <f t="shared" si="119"/>
        <v>GENERAL SERVICE 50 TO 999 KW SERVICE CLASSIFICATION</v>
      </c>
      <c r="B852" s="100" t="s">
        <v>180</v>
      </c>
      <c r="C852" s="117"/>
      <c r="D852" s="180" t="s">
        <v>185</v>
      </c>
      <c r="E852" s="158"/>
      <c r="F852" s="174">
        <v>0.08</v>
      </c>
      <c r="G852" s="175"/>
      <c r="H852" s="182">
        <v>0</v>
      </c>
      <c r="I852" s="174">
        <v>0.08</v>
      </c>
      <c r="J852" s="183"/>
      <c r="K852" s="182">
        <v>0</v>
      </c>
      <c r="L852" s="184"/>
      <c r="M852" s="185"/>
    </row>
    <row r="853" spans="1:13" ht="15.75" hidden="1" thickBot="1" x14ac:dyDescent="0.3">
      <c r="A853" s="100" t="str">
        <f t="shared" si="119"/>
        <v>GENERAL SERVICE 50 TO 999 KW SERVICE CLASSIFICATION</v>
      </c>
      <c r="B853" s="100" t="s">
        <v>189</v>
      </c>
      <c r="C853" s="117"/>
      <c r="D853" s="301" t="s">
        <v>188</v>
      </c>
      <c r="E853" s="301"/>
      <c r="F853" s="193"/>
      <c r="G853" s="194"/>
      <c r="H853" s="188">
        <f>SUM(H850,H851)</f>
        <v>3407.2550999999999</v>
      </c>
      <c r="I853" s="195"/>
      <c r="J853" s="195"/>
      <c r="K853" s="188">
        <f>SUM(K850,K851)</f>
        <v>3719.2270810046643</v>
      </c>
      <c r="L853" s="196">
        <f>K853-H853</f>
        <v>311.97198100466449</v>
      </c>
      <c r="M853" s="197">
        <f>IF((H853)=0,"",(L853/H853))</f>
        <v>9.1561087106352704E-2</v>
      </c>
    </row>
    <row r="854" spans="1:13" ht="15.75" hidden="1" thickBot="1" x14ac:dyDescent="0.3">
      <c r="A854" s="100" t="str">
        <f t="shared" si="119"/>
        <v>GENERAL SERVICE 50 TO 999 KW SERVICE CLASSIFICATION</v>
      </c>
      <c r="B854" s="100" t="s">
        <v>180</v>
      </c>
      <c r="C854" s="117"/>
      <c r="D854" s="165"/>
      <c r="E854" s="166"/>
      <c r="F854" s="198"/>
      <c r="G854" s="199"/>
      <c r="H854" s="200"/>
      <c r="I854" s="198"/>
      <c r="J854" s="168"/>
      <c r="K854" s="200"/>
      <c r="L854" s="201"/>
      <c r="M854" s="172"/>
    </row>
    <row r="855" spans="1:13" x14ac:dyDescent="0.25">
      <c r="A855" s="100" t="str">
        <f t="shared" si="119"/>
        <v>GENERAL SERVICE 50 TO 999 KW SERVICE CLASSIFICATION</v>
      </c>
      <c r="B855" s="100" t="s">
        <v>121</v>
      </c>
      <c r="C855" s="117"/>
      <c r="D855" s="173" t="s">
        <v>190</v>
      </c>
      <c r="E855" s="158"/>
      <c r="F855" s="174"/>
      <c r="G855" s="175"/>
      <c r="H855" s="176">
        <f>SUM(H843,H835:H838,H834)</f>
        <v>3015.27</v>
      </c>
      <c r="I855" s="177"/>
      <c r="J855" s="177"/>
      <c r="K855" s="176">
        <f>SUM(K843,K835:K838,K834)</f>
        <v>3291.3513991191721</v>
      </c>
      <c r="L855" s="178">
        <f>K855-H855</f>
        <v>276.08139911917215</v>
      </c>
      <c r="M855" s="179">
        <f>IF((H855)=0,"",(L855/H855))</f>
        <v>9.1561087106352718E-2</v>
      </c>
    </row>
    <row r="856" spans="1:13" x14ac:dyDescent="0.25">
      <c r="A856" s="100" t="str">
        <f t="shared" si="119"/>
        <v>GENERAL SERVICE 50 TO 999 KW SERVICE CLASSIFICATION</v>
      </c>
      <c r="B856" s="100" t="s">
        <v>121</v>
      </c>
      <c r="C856" s="117"/>
      <c r="D856" s="180" t="s">
        <v>184</v>
      </c>
      <c r="E856" s="158"/>
      <c r="F856" s="174">
        <v>0.13</v>
      </c>
      <c r="G856" s="175"/>
      <c r="H856" s="182">
        <f>H855*F856</f>
        <v>391.98509999999999</v>
      </c>
      <c r="I856" s="174">
        <v>0.13</v>
      </c>
      <c r="J856" s="183"/>
      <c r="K856" s="182">
        <f>K855*I856</f>
        <v>427.87568188549238</v>
      </c>
      <c r="L856" s="184">
        <f>K856-H856</f>
        <v>35.890581885492395</v>
      </c>
      <c r="M856" s="185">
        <f>IF((H856)=0,"",(L856/H856))</f>
        <v>9.1561087106352759E-2</v>
      </c>
    </row>
    <row r="857" spans="1:13" x14ac:dyDescent="0.25">
      <c r="A857" s="100" t="str">
        <f t="shared" si="119"/>
        <v>GENERAL SERVICE 50 TO 999 KW SERVICE CLASSIFICATION</v>
      </c>
      <c r="B857" s="100" t="s">
        <v>121</v>
      </c>
      <c r="C857" s="117"/>
      <c r="D857" s="180" t="s">
        <v>185</v>
      </c>
      <c r="E857" s="158"/>
      <c r="F857" s="174">
        <v>0.08</v>
      </c>
      <c r="G857" s="175"/>
      <c r="H857" s="182">
        <v>0</v>
      </c>
      <c r="I857" s="174">
        <v>0.08</v>
      </c>
      <c r="J857" s="183"/>
      <c r="K857" s="182">
        <v>0</v>
      </c>
      <c r="L857" s="184"/>
      <c r="M857" s="185"/>
    </row>
    <row r="858" spans="1:13" ht="15.75" thickBot="1" x14ac:dyDescent="0.3">
      <c r="A858" s="100" t="str">
        <f t="shared" si="119"/>
        <v>GENERAL SERVICE 50 TO 999 KW SERVICE CLASSIFICATION</v>
      </c>
      <c r="B858" s="100" t="s">
        <v>191</v>
      </c>
      <c r="C858" s="117">
        <f>B43</f>
        <v>14</v>
      </c>
      <c r="D858" s="301" t="s">
        <v>190</v>
      </c>
      <c r="E858" s="301"/>
      <c r="F858" s="193"/>
      <c r="G858" s="194"/>
      <c r="H858" s="188">
        <f>SUM(H855,H856)</f>
        <v>3407.2550999999999</v>
      </c>
      <c r="I858" s="195"/>
      <c r="J858" s="195"/>
      <c r="K858" s="188">
        <f>SUM(K855,K856)</f>
        <v>3719.2270810046643</v>
      </c>
      <c r="L858" s="196">
        <f>K858-H858</f>
        <v>311.97198100466449</v>
      </c>
      <c r="M858" s="197">
        <f>IF((H858)=0,"",(L858/H858))</f>
        <v>9.1561087106352704E-2</v>
      </c>
    </row>
    <row r="859" spans="1:13" ht="15.75" thickBot="1" x14ac:dyDescent="0.3">
      <c r="A859" s="100" t="str">
        <f t="shared" si="119"/>
        <v>GENERAL SERVICE 50 TO 999 KW SERVICE CLASSIFICATION</v>
      </c>
      <c r="B859" s="100" t="s">
        <v>121</v>
      </c>
      <c r="C859" s="117"/>
      <c r="D859" s="165"/>
      <c r="E859" s="166"/>
      <c r="F859" s="202"/>
      <c r="G859" s="203"/>
      <c r="H859" s="204"/>
      <c r="I859" s="202"/>
      <c r="J859" s="205"/>
      <c r="K859" s="204"/>
      <c r="L859" s="206"/>
      <c r="M859" s="207"/>
    </row>
    <row r="862" spans="1:13" x14ac:dyDescent="0.25">
      <c r="C862" s="100"/>
      <c r="D862" s="101" t="s">
        <v>134</v>
      </c>
      <c r="E862" s="302" t="str">
        <f>D44</f>
        <v>GENERAL SERVICE 50 TO 999 KW SERVICE CLASSIFICATION</v>
      </c>
      <c r="F862" s="302"/>
      <c r="G862" s="302"/>
      <c r="H862" s="302"/>
      <c r="I862" s="302"/>
      <c r="J862" s="302"/>
      <c r="K862" s="100" t="str">
        <f>IF(N44="DEMAND - INTERVAL","RTSR - INTERVAL METERED","")</f>
        <v/>
      </c>
    </row>
    <row r="863" spans="1:13" x14ac:dyDescent="0.25">
      <c r="C863" s="100"/>
      <c r="D863" s="101" t="s">
        <v>135</v>
      </c>
      <c r="E863" s="303" t="str">
        <f>H44</f>
        <v>Non-RPP (Other)</v>
      </c>
      <c r="F863" s="303"/>
      <c r="G863" s="303"/>
      <c r="H863" s="102"/>
      <c r="I863" s="102"/>
    </row>
    <row r="864" spans="1:13" ht="15.75" x14ac:dyDescent="0.25">
      <c r="C864" s="100"/>
      <c r="D864" s="101" t="s">
        <v>136</v>
      </c>
      <c r="E864" s="103">
        <f>K44</f>
        <v>500000</v>
      </c>
      <c r="F864" s="104" t="s">
        <v>137</v>
      </c>
      <c r="G864" s="105"/>
      <c r="J864" s="106"/>
      <c r="K864" s="106"/>
      <c r="L864" s="106"/>
      <c r="M864" s="106"/>
    </row>
    <row r="865" spans="1:13" ht="15.75" x14ac:dyDescent="0.25">
      <c r="C865" s="100"/>
      <c r="D865" s="101" t="s">
        <v>138</v>
      </c>
      <c r="E865" s="103">
        <f>L44</f>
        <v>750</v>
      </c>
      <c r="F865" s="107" t="s">
        <v>139</v>
      </c>
      <c r="G865" s="108"/>
      <c r="H865" s="109"/>
      <c r="I865" s="109"/>
      <c r="J865" s="109"/>
    </row>
    <row r="866" spans="1:13" x14ac:dyDescent="0.25">
      <c r="C866" s="100"/>
      <c r="D866" s="101" t="s">
        <v>140</v>
      </c>
      <c r="E866" s="110">
        <f>I44</f>
        <v>1.056</v>
      </c>
    </row>
    <row r="867" spans="1:13" x14ac:dyDescent="0.25">
      <c r="C867" s="100"/>
      <c r="D867" s="101" t="s">
        <v>141</v>
      </c>
      <c r="E867" s="110">
        <f>J44</f>
        <v>1.056</v>
      </c>
    </row>
    <row r="868" spans="1:13" x14ac:dyDescent="0.25">
      <c r="C868" s="100"/>
      <c r="D868" s="105"/>
    </row>
    <row r="869" spans="1:13" x14ac:dyDescent="0.25">
      <c r="C869" s="100"/>
      <c r="D869" s="105"/>
      <c r="E869" s="111"/>
      <c r="F869" s="304" t="s">
        <v>142</v>
      </c>
      <c r="G869" s="305"/>
      <c r="H869" s="306"/>
      <c r="I869" s="304" t="s">
        <v>143</v>
      </c>
      <c r="J869" s="305"/>
      <c r="K869" s="306"/>
      <c r="L869" s="304" t="s">
        <v>144</v>
      </c>
      <c r="M869" s="306"/>
    </row>
    <row r="870" spans="1:13" x14ac:dyDescent="0.25">
      <c r="C870" s="100"/>
      <c r="D870" s="105"/>
      <c r="E870" s="295"/>
      <c r="F870" s="112" t="s">
        <v>145</v>
      </c>
      <c r="G870" s="112" t="s">
        <v>146</v>
      </c>
      <c r="H870" s="113" t="s">
        <v>147</v>
      </c>
      <c r="I870" s="112" t="s">
        <v>145</v>
      </c>
      <c r="J870" s="114" t="s">
        <v>146</v>
      </c>
      <c r="K870" s="113" t="s">
        <v>147</v>
      </c>
      <c r="L870" s="297" t="s">
        <v>148</v>
      </c>
      <c r="M870" s="299" t="s">
        <v>149</v>
      </c>
    </row>
    <row r="871" spans="1:13" x14ac:dyDescent="0.25">
      <c r="C871" s="100"/>
      <c r="D871" s="105"/>
      <c r="E871" s="296"/>
      <c r="F871" s="115" t="s">
        <v>150</v>
      </c>
      <c r="G871" s="115"/>
      <c r="H871" s="116" t="s">
        <v>150</v>
      </c>
      <c r="I871" s="115" t="s">
        <v>150</v>
      </c>
      <c r="J871" s="116"/>
      <c r="K871" s="116" t="s">
        <v>150</v>
      </c>
      <c r="L871" s="298"/>
      <c r="M871" s="300"/>
    </row>
    <row r="872" spans="1:13" x14ac:dyDescent="0.25">
      <c r="A872" s="100" t="str">
        <f>$E862</f>
        <v>GENERAL SERVICE 50 TO 999 KW SERVICE CLASSIFICATION</v>
      </c>
      <c r="C872" s="117"/>
      <c r="D872" s="118" t="s">
        <v>151</v>
      </c>
      <c r="E872" s="119"/>
      <c r="F872" s="120">
        <v>86.83</v>
      </c>
      <c r="G872" s="121">
        <v>1</v>
      </c>
      <c r="H872" s="122">
        <f>G872*F872</f>
        <v>86.83</v>
      </c>
      <c r="I872" s="123">
        <v>87.87</v>
      </c>
      <c r="J872" s="124">
        <f>G872</f>
        <v>1</v>
      </c>
      <c r="K872" s="122">
        <f>J872*I872</f>
        <v>87.87</v>
      </c>
      <c r="L872" s="125">
        <f t="shared" ref="L872:L893" si="124">K872-H872</f>
        <v>1.0400000000000063</v>
      </c>
      <c r="M872" s="126">
        <f>IF(ISERROR(L872/H872), "", L872/H872)</f>
        <v>1.1977427156512798E-2</v>
      </c>
    </row>
    <row r="873" spans="1:13" x14ac:dyDescent="0.25">
      <c r="A873" s="100" t="str">
        <f>A872</f>
        <v>GENERAL SERVICE 50 TO 999 KW SERVICE CLASSIFICATION</v>
      </c>
      <c r="C873" s="117"/>
      <c r="D873" s="118" t="s">
        <v>152</v>
      </c>
      <c r="E873" s="119"/>
      <c r="F873" s="127">
        <v>3.8580000000000001</v>
      </c>
      <c r="G873" s="121">
        <f>IF($E865&gt;0, $E865, $E864)</f>
        <v>750</v>
      </c>
      <c r="H873" s="122">
        <f t="shared" ref="H873:H885" si="125">G873*F873</f>
        <v>2893.5</v>
      </c>
      <c r="I873" s="128">
        <v>3.9043000000000001</v>
      </c>
      <c r="J873" s="124">
        <f>IF($E865&gt;0, $E865, $E864)</f>
        <v>750</v>
      </c>
      <c r="K873" s="122">
        <f>J873*I873</f>
        <v>2928.2249999999999</v>
      </c>
      <c r="L873" s="125">
        <f t="shared" si="124"/>
        <v>34.724999999999909</v>
      </c>
      <c r="M873" s="126">
        <f t="shared" ref="M873:M883" si="126">IF(ISERROR(L873/H873), "", L873/H873)</f>
        <v>1.2001036806635531E-2</v>
      </c>
    </row>
    <row r="874" spans="1:13" x14ac:dyDescent="0.25">
      <c r="A874" s="100" t="str">
        <f t="shared" ref="A874:A915" si="127">A873</f>
        <v>GENERAL SERVICE 50 TO 999 KW SERVICE CLASSIFICATION</v>
      </c>
      <c r="C874" s="117"/>
      <c r="D874" s="118" t="s">
        <v>153</v>
      </c>
      <c r="E874" s="119"/>
      <c r="F874" s="127"/>
      <c r="G874" s="121">
        <f>IF($E865&gt;0, $E865, $E864)</f>
        <v>750</v>
      </c>
      <c r="H874" s="122">
        <v>0</v>
      </c>
      <c r="I874" s="128"/>
      <c r="J874" s="124">
        <f>IF($E865&gt;0, $E865, $E864)</f>
        <v>750</v>
      </c>
      <c r="K874" s="122">
        <v>0</v>
      </c>
      <c r="L874" s="125"/>
      <c r="M874" s="126"/>
    </row>
    <row r="875" spans="1:13" x14ac:dyDescent="0.25">
      <c r="A875" s="100" t="str">
        <f t="shared" si="127"/>
        <v>GENERAL SERVICE 50 TO 999 KW SERVICE CLASSIFICATION</v>
      </c>
      <c r="C875" s="117"/>
      <c r="D875" s="118" t="s">
        <v>154</v>
      </c>
      <c r="E875" s="119"/>
      <c r="F875" s="127"/>
      <c r="G875" s="121">
        <f>IF($E865&gt;0, $E865, $E864)</f>
        <v>750</v>
      </c>
      <c r="H875" s="122">
        <v>0</v>
      </c>
      <c r="I875" s="128"/>
      <c r="J875" s="121">
        <f>IF($E865&gt;0, $E865, $E864)</f>
        <v>750</v>
      </c>
      <c r="K875" s="122">
        <v>0</v>
      </c>
      <c r="L875" s="125">
        <f>K875-H875</f>
        <v>0</v>
      </c>
      <c r="M875" s="126" t="str">
        <f>IF(ISERROR(L875/H875), "", L875/H875)</f>
        <v/>
      </c>
    </row>
    <row r="876" spans="1:13" x14ac:dyDescent="0.25">
      <c r="A876" s="100" t="str">
        <f t="shared" si="127"/>
        <v>GENERAL SERVICE 50 TO 999 KW SERVICE CLASSIFICATION</v>
      </c>
      <c r="C876" s="117"/>
      <c r="D876" s="129" t="s">
        <v>155</v>
      </c>
      <c r="E876" s="119"/>
      <c r="F876" s="120">
        <v>0</v>
      </c>
      <c r="G876" s="121">
        <v>1</v>
      </c>
      <c r="H876" s="122">
        <f t="shared" si="125"/>
        <v>0</v>
      </c>
      <c r="I876" s="226">
        <f>'Rate Riders'!O10</f>
        <v>15.382147986295536</v>
      </c>
      <c r="J876" s="124">
        <f>G876</f>
        <v>1</v>
      </c>
      <c r="K876" s="122">
        <f t="shared" ref="K876:K883" si="128">J876*I876</f>
        <v>15.382147986295536</v>
      </c>
      <c r="L876" s="125">
        <f t="shared" si="124"/>
        <v>15.382147986295536</v>
      </c>
      <c r="M876" s="126" t="str">
        <f t="shared" si="126"/>
        <v/>
      </c>
    </row>
    <row r="877" spans="1:13" x14ac:dyDescent="0.25">
      <c r="A877" s="100" t="str">
        <f t="shared" si="127"/>
        <v>GENERAL SERVICE 50 TO 999 KW SERVICE CLASSIFICATION</v>
      </c>
      <c r="C877" s="117"/>
      <c r="D877" s="118" t="s">
        <v>156</v>
      </c>
      <c r="E877" s="119"/>
      <c r="F877" s="127">
        <v>0</v>
      </c>
      <c r="G877" s="121">
        <f>IF($E865&gt;0, $E865, $E864)</f>
        <v>750</v>
      </c>
      <c r="H877" s="122">
        <f t="shared" si="125"/>
        <v>0</v>
      </c>
      <c r="I877" s="227">
        <f>'Rate Riders'!Q10</f>
        <v>0.68345418554794635</v>
      </c>
      <c r="J877" s="124">
        <f>IF($E865&gt;0, $E865, $E864)</f>
        <v>750</v>
      </c>
      <c r="K877" s="122">
        <f t="shared" si="128"/>
        <v>512.59063916095977</v>
      </c>
      <c r="L877" s="125">
        <f t="shared" si="124"/>
        <v>512.59063916095977</v>
      </c>
      <c r="M877" s="126" t="str">
        <f t="shared" si="126"/>
        <v/>
      </c>
    </row>
    <row r="878" spans="1:13" x14ac:dyDescent="0.25">
      <c r="A878" s="100" t="str">
        <f t="shared" si="127"/>
        <v>GENERAL SERVICE 50 TO 999 KW SERVICE CLASSIFICATION</v>
      </c>
      <c r="B878" s="130" t="s">
        <v>157</v>
      </c>
      <c r="C878" s="117">
        <f>B44</f>
        <v>15</v>
      </c>
      <c r="D878" s="131" t="s">
        <v>158</v>
      </c>
      <c r="E878" s="132"/>
      <c r="F878" s="133"/>
      <c r="G878" s="134"/>
      <c r="H878" s="135">
        <f>SUM(H872:H877)</f>
        <v>2980.33</v>
      </c>
      <c r="I878" s="136"/>
      <c r="J878" s="137"/>
      <c r="K878" s="135">
        <f>SUM(K872:K877)</f>
        <v>3544.0677871472549</v>
      </c>
      <c r="L878" s="138">
        <f t="shared" si="124"/>
        <v>563.73778714725495</v>
      </c>
      <c r="M878" s="139">
        <f>IF((H878)=0,"",(L878/H878))</f>
        <v>0.18915280762440903</v>
      </c>
    </row>
    <row r="879" spans="1:13" x14ac:dyDescent="0.25">
      <c r="A879" s="100" t="str">
        <f t="shared" si="127"/>
        <v>GENERAL SERVICE 50 TO 999 KW SERVICE CLASSIFICATION</v>
      </c>
      <c r="C879" s="117"/>
      <c r="D879" s="140" t="s">
        <v>159</v>
      </c>
      <c r="E879" s="119"/>
      <c r="F879" s="127">
        <f>IF((E864*12&gt;=150000), 0, IF(E863="RPP",(F895*0.65+F896*0.17+F897*0.18),IF(E863="Non-RPP (Retailer)",F898,F899)))</f>
        <v>0</v>
      </c>
      <c r="G879" s="141">
        <f>IF(F879=0, 0, $E864*E866-E864)</f>
        <v>0</v>
      </c>
      <c r="H879" s="122">
        <f>G879*F879</f>
        <v>0</v>
      </c>
      <c r="I879" s="128">
        <f>IF((E864*12&gt;=150000), 0, IF(E863="RPP",(I895*0.65+I896*0.17+I897*0.18),IF(E863="Non-RPP (Retailer)",I898,I899)))</f>
        <v>0</v>
      </c>
      <c r="J879" s="141">
        <f>IF(I879=0, 0, E864*E867-E864)</f>
        <v>0</v>
      </c>
      <c r="K879" s="122">
        <f>J879*I879</f>
        <v>0</v>
      </c>
      <c r="L879" s="125">
        <f>K879-H879</f>
        <v>0</v>
      </c>
      <c r="M879" s="126" t="str">
        <f>IF(ISERROR(L879/H879), "", L879/H879)</f>
        <v/>
      </c>
    </row>
    <row r="880" spans="1:13" ht="25.5" x14ac:dyDescent="0.25">
      <c r="A880" s="100" t="str">
        <f t="shared" si="127"/>
        <v>GENERAL SERVICE 50 TO 999 KW SERVICE CLASSIFICATION</v>
      </c>
      <c r="C880" s="117"/>
      <c r="D880" s="140" t="s">
        <v>160</v>
      </c>
      <c r="E880" s="119"/>
      <c r="F880" s="127">
        <v>-0.70650000000000002</v>
      </c>
      <c r="G880" s="142">
        <f>IF($E865&gt;0, $E865, $E864)</f>
        <v>750</v>
      </c>
      <c r="H880" s="122">
        <f t="shared" si="125"/>
        <v>-529.875</v>
      </c>
      <c r="I880" s="128">
        <v>-1.7801</v>
      </c>
      <c r="J880" s="142">
        <f>IF($E865&gt;0, $E865, $E864)</f>
        <v>750</v>
      </c>
      <c r="K880" s="122">
        <f t="shared" si="128"/>
        <v>-1335.075</v>
      </c>
      <c r="L880" s="125">
        <f t="shared" si="124"/>
        <v>-805.2</v>
      </c>
      <c r="M880" s="126">
        <f t="shared" si="126"/>
        <v>1.5196036801132344</v>
      </c>
    </row>
    <row r="881" spans="1:13" x14ac:dyDescent="0.25">
      <c r="A881" s="100" t="str">
        <f t="shared" si="127"/>
        <v>GENERAL SERVICE 50 TO 999 KW SERVICE CLASSIFICATION</v>
      </c>
      <c r="C881" s="117"/>
      <c r="D881" s="140" t="s">
        <v>161</v>
      </c>
      <c r="E881" s="119"/>
      <c r="F881" s="127">
        <v>-2.76E-2</v>
      </c>
      <c r="G881" s="142">
        <f>IF($E865&gt;0, $E865, $E864)</f>
        <v>750</v>
      </c>
      <c r="H881" s="122">
        <f>G881*F881</f>
        <v>-20.7</v>
      </c>
      <c r="I881" s="128">
        <v>0</v>
      </c>
      <c r="J881" s="142">
        <f>IF($E865&gt;0, $E865, $E864)</f>
        <v>750</v>
      </c>
      <c r="K881" s="122">
        <f>J881*I881</f>
        <v>0</v>
      </c>
      <c r="L881" s="125">
        <f t="shared" si="124"/>
        <v>20.7</v>
      </c>
      <c r="M881" s="126">
        <f t="shared" si="126"/>
        <v>-1</v>
      </c>
    </row>
    <row r="882" spans="1:13" x14ac:dyDescent="0.25">
      <c r="A882" s="100" t="str">
        <f t="shared" si="127"/>
        <v>GENERAL SERVICE 50 TO 999 KW SERVICE CLASSIFICATION</v>
      </c>
      <c r="C882" s="117"/>
      <c r="D882" s="140" t="s">
        <v>162</v>
      </c>
      <c r="E882" s="119"/>
      <c r="F882" s="127">
        <v>-1E-3</v>
      </c>
      <c r="G882" s="142">
        <f>E864</f>
        <v>500000</v>
      </c>
      <c r="H882" s="122">
        <f>G882*F882</f>
        <v>-500</v>
      </c>
      <c r="I882" s="128">
        <v>1.37E-2</v>
      </c>
      <c r="J882" s="142">
        <f>E864</f>
        <v>500000</v>
      </c>
      <c r="K882" s="122">
        <f t="shared" si="128"/>
        <v>6850</v>
      </c>
      <c r="L882" s="125">
        <f t="shared" si="124"/>
        <v>7350</v>
      </c>
      <c r="M882" s="126">
        <f t="shared" si="126"/>
        <v>-14.7</v>
      </c>
    </row>
    <row r="883" spans="1:13" x14ac:dyDescent="0.25">
      <c r="A883" s="100" t="str">
        <f t="shared" si="127"/>
        <v>GENERAL SERVICE 50 TO 999 KW SERVICE CLASSIFICATION</v>
      </c>
      <c r="C883" s="117"/>
      <c r="D883" s="143" t="s">
        <v>163</v>
      </c>
      <c r="E883" s="119"/>
      <c r="F883" s="127">
        <v>1.0483</v>
      </c>
      <c r="G883" s="142">
        <f>IF($E865&gt;0, $E865, $E864)</f>
        <v>750</v>
      </c>
      <c r="H883" s="122">
        <f t="shared" si="125"/>
        <v>786.22500000000002</v>
      </c>
      <c r="I883" s="128">
        <v>1.0483</v>
      </c>
      <c r="J883" s="142">
        <f>IF($E865&gt;0, $E865, $E864)</f>
        <v>750</v>
      </c>
      <c r="K883" s="122">
        <f t="shared" si="128"/>
        <v>786.22500000000002</v>
      </c>
      <c r="L883" s="125">
        <f t="shared" si="124"/>
        <v>0</v>
      </c>
      <c r="M883" s="126">
        <f t="shared" si="126"/>
        <v>0</v>
      </c>
    </row>
    <row r="884" spans="1:13" ht="25.5" x14ac:dyDescent="0.25">
      <c r="A884" s="100" t="str">
        <f t="shared" si="127"/>
        <v>GENERAL SERVICE 50 TO 999 KW SERVICE CLASSIFICATION</v>
      </c>
      <c r="C884" s="117"/>
      <c r="D884" s="144" t="s">
        <v>164</v>
      </c>
      <c r="E884" s="119"/>
      <c r="F884" s="145">
        <f>IF(OR(ISNUMBER(SEARCH("RESIDENTIAL", E862))=TRUE, ISNUMBER(SEARCH("GENERAL SERVICE LESS THAN 50", E862))=TRUE), SME, 0)</f>
        <v>0</v>
      </c>
      <c r="G884" s="121">
        <v>1</v>
      </c>
      <c r="H884" s="122">
        <f>G884*F884</f>
        <v>0</v>
      </c>
      <c r="I884" s="146">
        <f>IF(OR(ISNUMBER(SEARCH("RESIDENTIAL", E862))=TRUE, ISNUMBER(SEARCH("GENERAL SERVICE LESS THAN 50", E862))=TRUE), SME, 0)</f>
        <v>0</v>
      </c>
      <c r="J884" s="121">
        <v>1</v>
      </c>
      <c r="K884" s="122">
        <f>J884*I884</f>
        <v>0</v>
      </c>
      <c r="L884" s="125">
        <f t="shared" si="124"/>
        <v>0</v>
      </c>
      <c r="M884" s="126" t="str">
        <f>IF(ISERROR(L884/H884), "", L884/H884)</f>
        <v/>
      </c>
    </row>
    <row r="885" spans="1:13" x14ac:dyDescent="0.25">
      <c r="A885" s="100" t="str">
        <f t="shared" si="127"/>
        <v>GENERAL SERVICE 50 TO 999 KW SERVICE CLASSIFICATION</v>
      </c>
      <c r="C885" s="117"/>
      <c r="D885" s="143" t="s">
        <v>165</v>
      </c>
      <c r="E885" s="119"/>
      <c r="F885" s="120">
        <v>0</v>
      </c>
      <c r="G885" s="121">
        <v>1</v>
      </c>
      <c r="H885" s="122">
        <f t="shared" si="125"/>
        <v>0</v>
      </c>
      <c r="I885" s="123">
        <v>0</v>
      </c>
      <c r="J885" s="121">
        <v>1</v>
      </c>
      <c r="K885" s="122">
        <f>J885*I885</f>
        <v>0</v>
      </c>
      <c r="L885" s="125">
        <f>K885-H885</f>
        <v>0</v>
      </c>
      <c r="M885" s="126" t="str">
        <f>IF(ISERROR(L885/H885), "", L885/H885)</f>
        <v/>
      </c>
    </row>
    <row r="886" spans="1:13" x14ac:dyDescent="0.25">
      <c r="A886" s="100" t="str">
        <f t="shared" si="127"/>
        <v>GENERAL SERVICE 50 TO 999 KW SERVICE CLASSIFICATION</v>
      </c>
      <c r="C886" s="117"/>
      <c r="D886" s="143" t="s">
        <v>166</v>
      </c>
      <c r="E886" s="119"/>
      <c r="F886" s="127"/>
      <c r="G886" s="142">
        <f>IF($E865&gt;0, $E865, $E864)</f>
        <v>750</v>
      </c>
      <c r="H886" s="122">
        <f>G886*F886</f>
        <v>0</v>
      </c>
      <c r="I886" s="128">
        <v>0</v>
      </c>
      <c r="J886" s="142">
        <f>IF($E865&gt;0, $E865, $E864)</f>
        <v>750</v>
      </c>
      <c r="K886" s="122">
        <f>J886*I886</f>
        <v>0</v>
      </c>
      <c r="L886" s="125">
        <f t="shared" si="124"/>
        <v>0</v>
      </c>
      <c r="M886" s="126" t="str">
        <f>IF(ISERROR(L886/H886), "", L886/H886)</f>
        <v/>
      </c>
    </row>
    <row r="887" spans="1:13" ht="25.5" x14ac:dyDescent="0.25">
      <c r="A887" s="100" t="str">
        <f t="shared" si="127"/>
        <v>GENERAL SERVICE 50 TO 999 KW SERVICE CLASSIFICATION</v>
      </c>
      <c r="B887" s="105" t="s">
        <v>167</v>
      </c>
      <c r="C887" s="117">
        <f>B44</f>
        <v>15</v>
      </c>
      <c r="D887" s="147" t="s">
        <v>168</v>
      </c>
      <c r="E887" s="148"/>
      <c r="F887" s="149"/>
      <c r="G887" s="150"/>
      <c r="H887" s="151">
        <f>SUM(H878:H886)</f>
        <v>2715.98</v>
      </c>
      <c r="I887" s="152"/>
      <c r="J887" s="153"/>
      <c r="K887" s="151">
        <f>SUM(K878:K886)</f>
        <v>9845.2177871472541</v>
      </c>
      <c r="L887" s="138">
        <f t="shared" si="124"/>
        <v>7129.2377871472545</v>
      </c>
      <c r="M887" s="139">
        <f>IF((H887)=0,"",(L887/H887))</f>
        <v>2.6249227855681023</v>
      </c>
    </row>
    <row r="888" spans="1:13" x14ac:dyDescent="0.25">
      <c r="A888" s="100" t="str">
        <f t="shared" si="127"/>
        <v>GENERAL SERVICE 50 TO 999 KW SERVICE CLASSIFICATION</v>
      </c>
      <c r="C888" s="117"/>
      <c r="D888" s="154" t="s">
        <v>169</v>
      </c>
      <c r="E888" s="119"/>
      <c r="F888" s="127">
        <v>2.6217000000000001</v>
      </c>
      <c r="G888" s="141">
        <f>IF($E865&gt;0, $E865, $E864*$E866)</f>
        <v>750</v>
      </c>
      <c r="H888" s="122">
        <f>G888*F888</f>
        <v>1966.2750000000001</v>
      </c>
      <c r="I888" s="128">
        <v>2.4868999999999999</v>
      </c>
      <c r="J888" s="141">
        <f>IF($E865&gt;0, $E865, $E864*$E867)</f>
        <v>750</v>
      </c>
      <c r="K888" s="122">
        <f>J888*I888</f>
        <v>1865.175</v>
      </c>
      <c r="L888" s="125">
        <f t="shared" si="124"/>
        <v>-101.10000000000014</v>
      </c>
      <c r="M888" s="126">
        <f>IF(ISERROR(L888/H888), "", L888/H888)</f>
        <v>-5.1417019491169919E-2</v>
      </c>
    </row>
    <row r="889" spans="1:13" ht="25.5" x14ac:dyDescent="0.25">
      <c r="A889" s="100" t="str">
        <f t="shared" si="127"/>
        <v>GENERAL SERVICE 50 TO 999 KW SERVICE CLASSIFICATION</v>
      </c>
      <c r="C889" s="117"/>
      <c r="D889" s="155" t="s">
        <v>170</v>
      </c>
      <c r="E889" s="119"/>
      <c r="F889" s="127">
        <v>2.2145999999999999</v>
      </c>
      <c r="G889" s="141">
        <f>IF($E865&gt;0, $E865, $E864*$E866)</f>
        <v>750</v>
      </c>
      <c r="H889" s="122">
        <f>G889*F889</f>
        <v>1660.9499999999998</v>
      </c>
      <c r="I889" s="128">
        <v>2.0933000000000002</v>
      </c>
      <c r="J889" s="141">
        <f>IF($E865&gt;0, $E865, $E864*$E867)</f>
        <v>750</v>
      </c>
      <c r="K889" s="122">
        <f>J889*I889</f>
        <v>1569.9750000000001</v>
      </c>
      <c r="L889" s="125">
        <f t="shared" si="124"/>
        <v>-90.974999999999682</v>
      </c>
      <c r="M889" s="126">
        <f>IF(ISERROR(L889/H889), "", L889/H889)</f>
        <v>-5.4772870947349221E-2</v>
      </c>
    </row>
    <row r="890" spans="1:13" ht="25.5" x14ac:dyDescent="0.25">
      <c r="A890" s="100" t="str">
        <f t="shared" si="127"/>
        <v>GENERAL SERVICE 50 TO 999 KW SERVICE CLASSIFICATION</v>
      </c>
      <c r="B890" s="105" t="s">
        <v>171</v>
      </c>
      <c r="C890" s="117">
        <f>B44</f>
        <v>15</v>
      </c>
      <c r="D890" s="147" t="s">
        <v>172</v>
      </c>
      <c r="E890" s="132"/>
      <c r="F890" s="149"/>
      <c r="G890" s="150"/>
      <c r="H890" s="151">
        <f>SUM(H887:H889)</f>
        <v>6343.2049999999999</v>
      </c>
      <c r="I890" s="152"/>
      <c r="J890" s="137"/>
      <c r="K890" s="151">
        <f>SUM(K887:K889)</f>
        <v>13280.367787147254</v>
      </c>
      <c r="L890" s="138">
        <f t="shared" si="124"/>
        <v>6937.1627871472538</v>
      </c>
      <c r="M890" s="139">
        <f>IF((H890)=0,"",(L890/H890))</f>
        <v>1.0936368582045282</v>
      </c>
    </row>
    <row r="891" spans="1:13" ht="25.5" x14ac:dyDescent="0.25">
      <c r="A891" s="100" t="str">
        <f t="shared" si="127"/>
        <v>GENERAL SERVICE 50 TO 999 KW SERVICE CLASSIFICATION</v>
      </c>
      <c r="C891" s="117"/>
      <c r="D891" s="156" t="s">
        <v>173</v>
      </c>
      <c r="E891" s="119"/>
      <c r="F891" s="127">
        <v>3.6000000000000003E-3</v>
      </c>
      <c r="G891" s="141">
        <f>E864*E866</f>
        <v>528000</v>
      </c>
      <c r="H891" s="157">
        <f t="shared" ref="H891:H897" si="129">G891*F891</f>
        <v>1900.8000000000002</v>
      </c>
      <c r="I891" s="128">
        <v>3.6000000000000003E-3</v>
      </c>
      <c r="J891" s="141">
        <f>E864*E867</f>
        <v>528000</v>
      </c>
      <c r="K891" s="157">
        <f t="shared" ref="K891:K897" si="130">J891*I891</f>
        <v>1900.8000000000002</v>
      </c>
      <c r="L891" s="125">
        <f t="shared" si="124"/>
        <v>0</v>
      </c>
      <c r="M891" s="126">
        <f t="shared" ref="M891:M899" si="131">IF(ISERROR(L891/H891), "", L891/H891)</f>
        <v>0</v>
      </c>
    </row>
    <row r="892" spans="1:13" ht="25.5" x14ac:dyDescent="0.25">
      <c r="A892" s="100" t="str">
        <f t="shared" si="127"/>
        <v>GENERAL SERVICE 50 TO 999 KW SERVICE CLASSIFICATION</v>
      </c>
      <c r="C892" s="117"/>
      <c r="D892" s="156" t="s">
        <v>174</v>
      </c>
      <c r="E892" s="119"/>
      <c r="F892" s="127">
        <f>'[1]17. Regulatory Charges'!$D$16</f>
        <v>2.9999999999999997E-4</v>
      </c>
      <c r="G892" s="141">
        <f>E864*E866</f>
        <v>528000</v>
      </c>
      <c r="H892" s="157">
        <f t="shared" si="129"/>
        <v>158.39999999999998</v>
      </c>
      <c r="I892" s="128">
        <v>2.9999999999999997E-4</v>
      </c>
      <c r="J892" s="141">
        <f>E864*E867</f>
        <v>528000</v>
      </c>
      <c r="K892" s="157">
        <f t="shared" si="130"/>
        <v>158.39999999999998</v>
      </c>
      <c r="L892" s="125">
        <f t="shared" si="124"/>
        <v>0</v>
      </c>
      <c r="M892" s="126">
        <f t="shared" si="131"/>
        <v>0</v>
      </c>
    </row>
    <row r="893" spans="1:13" x14ac:dyDescent="0.25">
      <c r="A893" s="100" t="str">
        <f t="shared" si="127"/>
        <v>GENERAL SERVICE 50 TO 999 KW SERVICE CLASSIFICATION</v>
      </c>
      <c r="C893" s="117"/>
      <c r="D893" s="158" t="s">
        <v>175</v>
      </c>
      <c r="E893" s="119"/>
      <c r="F893" s="145">
        <v>0.25</v>
      </c>
      <c r="G893" s="121">
        <v>1</v>
      </c>
      <c r="H893" s="157">
        <f t="shared" si="129"/>
        <v>0.25</v>
      </c>
      <c r="I893" s="146">
        <f>'[1]17. Regulatory Charges'!$D$17</f>
        <v>0.25</v>
      </c>
      <c r="J893" s="124">
        <v>1</v>
      </c>
      <c r="K893" s="157">
        <f t="shared" si="130"/>
        <v>0.25</v>
      </c>
      <c r="L893" s="125">
        <f t="shared" si="124"/>
        <v>0</v>
      </c>
      <c r="M893" s="126">
        <f t="shared" si="131"/>
        <v>0</v>
      </c>
    </row>
    <row r="894" spans="1:13" ht="25.5" x14ac:dyDescent="0.25">
      <c r="A894" s="100" t="str">
        <f t="shared" si="127"/>
        <v>GENERAL SERVICE 50 TO 999 KW SERVICE CLASSIFICATION</v>
      </c>
      <c r="C894" s="117"/>
      <c r="D894" s="156" t="s">
        <v>176</v>
      </c>
      <c r="E894" s="119"/>
      <c r="F894" s="127"/>
      <c r="G894" s="141"/>
      <c r="H894" s="157"/>
      <c r="I894" s="128"/>
      <c r="J894" s="141"/>
      <c r="K894" s="157"/>
      <c r="L894" s="125"/>
      <c r="M894" s="126"/>
    </row>
    <row r="895" spans="1:13" hidden="1" x14ac:dyDescent="0.25">
      <c r="A895" s="100" t="str">
        <f t="shared" si="127"/>
        <v>GENERAL SERVICE 50 TO 999 KW SERVICE CLASSIFICATION</v>
      </c>
      <c r="B895" s="105" t="s">
        <v>117</v>
      </c>
      <c r="C895" s="117"/>
      <c r="D895" s="159" t="s">
        <v>177</v>
      </c>
      <c r="E895" s="119"/>
      <c r="F895" s="160">
        <f>OffPeak</f>
        <v>6.5000000000000002E-2</v>
      </c>
      <c r="G895" s="161">
        <f>IF(AND(E864*12&gt;=150000),0.65*E864*E866,0.65*E864)</f>
        <v>343200</v>
      </c>
      <c r="H895" s="157">
        <f t="shared" si="129"/>
        <v>22308</v>
      </c>
      <c r="I895" s="162">
        <f>OffPeak</f>
        <v>6.5000000000000002E-2</v>
      </c>
      <c r="J895" s="161">
        <f>IF(AND(E864*12&gt;=150000),0.65*E864*E867,0.65*E864)</f>
        <v>343200</v>
      </c>
      <c r="K895" s="157">
        <f t="shared" si="130"/>
        <v>22308</v>
      </c>
      <c r="L895" s="125">
        <f>K895-H895</f>
        <v>0</v>
      </c>
      <c r="M895" s="126">
        <f t="shared" si="131"/>
        <v>0</v>
      </c>
    </row>
    <row r="896" spans="1:13" hidden="1" x14ac:dyDescent="0.25">
      <c r="A896" s="100" t="str">
        <f t="shared" si="127"/>
        <v>GENERAL SERVICE 50 TO 999 KW SERVICE CLASSIFICATION</v>
      </c>
      <c r="B896" s="105" t="s">
        <v>117</v>
      </c>
      <c r="C896" s="117"/>
      <c r="D896" s="159" t="s">
        <v>178</v>
      </c>
      <c r="E896" s="119"/>
      <c r="F896" s="160">
        <f>MidPeak</f>
        <v>9.4E-2</v>
      </c>
      <c r="G896" s="161">
        <f>IF(AND(E864*12&gt;=150000),0.17*E864*E866,0.17*E864)</f>
        <v>89760</v>
      </c>
      <c r="H896" s="157">
        <f t="shared" si="129"/>
        <v>8437.44</v>
      </c>
      <c r="I896" s="162">
        <f>MidPeak</f>
        <v>9.4E-2</v>
      </c>
      <c r="J896" s="161">
        <f>IF(AND(E864*12&gt;=150000),0.17*E864*E867,0.17*E864)</f>
        <v>89760</v>
      </c>
      <c r="K896" s="157">
        <f t="shared" si="130"/>
        <v>8437.44</v>
      </c>
      <c r="L896" s="125">
        <f>K896-H896</f>
        <v>0</v>
      </c>
      <c r="M896" s="126">
        <f t="shared" si="131"/>
        <v>0</v>
      </c>
    </row>
    <row r="897" spans="1:13" hidden="1" x14ac:dyDescent="0.25">
      <c r="A897" s="100" t="str">
        <f t="shared" si="127"/>
        <v>GENERAL SERVICE 50 TO 999 KW SERVICE CLASSIFICATION</v>
      </c>
      <c r="B897" s="105" t="s">
        <v>117</v>
      </c>
      <c r="C897" s="117"/>
      <c r="D897" s="105" t="s">
        <v>179</v>
      </c>
      <c r="E897" s="119"/>
      <c r="F897" s="160">
        <f>OnPeak</f>
        <v>0.13200000000000001</v>
      </c>
      <c r="G897" s="161">
        <f>IF(AND(E864*12&gt;=150000),0.18*E864*E866,0.18*E864)</f>
        <v>95040</v>
      </c>
      <c r="H897" s="157">
        <f t="shared" si="129"/>
        <v>12545.28</v>
      </c>
      <c r="I897" s="162">
        <f>OnPeak</f>
        <v>0.13200000000000001</v>
      </c>
      <c r="J897" s="161">
        <f>IF(AND(E864*12&gt;=150000),0.18*E864*E867,0.18*E864)</f>
        <v>95040</v>
      </c>
      <c r="K897" s="157">
        <f t="shared" si="130"/>
        <v>12545.28</v>
      </c>
      <c r="L897" s="125">
        <f>K897-H897</f>
        <v>0</v>
      </c>
      <c r="M897" s="126">
        <f t="shared" si="131"/>
        <v>0</v>
      </c>
    </row>
    <row r="898" spans="1:13" hidden="1" x14ac:dyDescent="0.25">
      <c r="A898" s="100" t="str">
        <f t="shared" si="127"/>
        <v>GENERAL SERVICE 50 TO 999 KW SERVICE CLASSIFICATION</v>
      </c>
      <c r="B898" s="100" t="s">
        <v>180</v>
      </c>
      <c r="C898" s="117"/>
      <c r="D898" s="159" t="s">
        <v>181</v>
      </c>
      <c r="E898" s="119"/>
      <c r="F898" s="163">
        <v>0.1101</v>
      </c>
      <c r="G898" s="161">
        <f>IF(AND(E864*12&gt;=150000),E864*E866,E864)</f>
        <v>528000</v>
      </c>
      <c r="H898" s="157">
        <f>G898*F898</f>
        <v>58132.800000000003</v>
      </c>
      <c r="I898" s="164">
        <f>F898</f>
        <v>0.1101</v>
      </c>
      <c r="J898" s="161">
        <f>IF(AND(E864*12&gt;=150000),E864*E867,E864)</f>
        <v>528000</v>
      </c>
      <c r="K898" s="157">
        <f>J898*I898</f>
        <v>58132.800000000003</v>
      </c>
      <c r="L898" s="125">
        <f>K898-H898</f>
        <v>0</v>
      </c>
      <c r="M898" s="126">
        <f t="shared" si="131"/>
        <v>0</v>
      </c>
    </row>
    <row r="899" spans="1:13" ht="15.75" thickBot="1" x14ac:dyDescent="0.3">
      <c r="A899" s="100" t="str">
        <f t="shared" si="127"/>
        <v>GENERAL SERVICE 50 TO 999 KW SERVICE CLASSIFICATION</v>
      </c>
      <c r="B899" s="100" t="s">
        <v>121</v>
      </c>
      <c r="C899" s="117"/>
      <c r="D899" s="159" t="s">
        <v>182</v>
      </c>
      <c r="E899" s="119"/>
      <c r="F899" s="163">
        <v>0.1101</v>
      </c>
      <c r="G899" s="161">
        <f>IF(AND(E864*12&gt;=150000),E864*E866,E864)</f>
        <v>528000</v>
      </c>
      <c r="H899" s="157">
        <f>G899*F899</f>
        <v>58132.800000000003</v>
      </c>
      <c r="I899" s="164">
        <f>F899</f>
        <v>0.1101</v>
      </c>
      <c r="J899" s="161">
        <f>IF(AND(E864*12&gt;=150000),E864*E867,E864)</f>
        <v>528000</v>
      </c>
      <c r="K899" s="157">
        <f>J899*I899</f>
        <v>58132.800000000003</v>
      </c>
      <c r="L899" s="125">
        <f>K899-H899</f>
        <v>0</v>
      </c>
      <c r="M899" s="126">
        <f t="shared" si="131"/>
        <v>0</v>
      </c>
    </row>
    <row r="900" spans="1:13" ht="15.75" thickBot="1" x14ac:dyDescent="0.3">
      <c r="A900" s="100" t="str">
        <f t="shared" si="127"/>
        <v>GENERAL SERVICE 50 TO 999 KW SERVICE CLASSIFICATION</v>
      </c>
      <c r="B900" s="105"/>
      <c r="C900" s="117"/>
      <c r="D900" s="165"/>
      <c r="E900" s="166"/>
      <c r="F900" s="167"/>
      <c r="G900" s="168"/>
      <c r="H900" s="169"/>
      <c r="I900" s="167"/>
      <c r="J900" s="170"/>
      <c r="K900" s="169"/>
      <c r="L900" s="171"/>
      <c r="M900" s="172"/>
    </row>
    <row r="901" spans="1:13" hidden="1" x14ac:dyDescent="0.25">
      <c r="A901" s="100" t="str">
        <f t="shared" si="127"/>
        <v>GENERAL SERVICE 50 TO 999 KW SERVICE CLASSIFICATION</v>
      </c>
      <c r="B901" s="105" t="s">
        <v>117</v>
      </c>
      <c r="C901" s="117"/>
      <c r="D901" s="173" t="s">
        <v>183</v>
      </c>
      <c r="E901" s="158"/>
      <c r="F901" s="174"/>
      <c r="G901" s="175"/>
      <c r="H901" s="176">
        <f>SUM(H891:H897,H890)</f>
        <v>51693.375</v>
      </c>
      <c r="I901" s="177"/>
      <c r="J901" s="177"/>
      <c r="K901" s="176">
        <f>SUM(K891:K897,K890)</f>
        <v>58630.537787147252</v>
      </c>
      <c r="L901" s="178">
        <f>K901-H901</f>
        <v>6937.1627871472519</v>
      </c>
      <c r="M901" s="179">
        <f>IF((H901)=0,"",(L901/H901))</f>
        <v>0.13419829498745733</v>
      </c>
    </row>
    <row r="902" spans="1:13" hidden="1" x14ac:dyDescent="0.25">
      <c r="A902" s="100" t="str">
        <f t="shared" si="127"/>
        <v>GENERAL SERVICE 50 TO 999 KW SERVICE CLASSIFICATION</v>
      </c>
      <c r="B902" s="105" t="s">
        <v>117</v>
      </c>
      <c r="C902" s="117"/>
      <c r="D902" s="180" t="s">
        <v>184</v>
      </c>
      <c r="E902" s="158"/>
      <c r="F902" s="174">
        <v>0.13</v>
      </c>
      <c r="G902" s="181"/>
      <c r="H902" s="182">
        <f>H901*F902</f>
        <v>6720.1387500000001</v>
      </c>
      <c r="I902" s="183">
        <v>0.13</v>
      </c>
      <c r="J902" s="121"/>
      <c r="K902" s="182">
        <f>K901*I902</f>
        <v>7621.969912329143</v>
      </c>
      <c r="L902" s="184">
        <f>K902-H902</f>
        <v>901.8311623291429</v>
      </c>
      <c r="M902" s="185">
        <f>IF((H902)=0,"",(L902/H902))</f>
        <v>0.13419829498745736</v>
      </c>
    </row>
    <row r="903" spans="1:13" hidden="1" x14ac:dyDescent="0.25">
      <c r="A903" s="100" t="str">
        <f t="shared" si="127"/>
        <v>GENERAL SERVICE 50 TO 999 KW SERVICE CLASSIFICATION</v>
      </c>
      <c r="B903" s="105" t="s">
        <v>117</v>
      </c>
      <c r="C903" s="117"/>
      <c r="D903" s="180" t="s">
        <v>185</v>
      </c>
      <c r="E903" s="158"/>
      <c r="F903" s="174">
        <v>0.08</v>
      </c>
      <c r="G903" s="181"/>
      <c r="H903" s="182">
        <v>0</v>
      </c>
      <c r="I903" s="174">
        <v>0.08</v>
      </c>
      <c r="J903" s="121"/>
      <c r="K903" s="182">
        <v>0</v>
      </c>
      <c r="L903" s="184">
        <f>K903-H903</f>
        <v>0</v>
      </c>
      <c r="M903" s="185"/>
    </row>
    <row r="904" spans="1:13" ht="15.75" hidden="1" thickBot="1" x14ac:dyDescent="0.3">
      <c r="A904" s="100" t="str">
        <f t="shared" si="127"/>
        <v>GENERAL SERVICE 50 TO 999 KW SERVICE CLASSIFICATION</v>
      </c>
      <c r="B904" s="105" t="s">
        <v>186</v>
      </c>
      <c r="C904" s="117"/>
      <c r="D904" s="301" t="s">
        <v>187</v>
      </c>
      <c r="E904" s="301"/>
      <c r="F904" s="186"/>
      <c r="G904" s="187"/>
      <c r="H904" s="188">
        <f>H901+H902+H903</f>
        <v>58413.513749999998</v>
      </c>
      <c r="I904" s="189"/>
      <c r="J904" s="189"/>
      <c r="K904" s="190">
        <f>K901+K902+K903</f>
        <v>66252.507699476395</v>
      </c>
      <c r="L904" s="191">
        <f>K904-H904</f>
        <v>7838.9939494763967</v>
      </c>
      <c r="M904" s="192">
        <f>IF((H904)=0,"",(L904/H904))</f>
        <v>0.13419829498745736</v>
      </c>
    </row>
    <row r="905" spans="1:13" ht="15.75" hidden="1" thickBot="1" x14ac:dyDescent="0.3">
      <c r="A905" s="100" t="str">
        <f t="shared" si="127"/>
        <v>GENERAL SERVICE 50 TO 999 KW SERVICE CLASSIFICATION</v>
      </c>
      <c r="B905" s="100" t="s">
        <v>117</v>
      </c>
      <c r="C905" s="117"/>
      <c r="D905" s="165"/>
      <c r="E905" s="166"/>
      <c r="F905" s="167"/>
      <c r="G905" s="168"/>
      <c r="H905" s="169"/>
      <c r="I905" s="167"/>
      <c r="J905" s="170"/>
      <c r="K905" s="169"/>
      <c r="L905" s="171"/>
      <c r="M905" s="172"/>
    </row>
    <row r="906" spans="1:13" hidden="1" x14ac:dyDescent="0.25">
      <c r="A906" s="100" t="str">
        <f t="shared" si="127"/>
        <v>GENERAL SERVICE 50 TO 999 KW SERVICE CLASSIFICATION</v>
      </c>
      <c r="B906" s="100" t="s">
        <v>180</v>
      </c>
      <c r="C906" s="117"/>
      <c r="D906" s="173" t="s">
        <v>188</v>
      </c>
      <c r="E906" s="158"/>
      <c r="F906" s="174"/>
      <c r="G906" s="175"/>
      <c r="H906" s="176">
        <f>SUM(H898,H891:H894,H890)</f>
        <v>66535.455000000002</v>
      </c>
      <c r="I906" s="177"/>
      <c r="J906" s="177"/>
      <c r="K906" s="176">
        <f>SUM(K898,K891:K894,K890)</f>
        <v>73472.617787147261</v>
      </c>
      <c r="L906" s="178">
        <f>K906-H906</f>
        <v>6937.1627871472592</v>
      </c>
      <c r="M906" s="179">
        <f>IF((H906)=0,"",(L906/H906))</f>
        <v>0.10426264894629876</v>
      </c>
    </row>
    <row r="907" spans="1:13" hidden="1" x14ac:dyDescent="0.25">
      <c r="A907" s="100" t="str">
        <f t="shared" si="127"/>
        <v>GENERAL SERVICE 50 TO 999 KW SERVICE CLASSIFICATION</v>
      </c>
      <c r="B907" s="100" t="s">
        <v>180</v>
      </c>
      <c r="C907" s="117"/>
      <c r="D907" s="180" t="s">
        <v>184</v>
      </c>
      <c r="E907" s="158"/>
      <c r="F907" s="174">
        <v>0.13</v>
      </c>
      <c r="G907" s="175"/>
      <c r="H907" s="182">
        <f>H906*F907</f>
        <v>8649.6091500000002</v>
      </c>
      <c r="I907" s="174">
        <v>0.13</v>
      </c>
      <c r="J907" s="183"/>
      <c r="K907" s="182">
        <f>K906*I907</f>
        <v>9551.4403123291449</v>
      </c>
      <c r="L907" s="184">
        <f>K907-H907</f>
        <v>901.83116232914472</v>
      </c>
      <c r="M907" s="185">
        <f>IF((H907)=0,"",(L907/H907))</f>
        <v>0.10426264894629889</v>
      </c>
    </row>
    <row r="908" spans="1:13" hidden="1" x14ac:dyDescent="0.25">
      <c r="A908" s="100" t="str">
        <f t="shared" si="127"/>
        <v>GENERAL SERVICE 50 TO 999 KW SERVICE CLASSIFICATION</v>
      </c>
      <c r="B908" s="100" t="s">
        <v>180</v>
      </c>
      <c r="C908" s="117"/>
      <c r="D908" s="180" t="s">
        <v>185</v>
      </c>
      <c r="E908" s="158"/>
      <c r="F908" s="174">
        <v>0.08</v>
      </c>
      <c r="G908" s="175"/>
      <c r="H908" s="182">
        <v>0</v>
      </c>
      <c r="I908" s="174">
        <v>0.08</v>
      </c>
      <c r="J908" s="183"/>
      <c r="K908" s="182">
        <v>0</v>
      </c>
      <c r="L908" s="184"/>
      <c r="M908" s="185"/>
    </row>
    <row r="909" spans="1:13" ht="15.75" hidden="1" thickBot="1" x14ac:dyDescent="0.3">
      <c r="A909" s="100" t="str">
        <f t="shared" si="127"/>
        <v>GENERAL SERVICE 50 TO 999 KW SERVICE CLASSIFICATION</v>
      </c>
      <c r="B909" s="100" t="s">
        <v>189</v>
      </c>
      <c r="C909" s="117"/>
      <c r="D909" s="301" t="s">
        <v>188</v>
      </c>
      <c r="E909" s="301"/>
      <c r="F909" s="193"/>
      <c r="G909" s="194"/>
      <c r="H909" s="188">
        <f>SUM(H906,H907)</f>
        <v>75185.064150000006</v>
      </c>
      <c r="I909" s="195"/>
      <c r="J909" s="195"/>
      <c r="K909" s="188">
        <f>SUM(K906,K907)</f>
        <v>83024.058099476402</v>
      </c>
      <c r="L909" s="196">
        <f>K909-H909</f>
        <v>7838.9939494763967</v>
      </c>
      <c r="M909" s="197">
        <f>IF((H909)=0,"",(L909/H909))</f>
        <v>0.10426264894629868</v>
      </c>
    </row>
    <row r="910" spans="1:13" ht="15.75" hidden="1" thickBot="1" x14ac:dyDescent="0.3">
      <c r="A910" s="100" t="str">
        <f t="shared" si="127"/>
        <v>GENERAL SERVICE 50 TO 999 KW SERVICE CLASSIFICATION</v>
      </c>
      <c r="B910" s="100" t="s">
        <v>180</v>
      </c>
      <c r="C910" s="117"/>
      <c r="D910" s="165"/>
      <c r="E910" s="166"/>
      <c r="F910" s="198"/>
      <c r="G910" s="199"/>
      <c r="H910" s="200"/>
      <c r="I910" s="198"/>
      <c r="J910" s="168"/>
      <c r="K910" s="200"/>
      <c r="L910" s="201"/>
      <c r="M910" s="172"/>
    </row>
    <row r="911" spans="1:13" x14ac:dyDescent="0.25">
      <c r="A911" s="100" t="str">
        <f t="shared" si="127"/>
        <v>GENERAL SERVICE 50 TO 999 KW SERVICE CLASSIFICATION</v>
      </c>
      <c r="B911" s="100" t="s">
        <v>121</v>
      </c>
      <c r="C911" s="117"/>
      <c r="D911" s="173" t="s">
        <v>190</v>
      </c>
      <c r="E911" s="158"/>
      <c r="F911" s="174"/>
      <c r="G911" s="175"/>
      <c r="H911" s="176">
        <f>SUM(H899,H891:H894,H890)</f>
        <v>66535.455000000002</v>
      </c>
      <c r="I911" s="177"/>
      <c r="J911" s="177"/>
      <c r="K911" s="176">
        <f>SUM(K899,K891:K894,K890)</f>
        <v>73472.617787147261</v>
      </c>
      <c r="L911" s="178">
        <f>K911-H911</f>
        <v>6937.1627871472592</v>
      </c>
      <c r="M911" s="179">
        <f>IF((H911)=0,"",(L911/H911))</f>
        <v>0.10426264894629876</v>
      </c>
    </row>
    <row r="912" spans="1:13" x14ac:dyDescent="0.25">
      <c r="A912" s="100" t="str">
        <f t="shared" si="127"/>
        <v>GENERAL SERVICE 50 TO 999 KW SERVICE CLASSIFICATION</v>
      </c>
      <c r="B912" s="100" t="s">
        <v>121</v>
      </c>
      <c r="C912" s="117"/>
      <c r="D912" s="180" t="s">
        <v>184</v>
      </c>
      <c r="E912" s="158"/>
      <c r="F912" s="174">
        <v>0.13</v>
      </c>
      <c r="G912" s="175"/>
      <c r="H912" s="182">
        <f>H911*F912</f>
        <v>8649.6091500000002</v>
      </c>
      <c r="I912" s="174">
        <v>0.13</v>
      </c>
      <c r="J912" s="183"/>
      <c r="K912" s="182">
        <f>K911*I912</f>
        <v>9551.4403123291449</v>
      </c>
      <c r="L912" s="184">
        <f>K912-H912</f>
        <v>901.83116232914472</v>
      </c>
      <c r="M912" s="185">
        <f>IF((H912)=0,"",(L912/H912))</f>
        <v>0.10426264894629889</v>
      </c>
    </row>
    <row r="913" spans="1:13" x14ac:dyDescent="0.25">
      <c r="A913" s="100" t="str">
        <f t="shared" si="127"/>
        <v>GENERAL SERVICE 50 TO 999 KW SERVICE CLASSIFICATION</v>
      </c>
      <c r="B913" s="100" t="s">
        <v>121</v>
      </c>
      <c r="C913" s="117"/>
      <c r="D913" s="180" t="s">
        <v>185</v>
      </c>
      <c r="E913" s="158"/>
      <c r="F913" s="174">
        <v>0.08</v>
      </c>
      <c r="G913" s="175"/>
      <c r="H913" s="182">
        <v>0</v>
      </c>
      <c r="I913" s="174">
        <v>0.08</v>
      </c>
      <c r="J913" s="183"/>
      <c r="K913" s="182">
        <v>0</v>
      </c>
      <c r="L913" s="184"/>
      <c r="M913" s="185"/>
    </row>
    <row r="914" spans="1:13" ht="15.75" thickBot="1" x14ac:dyDescent="0.3">
      <c r="A914" s="100" t="str">
        <f t="shared" si="127"/>
        <v>GENERAL SERVICE 50 TO 999 KW SERVICE CLASSIFICATION</v>
      </c>
      <c r="B914" s="100" t="s">
        <v>191</v>
      </c>
      <c r="C914" s="117">
        <f>B44</f>
        <v>15</v>
      </c>
      <c r="D914" s="301" t="s">
        <v>190</v>
      </c>
      <c r="E914" s="301"/>
      <c r="F914" s="193"/>
      <c r="G914" s="194"/>
      <c r="H914" s="188">
        <f>SUM(H911,H912)</f>
        <v>75185.064150000006</v>
      </c>
      <c r="I914" s="195"/>
      <c r="J914" s="195"/>
      <c r="K914" s="188">
        <f>SUM(K911,K912)</f>
        <v>83024.058099476402</v>
      </c>
      <c r="L914" s="196">
        <f>K914-H914</f>
        <v>7838.9939494763967</v>
      </c>
      <c r="M914" s="197">
        <f>IF((H914)=0,"",(L914/H914))</f>
        <v>0.10426264894629868</v>
      </c>
    </row>
    <row r="915" spans="1:13" ht="15.75" thickBot="1" x14ac:dyDescent="0.3">
      <c r="A915" s="100" t="str">
        <f t="shared" si="127"/>
        <v>GENERAL SERVICE 50 TO 999 KW SERVICE CLASSIFICATION</v>
      </c>
      <c r="B915" s="100" t="s">
        <v>121</v>
      </c>
      <c r="C915" s="117"/>
      <c r="D915" s="165"/>
      <c r="E915" s="166"/>
      <c r="F915" s="202"/>
      <c r="G915" s="203"/>
      <c r="H915" s="204"/>
      <c r="I915" s="202"/>
      <c r="J915" s="205"/>
      <c r="K915" s="204"/>
      <c r="L915" s="206"/>
      <c r="M915" s="207"/>
    </row>
    <row r="918" spans="1:13" x14ac:dyDescent="0.25">
      <c r="C918" s="100"/>
      <c r="D918" s="101" t="s">
        <v>134</v>
      </c>
      <c r="E918" s="302" t="str">
        <f>D45</f>
        <v>GENERAL SERVICE 1,000 TO 4,999 KW SERVICE CLASSIFICATION</v>
      </c>
      <c r="F918" s="302"/>
      <c r="G918" s="302"/>
      <c r="H918" s="302"/>
      <c r="I918" s="302"/>
      <c r="J918" s="302"/>
      <c r="K918" s="100" t="str">
        <f>IF(N45="DEMAND - INTERVAL","RTSR - INTERVAL METERED","")</f>
        <v/>
      </c>
    </row>
    <row r="919" spans="1:13" x14ac:dyDescent="0.25">
      <c r="C919" s="100"/>
      <c r="D919" s="101" t="s">
        <v>135</v>
      </c>
      <c r="E919" s="303" t="str">
        <f>H45</f>
        <v>Non-RPP (Other)</v>
      </c>
      <c r="F919" s="303"/>
      <c r="G919" s="303"/>
      <c r="H919" s="102"/>
      <c r="I919" s="102"/>
    </row>
    <row r="920" spans="1:13" ht="15.75" x14ac:dyDescent="0.25">
      <c r="C920" s="100"/>
      <c r="D920" s="101" t="s">
        <v>136</v>
      </c>
      <c r="E920" s="103">
        <f>K45</f>
        <v>1000000</v>
      </c>
      <c r="F920" s="104" t="s">
        <v>137</v>
      </c>
      <c r="G920" s="105"/>
      <c r="J920" s="106"/>
      <c r="K920" s="106"/>
      <c r="L920" s="106"/>
      <c r="M920" s="106"/>
    </row>
    <row r="921" spans="1:13" ht="15.75" x14ac:dyDescent="0.25">
      <c r="C921" s="100"/>
      <c r="D921" s="101" t="s">
        <v>138</v>
      </c>
      <c r="E921" s="103">
        <f>L45</f>
        <v>2000</v>
      </c>
      <c r="F921" s="107" t="s">
        <v>139</v>
      </c>
      <c r="G921" s="108"/>
      <c r="H921" s="109"/>
      <c r="I921" s="109"/>
      <c r="J921" s="109"/>
    </row>
    <row r="922" spans="1:13" x14ac:dyDescent="0.25">
      <c r="C922" s="100"/>
      <c r="D922" s="101" t="s">
        <v>140</v>
      </c>
      <c r="E922" s="110">
        <f>I45</f>
        <v>1.056</v>
      </c>
    </row>
    <row r="923" spans="1:13" x14ac:dyDescent="0.25">
      <c r="C923" s="100"/>
      <c r="D923" s="101" t="s">
        <v>141</v>
      </c>
      <c r="E923" s="110">
        <f>J45</f>
        <v>1.056</v>
      </c>
    </row>
    <row r="924" spans="1:13" x14ac:dyDescent="0.25">
      <c r="C924" s="100"/>
      <c r="D924" s="105"/>
    </row>
    <row r="925" spans="1:13" x14ac:dyDescent="0.25">
      <c r="C925" s="100"/>
      <c r="D925" s="105"/>
      <c r="E925" s="111"/>
      <c r="F925" s="304" t="s">
        <v>142</v>
      </c>
      <c r="G925" s="305"/>
      <c r="H925" s="306"/>
      <c r="I925" s="304" t="s">
        <v>143</v>
      </c>
      <c r="J925" s="305"/>
      <c r="K925" s="306"/>
      <c r="L925" s="304" t="s">
        <v>144</v>
      </c>
      <c r="M925" s="306"/>
    </row>
    <row r="926" spans="1:13" x14ac:dyDescent="0.25">
      <c r="C926" s="100"/>
      <c r="D926" s="105"/>
      <c r="E926" s="295"/>
      <c r="F926" s="112" t="s">
        <v>145</v>
      </c>
      <c r="G926" s="112" t="s">
        <v>146</v>
      </c>
      <c r="H926" s="113" t="s">
        <v>147</v>
      </c>
      <c r="I926" s="112" t="s">
        <v>145</v>
      </c>
      <c r="J926" s="114" t="s">
        <v>146</v>
      </c>
      <c r="K926" s="113" t="s">
        <v>147</v>
      </c>
      <c r="L926" s="297" t="s">
        <v>148</v>
      </c>
      <c r="M926" s="299" t="s">
        <v>149</v>
      </c>
    </row>
    <row r="927" spans="1:13" x14ac:dyDescent="0.25">
      <c r="C927" s="100"/>
      <c r="D927" s="105"/>
      <c r="E927" s="296"/>
      <c r="F927" s="115" t="s">
        <v>150</v>
      </c>
      <c r="G927" s="115"/>
      <c r="H927" s="116" t="s">
        <v>150</v>
      </c>
      <c r="I927" s="115" t="s">
        <v>150</v>
      </c>
      <c r="J927" s="116"/>
      <c r="K927" s="116" t="s">
        <v>150</v>
      </c>
      <c r="L927" s="298"/>
      <c r="M927" s="300"/>
    </row>
    <row r="928" spans="1:13" x14ac:dyDescent="0.25">
      <c r="A928" s="100" t="str">
        <f>$E918</f>
        <v>GENERAL SERVICE 1,000 TO 4,999 KW SERVICE CLASSIFICATION</v>
      </c>
      <c r="C928" s="117"/>
      <c r="D928" s="118" t="s">
        <v>151</v>
      </c>
      <c r="E928" s="119"/>
      <c r="F928" s="120">
        <v>185.55</v>
      </c>
      <c r="G928" s="121">
        <v>1</v>
      </c>
      <c r="H928" s="122">
        <f>G928*F928</f>
        <v>185.55</v>
      </c>
      <c r="I928" s="123">
        <v>187.78</v>
      </c>
      <c r="J928" s="124">
        <f>G928</f>
        <v>1</v>
      </c>
      <c r="K928" s="122">
        <f>J928*I928</f>
        <v>187.78</v>
      </c>
      <c r="L928" s="125">
        <f t="shared" ref="L928:L949" si="132">K928-H928</f>
        <v>2.2299999999999898</v>
      </c>
      <c r="M928" s="126">
        <f>IF(ISERROR(L928/H928), "", L928/H928)</f>
        <v>1.2018323901913175E-2</v>
      </c>
    </row>
    <row r="929" spans="1:13" x14ac:dyDescent="0.25">
      <c r="A929" s="100" t="str">
        <f>A928</f>
        <v>GENERAL SERVICE 1,000 TO 4,999 KW SERVICE CLASSIFICATION</v>
      </c>
      <c r="C929" s="117"/>
      <c r="D929" s="118" t="s">
        <v>152</v>
      </c>
      <c r="E929" s="119"/>
      <c r="F929" s="127">
        <v>3.4704999999999999</v>
      </c>
      <c r="G929" s="121">
        <f>IF($E921&gt;0, $E921, $E920)</f>
        <v>2000</v>
      </c>
      <c r="H929" s="122">
        <f t="shared" ref="H929:H941" si="133">G929*F929</f>
        <v>6941</v>
      </c>
      <c r="I929" s="128">
        <v>3.5121000000000002</v>
      </c>
      <c r="J929" s="124">
        <f>IF($E921&gt;0, $E921, $E920)</f>
        <v>2000</v>
      </c>
      <c r="K929" s="122">
        <f>J929*I929</f>
        <v>7024.2000000000007</v>
      </c>
      <c r="L929" s="125">
        <f t="shared" si="132"/>
        <v>83.200000000000728</v>
      </c>
      <c r="M929" s="126">
        <f t="shared" ref="M929:M939" si="134">IF(ISERROR(L929/H929), "", L929/H929)</f>
        <v>1.1986745425731268E-2</v>
      </c>
    </row>
    <row r="930" spans="1:13" x14ac:dyDescent="0.25">
      <c r="A930" s="100" t="str">
        <f t="shared" ref="A930:A971" si="135">A929</f>
        <v>GENERAL SERVICE 1,000 TO 4,999 KW SERVICE CLASSIFICATION</v>
      </c>
      <c r="C930" s="117"/>
      <c r="D930" s="118" t="s">
        <v>153</v>
      </c>
      <c r="E930" s="119"/>
      <c r="F930" s="127"/>
      <c r="G930" s="121">
        <f>IF($E921&gt;0, $E921, $E920)</f>
        <v>2000</v>
      </c>
      <c r="H930" s="122">
        <v>0</v>
      </c>
      <c r="I930" s="128"/>
      <c r="J930" s="124">
        <f>IF($E921&gt;0, $E921, $E920)</f>
        <v>2000</v>
      </c>
      <c r="K930" s="122">
        <v>0</v>
      </c>
      <c r="L930" s="125"/>
      <c r="M930" s="126"/>
    </row>
    <row r="931" spans="1:13" x14ac:dyDescent="0.25">
      <c r="A931" s="100" t="str">
        <f t="shared" si="135"/>
        <v>GENERAL SERVICE 1,000 TO 4,999 KW SERVICE CLASSIFICATION</v>
      </c>
      <c r="C931" s="117"/>
      <c r="D931" s="118" t="s">
        <v>154</v>
      </c>
      <c r="E931" s="119"/>
      <c r="F931" s="127"/>
      <c r="G931" s="121">
        <f>IF($E921&gt;0, $E921, $E920)</f>
        <v>2000</v>
      </c>
      <c r="H931" s="122">
        <v>0</v>
      </c>
      <c r="I931" s="128"/>
      <c r="J931" s="121">
        <f>IF($E921&gt;0, $E921, $E920)</f>
        <v>2000</v>
      </c>
      <c r="K931" s="122">
        <v>0</v>
      </c>
      <c r="L931" s="125">
        <f>K931-H931</f>
        <v>0</v>
      </c>
      <c r="M931" s="126" t="str">
        <f>IF(ISERROR(L931/H931), "", L931/H931)</f>
        <v/>
      </c>
    </row>
    <row r="932" spans="1:13" x14ac:dyDescent="0.25">
      <c r="A932" s="100" t="str">
        <f t="shared" si="135"/>
        <v>GENERAL SERVICE 1,000 TO 4,999 KW SERVICE CLASSIFICATION</v>
      </c>
      <c r="C932" s="117"/>
      <c r="D932" s="129" t="s">
        <v>155</v>
      </c>
      <c r="E932" s="119"/>
      <c r="F932" s="120">
        <v>0</v>
      </c>
      <c r="G932" s="121">
        <v>1</v>
      </c>
      <c r="H932" s="122">
        <f t="shared" si="133"/>
        <v>0</v>
      </c>
      <c r="I932" s="226">
        <f>'Rate Riders'!O11</f>
        <v>32.87063870617456</v>
      </c>
      <c r="J932" s="124">
        <f>G932</f>
        <v>1</v>
      </c>
      <c r="K932" s="122">
        <f t="shared" ref="K932:K939" si="136">J932*I932</f>
        <v>32.87063870617456</v>
      </c>
      <c r="L932" s="125">
        <f t="shared" si="132"/>
        <v>32.87063870617456</v>
      </c>
      <c r="M932" s="126" t="str">
        <f t="shared" si="134"/>
        <v/>
      </c>
    </row>
    <row r="933" spans="1:13" x14ac:dyDescent="0.25">
      <c r="A933" s="100" t="str">
        <f t="shared" si="135"/>
        <v>GENERAL SERVICE 1,000 TO 4,999 KW SERVICE CLASSIFICATION</v>
      </c>
      <c r="C933" s="117"/>
      <c r="D933" s="118" t="s">
        <v>156</v>
      </c>
      <c r="E933" s="119"/>
      <c r="F933" s="127">
        <v>0</v>
      </c>
      <c r="G933" s="121">
        <f>IF($E921&gt;0, $E921, $E920)</f>
        <v>2000</v>
      </c>
      <c r="H933" s="122">
        <f t="shared" si="133"/>
        <v>0</v>
      </c>
      <c r="I933" s="227">
        <f>'Rate Riders'!Q11</f>
        <v>0.61480760781341304</v>
      </c>
      <c r="J933" s="124">
        <f>IF($E921&gt;0, $E921, $E920)</f>
        <v>2000</v>
      </c>
      <c r="K933" s="122">
        <f t="shared" si="136"/>
        <v>1229.6152156268261</v>
      </c>
      <c r="L933" s="125">
        <f t="shared" si="132"/>
        <v>1229.6152156268261</v>
      </c>
      <c r="M933" s="126" t="str">
        <f t="shared" si="134"/>
        <v/>
      </c>
    </row>
    <row r="934" spans="1:13" x14ac:dyDescent="0.25">
      <c r="A934" s="100" t="str">
        <f t="shared" si="135"/>
        <v>GENERAL SERVICE 1,000 TO 4,999 KW SERVICE CLASSIFICATION</v>
      </c>
      <c r="B934" s="130" t="s">
        <v>157</v>
      </c>
      <c r="C934" s="117">
        <f>B45</f>
        <v>16</v>
      </c>
      <c r="D934" s="131" t="s">
        <v>158</v>
      </c>
      <c r="E934" s="132"/>
      <c r="F934" s="133"/>
      <c r="G934" s="134"/>
      <c r="H934" s="135">
        <f>SUM(H928:H933)</f>
        <v>7126.55</v>
      </c>
      <c r="I934" s="136"/>
      <c r="J934" s="137"/>
      <c r="K934" s="135">
        <f>SUM(K928:K933)</f>
        <v>8474.4658543330006</v>
      </c>
      <c r="L934" s="138">
        <f t="shared" si="132"/>
        <v>1347.9158543330004</v>
      </c>
      <c r="M934" s="139">
        <f>IF((H934)=0,"",(L934/H934))</f>
        <v>0.18914002628663243</v>
      </c>
    </row>
    <row r="935" spans="1:13" x14ac:dyDescent="0.25">
      <c r="A935" s="100" t="str">
        <f t="shared" si="135"/>
        <v>GENERAL SERVICE 1,000 TO 4,999 KW SERVICE CLASSIFICATION</v>
      </c>
      <c r="C935" s="117"/>
      <c r="D935" s="140" t="s">
        <v>159</v>
      </c>
      <c r="E935" s="119"/>
      <c r="F935" s="127">
        <f>IF((E920*12&gt;=150000), 0, IF(E919="RPP",(F951*0.65+F952*0.17+F953*0.18),IF(E919="Non-RPP (Retailer)",F954,F955)))</f>
        <v>0</v>
      </c>
      <c r="G935" s="141">
        <f>IF(F935=0, 0, $E920*E922-E920)</f>
        <v>0</v>
      </c>
      <c r="H935" s="122">
        <f>G935*F935</f>
        <v>0</v>
      </c>
      <c r="I935" s="128">
        <f>IF((E920*12&gt;=150000), 0, IF(E919="RPP",(I951*0.65+I952*0.17+I953*0.18),IF(E919="Non-RPP (Retailer)",I954,I955)))</f>
        <v>0</v>
      </c>
      <c r="J935" s="141">
        <f>IF(I935=0, 0, E920*E923-E920)</f>
        <v>0</v>
      </c>
      <c r="K935" s="122">
        <f>J935*I935</f>
        <v>0</v>
      </c>
      <c r="L935" s="125">
        <f>K935-H935</f>
        <v>0</v>
      </c>
      <c r="M935" s="126" t="str">
        <f>IF(ISERROR(L935/H935), "", L935/H935)</f>
        <v/>
      </c>
    </row>
    <row r="936" spans="1:13" ht="25.5" x14ac:dyDescent="0.25">
      <c r="A936" s="100" t="str">
        <f t="shared" si="135"/>
        <v>GENERAL SERVICE 1,000 TO 4,999 KW SERVICE CLASSIFICATION</v>
      </c>
      <c r="C936" s="117"/>
      <c r="D936" s="140" t="s">
        <v>160</v>
      </c>
      <c r="E936" s="119"/>
      <c r="F936" s="127">
        <v>-0.93979999999999997</v>
      </c>
      <c r="G936" s="142">
        <f>IF($E921&gt;0, $E921, $E920)</f>
        <v>2000</v>
      </c>
      <c r="H936" s="122">
        <f t="shared" si="133"/>
        <v>-1879.6</v>
      </c>
      <c r="I936" s="128">
        <v>-1.9907999999999999</v>
      </c>
      <c r="J936" s="142">
        <f>IF($E921&gt;0, $E921, $E920)</f>
        <v>2000</v>
      </c>
      <c r="K936" s="122">
        <f t="shared" si="136"/>
        <v>-3981.6</v>
      </c>
      <c r="L936" s="125">
        <f t="shared" si="132"/>
        <v>-2102</v>
      </c>
      <c r="M936" s="126">
        <f t="shared" si="134"/>
        <v>1.1183230474569057</v>
      </c>
    </row>
    <row r="937" spans="1:13" x14ac:dyDescent="0.25">
      <c r="A937" s="100" t="str">
        <f t="shared" si="135"/>
        <v>GENERAL SERVICE 1,000 TO 4,999 KW SERVICE CLASSIFICATION</v>
      </c>
      <c r="C937" s="117"/>
      <c r="D937" s="140" t="s">
        <v>161</v>
      </c>
      <c r="E937" s="119"/>
      <c r="F937" s="127">
        <v>-3.4099999999999998E-2</v>
      </c>
      <c r="G937" s="142">
        <f>IF($E921&gt;0, $E921, $E920)</f>
        <v>2000</v>
      </c>
      <c r="H937" s="122">
        <f>G937*F937</f>
        <v>-68.2</v>
      </c>
      <c r="I937" s="128">
        <v>0</v>
      </c>
      <c r="J937" s="142">
        <f>IF($E921&gt;0, $E921, $E920)</f>
        <v>2000</v>
      </c>
      <c r="K937" s="122">
        <f>J937*I937</f>
        <v>0</v>
      </c>
      <c r="L937" s="125">
        <f t="shared" si="132"/>
        <v>68.2</v>
      </c>
      <c r="M937" s="126">
        <f t="shared" si="134"/>
        <v>-1</v>
      </c>
    </row>
    <row r="938" spans="1:13" x14ac:dyDescent="0.25">
      <c r="A938" s="100" t="str">
        <f t="shared" si="135"/>
        <v>GENERAL SERVICE 1,000 TO 4,999 KW SERVICE CLASSIFICATION</v>
      </c>
      <c r="C938" s="117"/>
      <c r="D938" s="140" t="s">
        <v>162</v>
      </c>
      <c r="E938" s="119"/>
      <c r="F938" s="127">
        <v>-1E-3</v>
      </c>
      <c r="G938" s="142">
        <f>E920</f>
        <v>1000000</v>
      </c>
      <c r="H938" s="122">
        <f>G938*F938</f>
        <v>-1000</v>
      </c>
      <c r="I938" s="128">
        <v>1.37E-2</v>
      </c>
      <c r="J938" s="142">
        <f>E920</f>
        <v>1000000</v>
      </c>
      <c r="K938" s="122">
        <f t="shared" si="136"/>
        <v>13700</v>
      </c>
      <c r="L938" s="125">
        <f t="shared" si="132"/>
        <v>14700</v>
      </c>
      <c r="M938" s="126">
        <f t="shared" si="134"/>
        <v>-14.7</v>
      </c>
    </row>
    <row r="939" spans="1:13" x14ac:dyDescent="0.25">
      <c r="A939" s="100" t="str">
        <f t="shared" si="135"/>
        <v>GENERAL SERVICE 1,000 TO 4,999 KW SERVICE CLASSIFICATION</v>
      </c>
      <c r="C939" s="117"/>
      <c r="D939" s="143" t="s">
        <v>163</v>
      </c>
      <c r="E939" s="119"/>
      <c r="F939" s="127">
        <v>1.0483</v>
      </c>
      <c r="G939" s="142">
        <f>IF($E921&gt;0, $E921, $E920)</f>
        <v>2000</v>
      </c>
      <c r="H939" s="122">
        <f t="shared" si="133"/>
        <v>2096.6</v>
      </c>
      <c r="I939" s="128">
        <v>1.0483</v>
      </c>
      <c r="J939" s="142">
        <f>IF($E921&gt;0, $E921, $E920)</f>
        <v>2000</v>
      </c>
      <c r="K939" s="122">
        <f t="shared" si="136"/>
        <v>2096.6</v>
      </c>
      <c r="L939" s="125">
        <f t="shared" si="132"/>
        <v>0</v>
      </c>
      <c r="M939" s="126">
        <f t="shared" si="134"/>
        <v>0</v>
      </c>
    </row>
    <row r="940" spans="1:13" ht="25.5" x14ac:dyDescent="0.25">
      <c r="A940" s="100" t="str">
        <f t="shared" si="135"/>
        <v>GENERAL SERVICE 1,000 TO 4,999 KW SERVICE CLASSIFICATION</v>
      </c>
      <c r="C940" s="117"/>
      <c r="D940" s="144" t="s">
        <v>164</v>
      </c>
      <c r="E940" s="119"/>
      <c r="F940" s="145">
        <f>IF(OR(ISNUMBER(SEARCH("RESIDENTIAL", E918))=TRUE, ISNUMBER(SEARCH("GENERAL SERVICE LESS THAN 50", E918))=TRUE), SME, 0)</f>
        <v>0</v>
      </c>
      <c r="G940" s="121">
        <v>1</v>
      </c>
      <c r="H940" s="122">
        <f>G940*F940</f>
        <v>0</v>
      </c>
      <c r="I940" s="146">
        <f>IF(OR(ISNUMBER(SEARCH("RESIDENTIAL", E918))=TRUE, ISNUMBER(SEARCH("GENERAL SERVICE LESS THAN 50", E918))=TRUE), SME, 0)</f>
        <v>0</v>
      </c>
      <c r="J940" s="121">
        <v>1</v>
      </c>
      <c r="K940" s="122">
        <f>J940*I940</f>
        <v>0</v>
      </c>
      <c r="L940" s="125">
        <f t="shared" si="132"/>
        <v>0</v>
      </c>
      <c r="M940" s="126" t="str">
        <f>IF(ISERROR(L940/H940), "", L940/H940)</f>
        <v/>
      </c>
    </row>
    <row r="941" spans="1:13" x14ac:dyDescent="0.25">
      <c r="A941" s="100" t="str">
        <f t="shared" si="135"/>
        <v>GENERAL SERVICE 1,000 TO 4,999 KW SERVICE CLASSIFICATION</v>
      </c>
      <c r="C941" s="117"/>
      <c r="D941" s="143" t="s">
        <v>165</v>
      </c>
      <c r="E941" s="119"/>
      <c r="F941" s="120">
        <v>0</v>
      </c>
      <c r="G941" s="121">
        <v>1</v>
      </c>
      <c r="H941" s="122">
        <f t="shared" si="133"/>
        <v>0</v>
      </c>
      <c r="I941" s="123">
        <v>0</v>
      </c>
      <c r="J941" s="121">
        <v>1</v>
      </c>
      <c r="K941" s="122">
        <f>J941*I941</f>
        <v>0</v>
      </c>
      <c r="L941" s="125">
        <f>K941-H941</f>
        <v>0</v>
      </c>
      <c r="M941" s="126" t="str">
        <f>IF(ISERROR(L941/H941), "", L941/H941)</f>
        <v/>
      </c>
    </row>
    <row r="942" spans="1:13" x14ac:dyDescent="0.25">
      <c r="A942" s="100" t="str">
        <f t="shared" si="135"/>
        <v>GENERAL SERVICE 1,000 TO 4,999 KW SERVICE CLASSIFICATION</v>
      </c>
      <c r="C942" s="117"/>
      <c r="D942" s="143" t="s">
        <v>166</v>
      </c>
      <c r="E942" s="119"/>
      <c r="F942" s="127"/>
      <c r="G942" s="142">
        <f>IF($E921&gt;0, $E921, $E920)</f>
        <v>2000</v>
      </c>
      <c r="H942" s="122">
        <f>G942*F942</f>
        <v>0</v>
      </c>
      <c r="I942" s="128">
        <v>0</v>
      </c>
      <c r="J942" s="142">
        <f>IF($E921&gt;0, $E921, $E920)</f>
        <v>2000</v>
      </c>
      <c r="K942" s="122">
        <f>J942*I942</f>
        <v>0</v>
      </c>
      <c r="L942" s="125">
        <f t="shared" si="132"/>
        <v>0</v>
      </c>
      <c r="M942" s="126" t="str">
        <f>IF(ISERROR(L942/H942), "", L942/H942)</f>
        <v/>
      </c>
    </row>
    <row r="943" spans="1:13" ht="25.5" x14ac:dyDescent="0.25">
      <c r="A943" s="100" t="str">
        <f t="shared" si="135"/>
        <v>GENERAL SERVICE 1,000 TO 4,999 KW SERVICE CLASSIFICATION</v>
      </c>
      <c r="B943" s="105" t="s">
        <v>167</v>
      </c>
      <c r="C943" s="117">
        <f>B45</f>
        <v>16</v>
      </c>
      <c r="D943" s="147" t="s">
        <v>168</v>
      </c>
      <c r="E943" s="148"/>
      <c r="F943" s="149"/>
      <c r="G943" s="150"/>
      <c r="H943" s="151">
        <f>SUM(H934:H942)</f>
        <v>6275.35</v>
      </c>
      <c r="I943" s="152"/>
      <c r="J943" s="153"/>
      <c r="K943" s="151">
        <f>SUM(K934:K942)</f>
        <v>20289.465854333001</v>
      </c>
      <c r="L943" s="138">
        <f t="shared" si="132"/>
        <v>14014.115854333</v>
      </c>
      <c r="M943" s="139">
        <f>IF((H943)=0,"",(L943/H943))</f>
        <v>2.2332006747564677</v>
      </c>
    </row>
    <row r="944" spans="1:13" x14ac:dyDescent="0.25">
      <c r="A944" s="100" t="str">
        <f t="shared" si="135"/>
        <v>GENERAL SERVICE 1,000 TO 4,999 KW SERVICE CLASSIFICATION</v>
      </c>
      <c r="C944" s="117"/>
      <c r="D944" s="154" t="s">
        <v>169</v>
      </c>
      <c r="E944" s="119"/>
      <c r="F944" s="127">
        <v>2.6217000000000001</v>
      </c>
      <c r="G944" s="141">
        <f>IF($E921&gt;0, $E921, $E920*$E922)</f>
        <v>2000</v>
      </c>
      <c r="H944" s="122">
        <f>G944*F944</f>
        <v>5243.4000000000005</v>
      </c>
      <c r="I944" s="128">
        <v>2.4868999999999999</v>
      </c>
      <c r="J944" s="141">
        <f>IF($E921&gt;0, $E921, $E920*$E923)</f>
        <v>2000</v>
      </c>
      <c r="K944" s="122">
        <f>J944*I944</f>
        <v>4973.8</v>
      </c>
      <c r="L944" s="125">
        <f t="shared" si="132"/>
        <v>-269.60000000000036</v>
      </c>
      <c r="M944" s="126">
        <f>IF(ISERROR(L944/H944), "", L944/H944)</f>
        <v>-5.1417019491169919E-2</v>
      </c>
    </row>
    <row r="945" spans="1:13" ht="25.5" x14ac:dyDescent="0.25">
      <c r="A945" s="100" t="str">
        <f t="shared" si="135"/>
        <v>GENERAL SERVICE 1,000 TO 4,999 KW SERVICE CLASSIFICATION</v>
      </c>
      <c r="C945" s="117"/>
      <c r="D945" s="155" t="s">
        <v>170</v>
      </c>
      <c r="E945" s="119"/>
      <c r="F945" s="127">
        <v>2.2145999999999999</v>
      </c>
      <c r="G945" s="141">
        <f>IF($E921&gt;0, $E921, $E920*$E922)</f>
        <v>2000</v>
      </c>
      <c r="H945" s="122">
        <f>G945*F945</f>
        <v>4429.2</v>
      </c>
      <c r="I945" s="128">
        <v>2.0933000000000002</v>
      </c>
      <c r="J945" s="141">
        <f>IF($E921&gt;0, $E921, $E920*$E923)</f>
        <v>2000</v>
      </c>
      <c r="K945" s="122">
        <f>J945*I945</f>
        <v>4186.6000000000004</v>
      </c>
      <c r="L945" s="125">
        <f t="shared" si="132"/>
        <v>-242.59999999999945</v>
      </c>
      <c r="M945" s="126">
        <f>IF(ISERROR(L945/H945), "", L945/H945)</f>
        <v>-5.4772870947349291E-2</v>
      </c>
    </row>
    <row r="946" spans="1:13" ht="25.5" x14ac:dyDescent="0.25">
      <c r="A946" s="100" t="str">
        <f t="shared" si="135"/>
        <v>GENERAL SERVICE 1,000 TO 4,999 KW SERVICE CLASSIFICATION</v>
      </c>
      <c r="B946" s="105" t="s">
        <v>171</v>
      </c>
      <c r="C946" s="117">
        <f>B45</f>
        <v>16</v>
      </c>
      <c r="D946" s="147" t="s">
        <v>172</v>
      </c>
      <c r="E946" s="132"/>
      <c r="F946" s="149"/>
      <c r="G946" s="150"/>
      <c r="H946" s="151">
        <f>SUM(H943:H945)</f>
        <v>15947.95</v>
      </c>
      <c r="I946" s="152"/>
      <c r="J946" s="137"/>
      <c r="K946" s="151">
        <f>SUM(K943:K945)</f>
        <v>29449.865854333002</v>
      </c>
      <c r="L946" s="138">
        <f t="shared" si="132"/>
        <v>13501.915854333001</v>
      </c>
      <c r="M946" s="139">
        <f>IF((H946)=0,"",(L946/H946))</f>
        <v>0.84662391431707529</v>
      </c>
    </row>
    <row r="947" spans="1:13" ht="25.5" x14ac:dyDescent="0.25">
      <c r="A947" s="100" t="str">
        <f t="shared" si="135"/>
        <v>GENERAL SERVICE 1,000 TO 4,999 KW SERVICE CLASSIFICATION</v>
      </c>
      <c r="C947" s="117"/>
      <c r="D947" s="156" t="s">
        <v>173</v>
      </c>
      <c r="E947" s="119"/>
      <c r="F947" s="127">
        <v>3.6000000000000003E-3</v>
      </c>
      <c r="G947" s="141">
        <f>E920*E922</f>
        <v>1056000</v>
      </c>
      <c r="H947" s="157">
        <f t="shared" ref="H947:H953" si="137">G947*F947</f>
        <v>3801.6000000000004</v>
      </c>
      <c r="I947" s="128">
        <v>3.6000000000000003E-3</v>
      </c>
      <c r="J947" s="141">
        <f>E920*E923</f>
        <v>1056000</v>
      </c>
      <c r="K947" s="157">
        <f t="shared" ref="K947:K953" si="138">J947*I947</f>
        <v>3801.6000000000004</v>
      </c>
      <c r="L947" s="125">
        <f t="shared" si="132"/>
        <v>0</v>
      </c>
      <c r="M947" s="126">
        <f t="shared" ref="M947:M955" si="139">IF(ISERROR(L947/H947), "", L947/H947)</f>
        <v>0</v>
      </c>
    </row>
    <row r="948" spans="1:13" ht="25.5" x14ac:dyDescent="0.25">
      <c r="A948" s="100" t="str">
        <f t="shared" si="135"/>
        <v>GENERAL SERVICE 1,000 TO 4,999 KW SERVICE CLASSIFICATION</v>
      </c>
      <c r="C948" s="117"/>
      <c r="D948" s="156" t="s">
        <v>174</v>
      </c>
      <c r="E948" s="119"/>
      <c r="F948" s="127">
        <f>'[1]17. Regulatory Charges'!$D$16</f>
        <v>2.9999999999999997E-4</v>
      </c>
      <c r="G948" s="141">
        <f>E920*E922</f>
        <v>1056000</v>
      </c>
      <c r="H948" s="157">
        <f t="shared" si="137"/>
        <v>316.79999999999995</v>
      </c>
      <c r="I948" s="128">
        <v>2.9999999999999997E-4</v>
      </c>
      <c r="J948" s="141">
        <f>E920*E923</f>
        <v>1056000</v>
      </c>
      <c r="K948" s="157">
        <f t="shared" si="138"/>
        <v>316.79999999999995</v>
      </c>
      <c r="L948" s="125">
        <f t="shared" si="132"/>
        <v>0</v>
      </c>
      <c r="M948" s="126">
        <f t="shared" si="139"/>
        <v>0</v>
      </c>
    </row>
    <row r="949" spans="1:13" x14ac:dyDescent="0.25">
      <c r="A949" s="100" t="str">
        <f t="shared" si="135"/>
        <v>GENERAL SERVICE 1,000 TO 4,999 KW SERVICE CLASSIFICATION</v>
      </c>
      <c r="C949" s="117"/>
      <c r="D949" s="158" t="s">
        <v>175</v>
      </c>
      <c r="E949" s="119"/>
      <c r="F949" s="145">
        <v>0.25</v>
      </c>
      <c r="G949" s="121">
        <v>1</v>
      </c>
      <c r="H949" s="157">
        <f t="shared" si="137"/>
        <v>0.25</v>
      </c>
      <c r="I949" s="146">
        <f>'[1]17. Regulatory Charges'!$D$17</f>
        <v>0.25</v>
      </c>
      <c r="J949" s="124">
        <v>1</v>
      </c>
      <c r="K949" s="157">
        <f t="shared" si="138"/>
        <v>0.25</v>
      </c>
      <c r="L949" s="125">
        <f t="shared" si="132"/>
        <v>0</v>
      </c>
      <c r="M949" s="126">
        <f t="shared" si="139"/>
        <v>0</v>
      </c>
    </row>
    <row r="950" spans="1:13" ht="25.5" x14ac:dyDescent="0.25">
      <c r="A950" s="100" t="str">
        <f t="shared" si="135"/>
        <v>GENERAL SERVICE 1,000 TO 4,999 KW SERVICE CLASSIFICATION</v>
      </c>
      <c r="C950" s="117"/>
      <c r="D950" s="156" t="s">
        <v>176</v>
      </c>
      <c r="E950" s="119"/>
      <c r="F950" s="127"/>
      <c r="G950" s="141"/>
      <c r="H950" s="157"/>
      <c r="I950" s="128"/>
      <c r="J950" s="141"/>
      <c r="K950" s="157"/>
      <c r="L950" s="125"/>
      <c r="M950" s="126"/>
    </row>
    <row r="951" spans="1:13" hidden="1" x14ac:dyDescent="0.25">
      <c r="A951" s="100" t="str">
        <f t="shared" si="135"/>
        <v>GENERAL SERVICE 1,000 TO 4,999 KW SERVICE CLASSIFICATION</v>
      </c>
      <c r="B951" s="105" t="s">
        <v>117</v>
      </c>
      <c r="C951" s="117"/>
      <c r="D951" s="159" t="s">
        <v>177</v>
      </c>
      <c r="E951" s="119"/>
      <c r="F951" s="160">
        <f>OffPeak</f>
        <v>6.5000000000000002E-2</v>
      </c>
      <c r="G951" s="161">
        <f>IF(AND(E920*12&gt;=150000),0.65*E920*E922,0.65*E920)</f>
        <v>686400</v>
      </c>
      <c r="H951" s="157">
        <f t="shared" si="137"/>
        <v>44616</v>
      </c>
      <c r="I951" s="162">
        <f>OffPeak</f>
        <v>6.5000000000000002E-2</v>
      </c>
      <c r="J951" s="161">
        <f>IF(AND(E920*12&gt;=150000),0.65*E920*E923,0.65*E920)</f>
        <v>686400</v>
      </c>
      <c r="K951" s="157">
        <f t="shared" si="138"/>
        <v>44616</v>
      </c>
      <c r="L951" s="125">
        <f>K951-H951</f>
        <v>0</v>
      </c>
      <c r="M951" s="126">
        <f t="shared" si="139"/>
        <v>0</v>
      </c>
    </row>
    <row r="952" spans="1:13" hidden="1" x14ac:dyDescent="0.25">
      <c r="A952" s="100" t="str">
        <f t="shared" si="135"/>
        <v>GENERAL SERVICE 1,000 TO 4,999 KW SERVICE CLASSIFICATION</v>
      </c>
      <c r="B952" s="105" t="s">
        <v>117</v>
      </c>
      <c r="C952" s="117"/>
      <c r="D952" s="159" t="s">
        <v>178</v>
      </c>
      <c r="E952" s="119"/>
      <c r="F952" s="160">
        <f>MidPeak</f>
        <v>9.4E-2</v>
      </c>
      <c r="G952" s="161">
        <f>IF(AND(E920*12&gt;=150000),0.17*E920*E922,0.17*E920)</f>
        <v>179520</v>
      </c>
      <c r="H952" s="157">
        <f t="shared" si="137"/>
        <v>16874.88</v>
      </c>
      <c r="I952" s="162">
        <f>MidPeak</f>
        <v>9.4E-2</v>
      </c>
      <c r="J952" s="161">
        <f>IF(AND(E920*12&gt;=150000),0.17*E920*E923,0.17*E920)</f>
        <v>179520</v>
      </c>
      <c r="K952" s="157">
        <f t="shared" si="138"/>
        <v>16874.88</v>
      </c>
      <c r="L952" s="125">
        <f>K952-H952</f>
        <v>0</v>
      </c>
      <c r="M952" s="126">
        <f t="shared" si="139"/>
        <v>0</v>
      </c>
    </row>
    <row r="953" spans="1:13" hidden="1" x14ac:dyDescent="0.25">
      <c r="A953" s="100" t="str">
        <f t="shared" si="135"/>
        <v>GENERAL SERVICE 1,000 TO 4,999 KW SERVICE CLASSIFICATION</v>
      </c>
      <c r="B953" s="105" t="s">
        <v>117</v>
      </c>
      <c r="C953" s="117"/>
      <c r="D953" s="105" t="s">
        <v>179</v>
      </c>
      <c r="E953" s="119"/>
      <c r="F953" s="160">
        <f>OnPeak</f>
        <v>0.13200000000000001</v>
      </c>
      <c r="G953" s="161">
        <f>IF(AND(E920*12&gt;=150000),0.18*E920*E922,0.18*E920)</f>
        <v>190080</v>
      </c>
      <c r="H953" s="157">
        <f t="shared" si="137"/>
        <v>25090.560000000001</v>
      </c>
      <c r="I953" s="162">
        <f>OnPeak</f>
        <v>0.13200000000000001</v>
      </c>
      <c r="J953" s="161">
        <f>IF(AND(E920*12&gt;=150000),0.18*E920*E923,0.18*E920)</f>
        <v>190080</v>
      </c>
      <c r="K953" s="157">
        <f t="shared" si="138"/>
        <v>25090.560000000001</v>
      </c>
      <c r="L953" s="125">
        <f>K953-H953</f>
        <v>0</v>
      </c>
      <c r="M953" s="126">
        <f t="shared" si="139"/>
        <v>0</v>
      </c>
    </row>
    <row r="954" spans="1:13" hidden="1" x14ac:dyDescent="0.25">
      <c r="A954" s="100" t="str">
        <f t="shared" si="135"/>
        <v>GENERAL SERVICE 1,000 TO 4,999 KW SERVICE CLASSIFICATION</v>
      </c>
      <c r="B954" s="100" t="s">
        <v>180</v>
      </c>
      <c r="C954" s="117"/>
      <c r="D954" s="159" t="s">
        <v>181</v>
      </c>
      <c r="E954" s="119"/>
      <c r="F954" s="163">
        <v>0.1101</v>
      </c>
      <c r="G954" s="161">
        <f>IF(AND(E920*12&gt;=150000),E920*E922,E920)</f>
        <v>1056000</v>
      </c>
      <c r="H954" s="157">
        <f>G954*F954</f>
        <v>116265.60000000001</v>
      </c>
      <c r="I954" s="164">
        <f>F954</f>
        <v>0.1101</v>
      </c>
      <c r="J954" s="161">
        <f>IF(AND(E920*12&gt;=150000),E920*E923,E920)</f>
        <v>1056000</v>
      </c>
      <c r="K954" s="157">
        <f>J954*I954</f>
        <v>116265.60000000001</v>
      </c>
      <c r="L954" s="125">
        <f>K954-H954</f>
        <v>0</v>
      </c>
      <c r="M954" s="126">
        <f t="shared" si="139"/>
        <v>0</v>
      </c>
    </row>
    <row r="955" spans="1:13" ht="15.75" thickBot="1" x14ac:dyDescent="0.3">
      <c r="A955" s="100" t="str">
        <f t="shared" si="135"/>
        <v>GENERAL SERVICE 1,000 TO 4,999 KW SERVICE CLASSIFICATION</v>
      </c>
      <c r="B955" s="100" t="s">
        <v>121</v>
      </c>
      <c r="C955" s="117"/>
      <c r="D955" s="159" t="s">
        <v>182</v>
      </c>
      <c r="E955" s="119"/>
      <c r="F955" s="163">
        <v>0.1101</v>
      </c>
      <c r="G955" s="161">
        <f>IF(AND(E920*12&gt;=150000),E920*E922,E920)</f>
        <v>1056000</v>
      </c>
      <c r="H955" s="157">
        <f>G955*F955</f>
        <v>116265.60000000001</v>
      </c>
      <c r="I955" s="164">
        <f>F955</f>
        <v>0.1101</v>
      </c>
      <c r="J955" s="161">
        <f>IF(AND(E920*12&gt;=150000),E920*E923,E920)</f>
        <v>1056000</v>
      </c>
      <c r="K955" s="157">
        <f>J955*I955</f>
        <v>116265.60000000001</v>
      </c>
      <c r="L955" s="125">
        <f>K955-H955</f>
        <v>0</v>
      </c>
      <c r="M955" s="126">
        <f t="shared" si="139"/>
        <v>0</v>
      </c>
    </row>
    <row r="956" spans="1:13" ht="15.75" thickBot="1" x14ac:dyDescent="0.3">
      <c r="A956" s="100" t="str">
        <f t="shared" si="135"/>
        <v>GENERAL SERVICE 1,000 TO 4,999 KW SERVICE CLASSIFICATION</v>
      </c>
      <c r="B956" s="105"/>
      <c r="C956" s="117"/>
      <c r="D956" s="165"/>
      <c r="E956" s="166"/>
      <c r="F956" s="167"/>
      <c r="G956" s="168"/>
      <c r="H956" s="169"/>
      <c r="I956" s="167"/>
      <c r="J956" s="170"/>
      <c r="K956" s="169"/>
      <c r="L956" s="171"/>
      <c r="M956" s="172"/>
    </row>
    <row r="957" spans="1:13" hidden="1" x14ac:dyDescent="0.25">
      <c r="A957" s="100" t="str">
        <f t="shared" si="135"/>
        <v>GENERAL SERVICE 1,000 TO 4,999 KW SERVICE CLASSIFICATION</v>
      </c>
      <c r="B957" s="105" t="s">
        <v>117</v>
      </c>
      <c r="C957" s="117"/>
      <c r="D957" s="173" t="s">
        <v>183</v>
      </c>
      <c r="E957" s="158"/>
      <c r="F957" s="174"/>
      <c r="G957" s="175"/>
      <c r="H957" s="176">
        <f>SUM(H947:H953,H946)</f>
        <v>106648.04</v>
      </c>
      <c r="I957" s="177"/>
      <c r="J957" s="177"/>
      <c r="K957" s="176">
        <f>SUM(K947:K953,K946)</f>
        <v>120149.95585433301</v>
      </c>
      <c r="L957" s="178">
        <f>K957-H957</f>
        <v>13501.915854333012</v>
      </c>
      <c r="M957" s="179">
        <f>IF((H957)=0,"",(L957/H957))</f>
        <v>0.12660256910800249</v>
      </c>
    </row>
    <row r="958" spans="1:13" hidden="1" x14ac:dyDescent="0.25">
      <c r="A958" s="100" t="str">
        <f t="shared" si="135"/>
        <v>GENERAL SERVICE 1,000 TO 4,999 KW SERVICE CLASSIFICATION</v>
      </c>
      <c r="B958" s="105" t="s">
        <v>117</v>
      </c>
      <c r="C958" s="117"/>
      <c r="D958" s="180" t="s">
        <v>184</v>
      </c>
      <c r="E958" s="158"/>
      <c r="F958" s="174">
        <v>0.13</v>
      </c>
      <c r="G958" s="181"/>
      <c r="H958" s="182">
        <f>H957*F958</f>
        <v>13864.245199999999</v>
      </c>
      <c r="I958" s="183">
        <v>0.13</v>
      </c>
      <c r="J958" s="121"/>
      <c r="K958" s="182">
        <f>K957*I958</f>
        <v>15619.494261063292</v>
      </c>
      <c r="L958" s="184">
        <f>K958-H958</f>
        <v>1755.2490610632922</v>
      </c>
      <c r="M958" s="185">
        <f>IF((H958)=0,"",(L958/H958))</f>
        <v>0.12660256910800252</v>
      </c>
    </row>
    <row r="959" spans="1:13" hidden="1" x14ac:dyDescent="0.25">
      <c r="A959" s="100" t="str">
        <f t="shared" si="135"/>
        <v>GENERAL SERVICE 1,000 TO 4,999 KW SERVICE CLASSIFICATION</v>
      </c>
      <c r="B959" s="105" t="s">
        <v>117</v>
      </c>
      <c r="C959" s="117"/>
      <c r="D959" s="180" t="s">
        <v>185</v>
      </c>
      <c r="E959" s="158"/>
      <c r="F959" s="174">
        <v>0.08</v>
      </c>
      <c r="G959" s="181"/>
      <c r="H959" s="182">
        <v>0</v>
      </c>
      <c r="I959" s="174">
        <v>0.08</v>
      </c>
      <c r="J959" s="121"/>
      <c r="K959" s="182">
        <v>0</v>
      </c>
      <c r="L959" s="184">
        <f>K959-H959</f>
        <v>0</v>
      </c>
      <c r="M959" s="185"/>
    </row>
    <row r="960" spans="1:13" ht="15.75" hidden="1" thickBot="1" x14ac:dyDescent="0.3">
      <c r="A960" s="100" t="str">
        <f t="shared" si="135"/>
        <v>GENERAL SERVICE 1,000 TO 4,999 KW SERVICE CLASSIFICATION</v>
      </c>
      <c r="B960" s="105" t="s">
        <v>186</v>
      </c>
      <c r="C960" s="117"/>
      <c r="D960" s="301" t="s">
        <v>187</v>
      </c>
      <c r="E960" s="301"/>
      <c r="F960" s="186"/>
      <c r="G960" s="187"/>
      <c r="H960" s="188">
        <f>H957+H958+H959</f>
        <v>120512.2852</v>
      </c>
      <c r="I960" s="189"/>
      <c r="J960" s="189"/>
      <c r="K960" s="190">
        <f>K957+K958+K959</f>
        <v>135769.45011539629</v>
      </c>
      <c r="L960" s="191">
        <f>K960-H960</f>
        <v>15257.164915396294</v>
      </c>
      <c r="M960" s="192">
        <f>IF((H960)=0,"",(L960/H960))</f>
        <v>0.12660256910800238</v>
      </c>
    </row>
    <row r="961" spans="1:13" ht="15.75" hidden="1" thickBot="1" x14ac:dyDescent="0.3">
      <c r="A961" s="100" t="str">
        <f t="shared" si="135"/>
        <v>GENERAL SERVICE 1,000 TO 4,999 KW SERVICE CLASSIFICATION</v>
      </c>
      <c r="B961" s="100" t="s">
        <v>117</v>
      </c>
      <c r="C961" s="117"/>
      <c r="D961" s="165"/>
      <c r="E961" s="166"/>
      <c r="F961" s="167"/>
      <c r="G961" s="168"/>
      <c r="H961" s="169"/>
      <c r="I961" s="167"/>
      <c r="J961" s="170"/>
      <c r="K961" s="169"/>
      <c r="L961" s="171"/>
      <c r="M961" s="172"/>
    </row>
    <row r="962" spans="1:13" hidden="1" x14ac:dyDescent="0.25">
      <c r="A962" s="100" t="str">
        <f t="shared" si="135"/>
        <v>GENERAL SERVICE 1,000 TO 4,999 KW SERVICE CLASSIFICATION</v>
      </c>
      <c r="B962" s="100" t="s">
        <v>180</v>
      </c>
      <c r="C962" s="117"/>
      <c r="D962" s="173" t="s">
        <v>188</v>
      </c>
      <c r="E962" s="158"/>
      <c r="F962" s="174"/>
      <c r="G962" s="175"/>
      <c r="H962" s="176">
        <f>SUM(H954,H947:H950,H946)</f>
        <v>136332.20000000001</v>
      </c>
      <c r="I962" s="177"/>
      <c r="J962" s="177"/>
      <c r="K962" s="176">
        <f>SUM(K954,K947:K950,K946)</f>
        <v>149834.11585433301</v>
      </c>
      <c r="L962" s="178">
        <f>K962-H962</f>
        <v>13501.915854332998</v>
      </c>
      <c r="M962" s="179">
        <f>IF((H962)=0,"",(L962/H962))</f>
        <v>9.9036880900718952E-2</v>
      </c>
    </row>
    <row r="963" spans="1:13" hidden="1" x14ac:dyDescent="0.25">
      <c r="A963" s="100" t="str">
        <f t="shared" si="135"/>
        <v>GENERAL SERVICE 1,000 TO 4,999 KW SERVICE CLASSIFICATION</v>
      </c>
      <c r="B963" s="100" t="s">
        <v>180</v>
      </c>
      <c r="C963" s="117"/>
      <c r="D963" s="180" t="s">
        <v>184</v>
      </c>
      <c r="E963" s="158"/>
      <c r="F963" s="174">
        <v>0.13</v>
      </c>
      <c r="G963" s="175"/>
      <c r="H963" s="182">
        <f>H962*F963</f>
        <v>17723.186000000002</v>
      </c>
      <c r="I963" s="174">
        <v>0.13</v>
      </c>
      <c r="J963" s="183"/>
      <c r="K963" s="182">
        <f>K962*I963</f>
        <v>19478.435061063294</v>
      </c>
      <c r="L963" s="184">
        <f>K963-H963</f>
        <v>1755.2490610632922</v>
      </c>
      <c r="M963" s="185">
        <f>IF((H963)=0,"",(L963/H963))</f>
        <v>9.903688090071909E-2</v>
      </c>
    </row>
    <row r="964" spans="1:13" hidden="1" x14ac:dyDescent="0.25">
      <c r="A964" s="100" t="str">
        <f t="shared" si="135"/>
        <v>GENERAL SERVICE 1,000 TO 4,999 KW SERVICE CLASSIFICATION</v>
      </c>
      <c r="B964" s="100" t="s">
        <v>180</v>
      </c>
      <c r="C964" s="117"/>
      <c r="D964" s="180" t="s">
        <v>185</v>
      </c>
      <c r="E964" s="158"/>
      <c r="F964" s="174">
        <v>0.08</v>
      </c>
      <c r="G964" s="175"/>
      <c r="H964" s="182">
        <v>0</v>
      </c>
      <c r="I964" s="174">
        <v>0.08</v>
      </c>
      <c r="J964" s="183"/>
      <c r="K964" s="182">
        <v>0</v>
      </c>
      <c r="L964" s="184"/>
      <c r="M964" s="185"/>
    </row>
    <row r="965" spans="1:13" ht="15.75" hidden="1" thickBot="1" x14ac:dyDescent="0.3">
      <c r="A965" s="100" t="str">
        <f t="shared" si="135"/>
        <v>GENERAL SERVICE 1,000 TO 4,999 KW SERVICE CLASSIFICATION</v>
      </c>
      <c r="B965" s="100" t="s">
        <v>189</v>
      </c>
      <c r="C965" s="117"/>
      <c r="D965" s="301" t="s">
        <v>188</v>
      </c>
      <c r="E965" s="301"/>
      <c r="F965" s="193"/>
      <c r="G965" s="194"/>
      <c r="H965" s="188">
        <f>SUM(H962,H963)</f>
        <v>154055.386</v>
      </c>
      <c r="I965" s="195"/>
      <c r="J965" s="195"/>
      <c r="K965" s="188">
        <f>SUM(K962,K963)</f>
        <v>169312.55091539631</v>
      </c>
      <c r="L965" s="196">
        <f>K965-H965</f>
        <v>15257.164915396308</v>
      </c>
      <c r="M965" s="197">
        <f>IF((H965)=0,"",(L965/H965))</f>
        <v>9.903688090071909E-2</v>
      </c>
    </row>
    <row r="966" spans="1:13" ht="15.75" hidden="1" thickBot="1" x14ac:dyDescent="0.3">
      <c r="A966" s="100" t="str">
        <f t="shared" si="135"/>
        <v>GENERAL SERVICE 1,000 TO 4,999 KW SERVICE CLASSIFICATION</v>
      </c>
      <c r="B966" s="100" t="s">
        <v>180</v>
      </c>
      <c r="C966" s="117"/>
      <c r="D966" s="165"/>
      <c r="E966" s="166"/>
      <c r="F966" s="198"/>
      <c r="G966" s="199"/>
      <c r="H966" s="200"/>
      <c r="I966" s="198"/>
      <c r="J966" s="168"/>
      <c r="K966" s="200"/>
      <c r="L966" s="201"/>
      <c r="M966" s="172"/>
    </row>
    <row r="967" spans="1:13" x14ac:dyDescent="0.25">
      <c r="A967" s="100" t="str">
        <f t="shared" si="135"/>
        <v>GENERAL SERVICE 1,000 TO 4,999 KW SERVICE CLASSIFICATION</v>
      </c>
      <c r="B967" s="100" t="s">
        <v>121</v>
      </c>
      <c r="C967" s="117"/>
      <c r="D967" s="173" t="s">
        <v>190</v>
      </c>
      <c r="E967" s="158"/>
      <c r="F967" s="174"/>
      <c r="G967" s="175"/>
      <c r="H967" s="176">
        <f>SUM(H955,H947:H950,H946)</f>
        <v>136332.20000000001</v>
      </c>
      <c r="I967" s="177"/>
      <c r="J967" s="177"/>
      <c r="K967" s="176">
        <f>SUM(K955,K947:K950,K946)</f>
        <v>149834.11585433301</v>
      </c>
      <c r="L967" s="178">
        <f>K967-H967</f>
        <v>13501.915854332998</v>
      </c>
      <c r="M967" s="179">
        <f>IF((H967)=0,"",(L967/H967))</f>
        <v>9.9036880900718952E-2</v>
      </c>
    </row>
    <row r="968" spans="1:13" x14ac:dyDescent="0.25">
      <c r="A968" s="100" t="str">
        <f t="shared" si="135"/>
        <v>GENERAL SERVICE 1,000 TO 4,999 KW SERVICE CLASSIFICATION</v>
      </c>
      <c r="B968" s="100" t="s">
        <v>121</v>
      </c>
      <c r="C968" s="117"/>
      <c r="D968" s="180" t="s">
        <v>184</v>
      </c>
      <c r="E968" s="158"/>
      <c r="F968" s="174">
        <v>0.13</v>
      </c>
      <c r="G968" s="175"/>
      <c r="H968" s="182">
        <f>H967*F968</f>
        <v>17723.186000000002</v>
      </c>
      <c r="I968" s="174">
        <v>0.13</v>
      </c>
      <c r="J968" s="183"/>
      <c r="K968" s="182">
        <f>K967*I968</f>
        <v>19478.435061063294</v>
      </c>
      <c r="L968" s="184">
        <f>K968-H968</f>
        <v>1755.2490610632922</v>
      </c>
      <c r="M968" s="185">
        <f>IF((H968)=0,"",(L968/H968))</f>
        <v>9.903688090071909E-2</v>
      </c>
    </row>
    <row r="969" spans="1:13" x14ac:dyDescent="0.25">
      <c r="A969" s="100" t="str">
        <f t="shared" si="135"/>
        <v>GENERAL SERVICE 1,000 TO 4,999 KW SERVICE CLASSIFICATION</v>
      </c>
      <c r="B969" s="100" t="s">
        <v>121</v>
      </c>
      <c r="C969" s="117"/>
      <c r="D969" s="180" t="s">
        <v>185</v>
      </c>
      <c r="E969" s="158"/>
      <c r="F969" s="174">
        <v>0.08</v>
      </c>
      <c r="G969" s="175"/>
      <c r="H969" s="182">
        <v>0</v>
      </c>
      <c r="I969" s="174">
        <v>0.08</v>
      </c>
      <c r="J969" s="183"/>
      <c r="K969" s="182">
        <v>0</v>
      </c>
      <c r="L969" s="184"/>
      <c r="M969" s="185"/>
    </row>
    <row r="970" spans="1:13" ht="15.75" thickBot="1" x14ac:dyDescent="0.3">
      <c r="A970" s="100" t="str">
        <f t="shared" si="135"/>
        <v>GENERAL SERVICE 1,000 TO 4,999 KW SERVICE CLASSIFICATION</v>
      </c>
      <c r="B970" s="100" t="s">
        <v>191</v>
      </c>
      <c r="C970" s="117">
        <f>B45</f>
        <v>16</v>
      </c>
      <c r="D970" s="301" t="s">
        <v>190</v>
      </c>
      <c r="E970" s="301"/>
      <c r="F970" s="193"/>
      <c r="G970" s="194"/>
      <c r="H970" s="188">
        <f>SUM(H967,H968)</f>
        <v>154055.386</v>
      </c>
      <c r="I970" s="195"/>
      <c r="J970" s="195"/>
      <c r="K970" s="188">
        <f>SUM(K967,K968)</f>
        <v>169312.55091539631</v>
      </c>
      <c r="L970" s="196">
        <f>K970-H970</f>
        <v>15257.164915396308</v>
      </c>
      <c r="M970" s="197">
        <f>IF((H970)=0,"",(L970/H970))</f>
        <v>9.903688090071909E-2</v>
      </c>
    </row>
    <row r="971" spans="1:13" ht="15.75" thickBot="1" x14ac:dyDescent="0.3">
      <c r="A971" s="100" t="str">
        <f t="shared" si="135"/>
        <v>GENERAL SERVICE 1,000 TO 4,999 KW SERVICE CLASSIFICATION</v>
      </c>
      <c r="B971" s="100" t="s">
        <v>121</v>
      </c>
      <c r="C971" s="117"/>
      <c r="D971" s="165"/>
      <c r="E971" s="166"/>
      <c r="F971" s="202"/>
      <c r="G971" s="203"/>
      <c r="H971" s="204"/>
      <c r="I971" s="202"/>
      <c r="J971" s="205"/>
      <c r="K971" s="204"/>
      <c r="L971" s="206"/>
      <c r="M971" s="207"/>
    </row>
    <row r="974" spans="1:13" x14ac:dyDescent="0.25">
      <c r="C974" s="100"/>
      <c r="D974" s="101" t="s">
        <v>134</v>
      </c>
      <c r="E974" s="302" t="str">
        <f>D46</f>
        <v>GENERAL SERVICE 1,000 TO 4,999 KW SERVICE CLASSIFICATION</v>
      </c>
      <c r="F974" s="302"/>
      <c r="G974" s="302"/>
      <c r="H974" s="302"/>
      <c r="I974" s="302"/>
      <c r="J974" s="302"/>
      <c r="K974" s="100" t="str">
        <f>IF(N46="DEMAND - INTERVAL","RTSR - INTERVAL METERED","")</f>
        <v/>
      </c>
    </row>
    <row r="975" spans="1:13" x14ac:dyDescent="0.25">
      <c r="C975" s="100"/>
      <c r="D975" s="101" t="s">
        <v>135</v>
      </c>
      <c r="E975" s="303" t="str">
        <f>H46</f>
        <v>Non-RPP (Other)</v>
      </c>
      <c r="F975" s="303"/>
      <c r="G975" s="303"/>
      <c r="H975" s="102"/>
      <c r="I975" s="102"/>
    </row>
    <row r="976" spans="1:13" ht="15.75" x14ac:dyDescent="0.25">
      <c r="C976" s="100"/>
      <c r="D976" s="101" t="s">
        <v>136</v>
      </c>
      <c r="E976" s="103">
        <f>K46</f>
        <v>3000000</v>
      </c>
      <c r="F976" s="104" t="s">
        <v>137</v>
      </c>
      <c r="G976" s="105"/>
      <c r="J976" s="106"/>
      <c r="K976" s="106"/>
      <c r="L976" s="106"/>
      <c r="M976" s="106"/>
    </row>
    <row r="977" spans="1:13" ht="15.75" x14ac:dyDescent="0.25">
      <c r="C977" s="100"/>
      <c r="D977" s="101" t="s">
        <v>138</v>
      </c>
      <c r="E977" s="103">
        <f>L46</f>
        <v>4000</v>
      </c>
      <c r="F977" s="107" t="s">
        <v>139</v>
      </c>
      <c r="G977" s="108"/>
      <c r="H977" s="109"/>
      <c r="I977" s="109"/>
      <c r="J977" s="109"/>
    </row>
    <row r="978" spans="1:13" x14ac:dyDescent="0.25">
      <c r="C978" s="100"/>
      <c r="D978" s="101" t="s">
        <v>140</v>
      </c>
      <c r="E978" s="110">
        <f>I46</f>
        <v>1.056</v>
      </c>
    </row>
    <row r="979" spans="1:13" x14ac:dyDescent="0.25">
      <c r="C979" s="100"/>
      <c r="D979" s="101" t="s">
        <v>141</v>
      </c>
      <c r="E979" s="110">
        <f>J46</f>
        <v>1.056</v>
      </c>
    </row>
    <row r="980" spans="1:13" x14ac:dyDescent="0.25">
      <c r="C980" s="100"/>
      <c r="D980" s="105"/>
    </row>
    <row r="981" spans="1:13" x14ac:dyDescent="0.25">
      <c r="C981" s="100"/>
      <c r="D981" s="105"/>
      <c r="E981" s="111"/>
      <c r="F981" s="304" t="s">
        <v>142</v>
      </c>
      <c r="G981" s="305"/>
      <c r="H981" s="306"/>
      <c r="I981" s="304" t="s">
        <v>143</v>
      </c>
      <c r="J981" s="305"/>
      <c r="K981" s="306"/>
      <c r="L981" s="304" t="s">
        <v>144</v>
      </c>
      <c r="M981" s="306"/>
    </row>
    <row r="982" spans="1:13" x14ac:dyDescent="0.25">
      <c r="C982" s="100"/>
      <c r="D982" s="105"/>
      <c r="E982" s="295"/>
      <c r="F982" s="112" t="s">
        <v>145</v>
      </c>
      <c r="G982" s="112" t="s">
        <v>146</v>
      </c>
      <c r="H982" s="113" t="s">
        <v>147</v>
      </c>
      <c r="I982" s="112" t="s">
        <v>145</v>
      </c>
      <c r="J982" s="114" t="s">
        <v>146</v>
      </c>
      <c r="K982" s="113" t="s">
        <v>147</v>
      </c>
      <c r="L982" s="297" t="s">
        <v>148</v>
      </c>
      <c r="M982" s="299" t="s">
        <v>149</v>
      </c>
    </row>
    <row r="983" spans="1:13" x14ac:dyDescent="0.25">
      <c r="C983" s="100"/>
      <c r="D983" s="105"/>
      <c r="E983" s="296"/>
      <c r="F983" s="115" t="s">
        <v>150</v>
      </c>
      <c r="G983" s="115"/>
      <c r="H983" s="116" t="s">
        <v>150</v>
      </c>
      <c r="I983" s="115" t="s">
        <v>150</v>
      </c>
      <c r="J983" s="116"/>
      <c r="K983" s="116" t="s">
        <v>150</v>
      </c>
      <c r="L983" s="298"/>
      <c r="M983" s="300"/>
    </row>
    <row r="984" spans="1:13" x14ac:dyDescent="0.25">
      <c r="A984" s="100" t="str">
        <f>$E974</f>
        <v>GENERAL SERVICE 1,000 TO 4,999 KW SERVICE CLASSIFICATION</v>
      </c>
      <c r="C984" s="117"/>
      <c r="D984" s="118" t="s">
        <v>151</v>
      </c>
      <c r="E984" s="119"/>
      <c r="F984" s="120">
        <v>185.55</v>
      </c>
      <c r="G984" s="121">
        <v>1</v>
      </c>
      <c r="H984" s="122">
        <f>G984*F984</f>
        <v>185.55</v>
      </c>
      <c r="I984" s="123">
        <v>187.78</v>
      </c>
      <c r="J984" s="124">
        <f>G984</f>
        <v>1</v>
      </c>
      <c r="K984" s="122">
        <f>J984*I984</f>
        <v>187.78</v>
      </c>
      <c r="L984" s="125">
        <f t="shared" ref="L984:L1005" si="140">K984-H984</f>
        <v>2.2299999999999898</v>
      </c>
      <c r="M984" s="126">
        <f>IF(ISERROR(L984/H984), "", L984/H984)</f>
        <v>1.2018323901913175E-2</v>
      </c>
    </row>
    <row r="985" spans="1:13" x14ac:dyDescent="0.25">
      <c r="A985" s="100" t="str">
        <f>A984</f>
        <v>GENERAL SERVICE 1,000 TO 4,999 KW SERVICE CLASSIFICATION</v>
      </c>
      <c r="C985" s="117"/>
      <c r="D985" s="118" t="s">
        <v>152</v>
      </c>
      <c r="E985" s="119"/>
      <c r="F985" s="127">
        <v>3.4704999999999999</v>
      </c>
      <c r="G985" s="121">
        <f>IF($E977&gt;0, $E977, $E976)</f>
        <v>4000</v>
      </c>
      <c r="H985" s="122">
        <f t="shared" ref="H985:H997" si="141">G985*F985</f>
        <v>13882</v>
      </c>
      <c r="I985" s="128">
        <v>3.5121000000000002</v>
      </c>
      <c r="J985" s="124">
        <f>IF($E977&gt;0, $E977, $E976)</f>
        <v>4000</v>
      </c>
      <c r="K985" s="122">
        <f>J985*I985</f>
        <v>14048.400000000001</v>
      </c>
      <c r="L985" s="125">
        <f t="shared" si="140"/>
        <v>166.40000000000146</v>
      </c>
      <c r="M985" s="126">
        <f t="shared" ref="M985:M995" si="142">IF(ISERROR(L985/H985), "", L985/H985)</f>
        <v>1.1986745425731268E-2</v>
      </c>
    </row>
    <row r="986" spans="1:13" x14ac:dyDescent="0.25">
      <c r="A986" s="100" t="str">
        <f t="shared" ref="A986:A1027" si="143">A985</f>
        <v>GENERAL SERVICE 1,000 TO 4,999 KW SERVICE CLASSIFICATION</v>
      </c>
      <c r="C986" s="117"/>
      <c r="D986" s="118" t="s">
        <v>153</v>
      </c>
      <c r="E986" s="119"/>
      <c r="F986" s="127"/>
      <c r="G986" s="121">
        <f>IF($E977&gt;0, $E977, $E976)</f>
        <v>4000</v>
      </c>
      <c r="H986" s="122">
        <v>0</v>
      </c>
      <c r="I986" s="128"/>
      <c r="J986" s="124">
        <f>IF($E977&gt;0, $E977, $E976)</f>
        <v>4000</v>
      </c>
      <c r="K986" s="122">
        <v>0</v>
      </c>
      <c r="L986" s="125"/>
      <c r="M986" s="126"/>
    </row>
    <row r="987" spans="1:13" x14ac:dyDescent="0.25">
      <c r="A987" s="100" t="str">
        <f t="shared" si="143"/>
        <v>GENERAL SERVICE 1,000 TO 4,999 KW SERVICE CLASSIFICATION</v>
      </c>
      <c r="C987" s="117"/>
      <c r="D987" s="118" t="s">
        <v>154</v>
      </c>
      <c r="E987" s="119"/>
      <c r="F987" s="127"/>
      <c r="G987" s="121">
        <f>IF($E977&gt;0, $E977, $E976)</f>
        <v>4000</v>
      </c>
      <c r="H987" s="122">
        <v>0</v>
      </c>
      <c r="I987" s="128"/>
      <c r="J987" s="121">
        <f>IF($E977&gt;0, $E977, $E976)</f>
        <v>4000</v>
      </c>
      <c r="K987" s="122">
        <v>0</v>
      </c>
      <c r="L987" s="125">
        <f>K987-H987</f>
        <v>0</v>
      </c>
      <c r="M987" s="126" t="str">
        <f>IF(ISERROR(L987/H987), "", L987/H987)</f>
        <v/>
      </c>
    </row>
    <row r="988" spans="1:13" x14ac:dyDescent="0.25">
      <c r="A988" s="100" t="str">
        <f t="shared" si="143"/>
        <v>GENERAL SERVICE 1,000 TO 4,999 KW SERVICE CLASSIFICATION</v>
      </c>
      <c r="C988" s="117"/>
      <c r="D988" s="129" t="s">
        <v>155</v>
      </c>
      <c r="E988" s="119"/>
      <c r="F988" s="120">
        <v>0</v>
      </c>
      <c r="G988" s="121">
        <v>1</v>
      </c>
      <c r="H988" s="122">
        <f t="shared" si="141"/>
        <v>0</v>
      </c>
      <c r="I988" s="226">
        <f>'Rate Riders'!O11</f>
        <v>32.87063870617456</v>
      </c>
      <c r="J988" s="124">
        <f>G988</f>
        <v>1</v>
      </c>
      <c r="K988" s="122">
        <f t="shared" ref="K988:K995" si="144">J988*I988</f>
        <v>32.87063870617456</v>
      </c>
      <c r="L988" s="125">
        <f t="shared" si="140"/>
        <v>32.87063870617456</v>
      </c>
      <c r="M988" s="126" t="str">
        <f t="shared" si="142"/>
        <v/>
      </c>
    </row>
    <row r="989" spans="1:13" x14ac:dyDescent="0.25">
      <c r="A989" s="100" t="str">
        <f t="shared" si="143"/>
        <v>GENERAL SERVICE 1,000 TO 4,999 KW SERVICE CLASSIFICATION</v>
      </c>
      <c r="C989" s="117"/>
      <c r="D989" s="118" t="s">
        <v>156</v>
      </c>
      <c r="E989" s="119"/>
      <c r="F989" s="127">
        <v>0</v>
      </c>
      <c r="G989" s="121">
        <f>IF($E977&gt;0, $E977, $E976)</f>
        <v>4000</v>
      </c>
      <c r="H989" s="122">
        <f t="shared" si="141"/>
        <v>0</v>
      </c>
      <c r="I989" s="227">
        <f>'Rate Riders'!Q11</f>
        <v>0.61480760781341304</v>
      </c>
      <c r="J989" s="124">
        <f>IF($E977&gt;0, $E977, $E976)</f>
        <v>4000</v>
      </c>
      <c r="K989" s="122">
        <f t="shared" si="144"/>
        <v>2459.2304312536521</v>
      </c>
      <c r="L989" s="125">
        <f t="shared" si="140"/>
        <v>2459.2304312536521</v>
      </c>
      <c r="M989" s="126" t="str">
        <f t="shared" si="142"/>
        <v/>
      </c>
    </row>
    <row r="990" spans="1:13" x14ac:dyDescent="0.25">
      <c r="A990" s="100" t="str">
        <f t="shared" si="143"/>
        <v>GENERAL SERVICE 1,000 TO 4,999 KW SERVICE CLASSIFICATION</v>
      </c>
      <c r="B990" s="130" t="s">
        <v>157</v>
      </c>
      <c r="C990" s="117">
        <f>B46</f>
        <v>17</v>
      </c>
      <c r="D990" s="131" t="s">
        <v>158</v>
      </c>
      <c r="E990" s="132"/>
      <c r="F990" s="133"/>
      <c r="G990" s="134"/>
      <c r="H990" s="135">
        <f>SUM(H984:H989)</f>
        <v>14067.55</v>
      </c>
      <c r="I990" s="136"/>
      <c r="J990" s="137"/>
      <c r="K990" s="135">
        <f>SUM(K984:K989)</f>
        <v>16728.281069959827</v>
      </c>
      <c r="L990" s="138">
        <f t="shared" si="140"/>
        <v>2660.7310699598274</v>
      </c>
      <c r="M990" s="139">
        <f>IF((H990)=0,"",(L990/H990))</f>
        <v>0.18913962061338524</v>
      </c>
    </row>
    <row r="991" spans="1:13" x14ac:dyDescent="0.25">
      <c r="A991" s="100" t="str">
        <f t="shared" si="143"/>
        <v>GENERAL SERVICE 1,000 TO 4,999 KW SERVICE CLASSIFICATION</v>
      </c>
      <c r="C991" s="117"/>
      <c r="D991" s="140" t="s">
        <v>159</v>
      </c>
      <c r="E991" s="119"/>
      <c r="F991" s="127">
        <f>IF((E976*12&gt;=150000), 0, IF(E975="RPP",(F1007*0.65+F1008*0.17+F1009*0.18),IF(E975="Non-RPP (Retailer)",F1010,F1011)))</f>
        <v>0</v>
      </c>
      <c r="G991" s="141">
        <f>IF(F991=0, 0, $E976*E978-E976)</f>
        <v>0</v>
      </c>
      <c r="H991" s="122">
        <f>G991*F991</f>
        <v>0</v>
      </c>
      <c r="I991" s="128">
        <f>IF((E976*12&gt;=150000), 0, IF(E975="RPP",(I1007*0.65+I1008*0.17+I1009*0.18),IF(E975="Non-RPP (Retailer)",I1010,I1011)))</f>
        <v>0</v>
      </c>
      <c r="J991" s="141">
        <f>IF(I991=0, 0, E976*E979-E976)</f>
        <v>0</v>
      </c>
      <c r="K991" s="122">
        <f>J991*I991</f>
        <v>0</v>
      </c>
      <c r="L991" s="125">
        <f>K991-H991</f>
        <v>0</v>
      </c>
      <c r="M991" s="126" t="str">
        <f>IF(ISERROR(L991/H991), "", L991/H991)</f>
        <v/>
      </c>
    </row>
    <row r="992" spans="1:13" ht="25.5" x14ac:dyDescent="0.25">
      <c r="A992" s="100" t="str">
        <f t="shared" si="143"/>
        <v>GENERAL SERVICE 1,000 TO 4,999 KW SERVICE CLASSIFICATION</v>
      </c>
      <c r="C992" s="117"/>
      <c r="D992" s="140" t="s">
        <v>160</v>
      </c>
      <c r="E992" s="119"/>
      <c r="F992" s="127">
        <v>-0.93979999999999997</v>
      </c>
      <c r="G992" s="142">
        <f>IF($E977&gt;0, $E977, $E976)</f>
        <v>4000</v>
      </c>
      <c r="H992" s="122">
        <f t="shared" si="141"/>
        <v>-3759.2</v>
      </c>
      <c r="I992" s="128">
        <v>-1.9907999999999999</v>
      </c>
      <c r="J992" s="142">
        <f>IF($E977&gt;0, $E977, $E976)</f>
        <v>4000</v>
      </c>
      <c r="K992" s="122">
        <f t="shared" si="144"/>
        <v>-7963.2</v>
      </c>
      <c r="L992" s="125">
        <f t="shared" si="140"/>
        <v>-4204</v>
      </c>
      <c r="M992" s="126">
        <f t="shared" si="142"/>
        <v>1.1183230474569057</v>
      </c>
    </row>
    <row r="993" spans="1:13" x14ac:dyDescent="0.25">
      <c r="A993" s="100" t="str">
        <f t="shared" si="143"/>
        <v>GENERAL SERVICE 1,000 TO 4,999 KW SERVICE CLASSIFICATION</v>
      </c>
      <c r="C993" s="117"/>
      <c r="D993" s="140" t="s">
        <v>161</v>
      </c>
      <c r="E993" s="119"/>
      <c r="F993" s="127">
        <v>-3.4099999999999998E-2</v>
      </c>
      <c r="G993" s="142">
        <f>IF($E977&gt;0, $E977, $E976)</f>
        <v>4000</v>
      </c>
      <c r="H993" s="122">
        <f>G993*F993</f>
        <v>-136.4</v>
      </c>
      <c r="I993" s="128">
        <v>0</v>
      </c>
      <c r="J993" s="142">
        <f>IF($E977&gt;0, $E977, $E976)</f>
        <v>4000</v>
      </c>
      <c r="K993" s="122">
        <f>J993*I993</f>
        <v>0</v>
      </c>
      <c r="L993" s="125">
        <f t="shared" si="140"/>
        <v>136.4</v>
      </c>
      <c r="M993" s="126">
        <f t="shared" si="142"/>
        <v>-1</v>
      </c>
    </row>
    <row r="994" spans="1:13" x14ac:dyDescent="0.25">
      <c r="A994" s="100" t="str">
        <f t="shared" si="143"/>
        <v>GENERAL SERVICE 1,000 TO 4,999 KW SERVICE CLASSIFICATION</v>
      </c>
      <c r="C994" s="117"/>
      <c r="D994" s="140" t="s">
        <v>162</v>
      </c>
      <c r="E994" s="119"/>
      <c r="F994" s="127">
        <v>-1E-3</v>
      </c>
      <c r="G994" s="142">
        <f>E976</f>
        <v>3000000</v>
      </c>
      <c r="H994" s="122">
        <f>G994*F994</f>
        <v>-3000</v>
      </c>
      <c r="I994" s="128">
        <v>1.37E-2</v>
      </c>
      <c r="J994" s="142">
        <f>E976</f>
        <v>3000000</v>
      </c>
      <c r="K994" s="122">
        <f t="shared" si="144"/>
        <v>41100</v>
      </c>
      <c r="L994" s="125">
        <f t="shared" si="140"/>
        <v>44100</v>
      </c>
      <c r="M994" s="126">
        <f t="shared" si="142"/>
        <v>-14.7</v>
      </c>
    </row>
    <row r="995" spans="1:13" x14ac:dyDescent="0.25">
      <c r="A995" s="100" t="str">
        <f t="shared" si="143"/>
        <v>GENERAL SERVICE 1,000 TO 4,999 KW SERVICE CLASSIFICATION</v>
      </c>
      <c r="C995" s="117"/>
      <c r="D995" s="143" t="s">
        <v>163</v>
      </c>
      <c r="E995" s="119"/>
      <c r="F995" s="127">
        <v>1.0483</v>
      </c>
      <c r="G995" s="142">
        <f>IF($E977&gt;0, $E977, $E976)</f>
        <v>4000</v>
      </c>
      <c r="H995" s="122">
        <f t="shared" si="141"/>
        <v>4193.2</v>
      </c>
      <c r="I995" s="128">
        <v>1.0483</v>
      </c>
      <c r="J995" s="142">
        <f>IF($E977&gt;0, $E977, $E976)</f>
        <v>4000</v>
      </c>
      <c r="K995" s="122">
        <f t="shared" si="144"/>
        <v>4193.2</v>
      </c>
      <c r="L995" s="125">
        <f t="shared" si="140"/>
        <v>0</v>
      </c>
      <c r="M995" s="126">
        <f t="shared" si="142"/>
        <v>0</v>
      </c>
    </row>
    <row r="996" spans="1:13" ht="25.5" x14ac:dyDescent="0.25">
      <c r="A996" s="100" t="str">
        <f t="shared" si="143"/>
        <v>GENERAL SERVICE 1,000 TO 4,999 KW SERVICE CLASSIFICATION</v>
      </c>
      <c r="C996" s="117"/>
      <c r="D996" s="144" t="s">
        <v>164</v>
      </c>
      <c r="E996" s="119"/>
      <c r="F996" s="145">
        <f>IF(OR(ISNUMBER(SEARCH("RESIDENTIAL", E974))=TRUE, ISNUMBER(SEARCH("GENERAL SERVICE LESS THAN 50", E974))=TRUE), SME, 0)</f>
        <v>0</v>
      </c>
      <c r="G996" s="121">
        <v>1</v>
      </c>
      <c r="H996" s="122">
        <f>G996*F996</f>
        <v>0</v>
      </c>
      <c r="I996" s="146">
        <f>IF(OR(ISNUMBER(SEARCH("RESIDENTIAL", E974))=TRUE, ISNUMBER(SEARCH("GENERAL SERVICE LESS THAN 50", E974))=TRUE), SME, 0)</f>
        <v>0</v>
      </c>
      <c r="J996" s="121">
        <v>1</v>
      </c>
      <c r="K996" s="122">
        <f>J996*I996</f>
        <v>0</v>
      </c>
      <c r="L996" s="125">
        <f t="shared" si="140"/>
        <v>0</v>
      </c>
      <c r="M996" s="126" t="str">
        <f>IF(ISERROR(L996/H996), "", L996/H996)</f>
        <v/>
      </c>
    </row>
    <row r="997" spans="1:13" x14ac:dyDescent="0.25">
      <c r="A997" s="100" t="str">
        <f t="shared" si="143"/>
        <v>GENERAL SERVICE 1,000 TO 4,999 KW SERVICE CLASSIFICATION</v>
      </c>
      <c r="C997" s="117"/>
      <c r="D997" s="143" t="s">
        <v>165</v>
      </c>
      <c r="E997" s="119"/>
      <c r="F997" s="120">
        <v>0</v>
      </c>
      <c r="G997" s="121">
        <v>1</v>
      </c>
      <c r="H997" s="122">
        <f t="shared" si="141"/>
        <v>0</v>
      </c>
      <c r="I997" s="123">
        <v>0</v>
      </c>
      <c r="J997" s="121">
        <v>1</v>
      </c>
      <c r="K997" s="122">
        <f>J997*I997</f>
        <v>0</v>
      </c>
      <c r="L997" s="125">
        <f>K997-H997</f>
        <v>0</v>
      </c>
      <c r="M997" s="126" t="str">
        <f>IF(ISERROR(L997/H997), "", L997/H997)</f>
        <v/>
      </c>
    </row>
    <row r="998" spans="1:13" x14ac:dyDescent="0.25">
      <c r="A998" s="100" t="str">
        <f t="shared" si="143"/>
        <v>GENERAL SERVICE 1,000 TO 4,999 KW SERVICE CLASSIFICATION</v>
      </c>
      <c r="C998" s="117"/>
      <c r="D998" s="143" t="s">
        <v>166</v>
      </c>
      <c r="E998" s="119"/>
      <c r="F998" s="127"/>
      <c r="G998" s="142">
        <f>IF($E977&gt;0, $E977, $E976)</f>
        <v>4000</v>
      </c>
      <c r="H998" s="122">
        <f>G998*F998</f>
        <v>0</v>
      </c>
      <c r="I998" s="128">
        <v>0</v>
      </c>
      <c r="J998" s="142">
        <f>IF($E977&gt;0, $E977, $E976)</f>
        <v>4000</v>
      </c>
      <c r="K998" s="122">
        <f>J998*I998</f>
        <v>0</v>
      </c>
      <c r="L998" s="125">
        <f t="shared" si="140"/>
        <v>0</v>
      </c>
      <c r="M998" s="126" t="str">
        <f>IF(ISERROR(L998/H998), "", L998/H998)</f>
        <v/>
      </c>
    </row>
    <row r="999" spans="1:13" ht="25.5" x14ac:dyDescent="0.25">
      <c r="A999" s="100" t="str">
        <f t="shared" si="143"/>
        <v>GENERAL SERVICE 1,000 TO 4,999 KW SERVICE CLASSIFICATION</v>
      </c>
      <c r="B999" s="105" t="s">
        <v>167</v>
      </c>
      <c r="C999" s="117">
        <f>B46</f>
        <v>17</v>
      </c>
      <c r="D999" s="147" t="s">
        <v>168</v>
      </c>
      <c r="E999" s="148"/>
      <c r="F999" s="149"/>
      <c r="G999" s="150"/>
      <c r="H999" s="151">
        <f>SUM(H990:H998)</f>
        <v>11365.149999999998</v>
      </c>
      <c r="I999" s="152"/>
      <c r="J999" s="153"/>
      <c r="K999" s="151">
        <f>SUM(K990:K998)</f>
        <v>54058.281069959819</v>
      </c>
      <c r="L999" s="138">
        <f t="shared" si="140"/>
        <v>42693.131069959825</v>
      </c>
      <c r="M999" s="139">
        <f>IF((H999)=0,"",(L999/H999))</f>
        <v>3.7564951689999546</v>
      </c>
    </row>
    <row r="1000" spans="1:13" x14ac:dyDescent="0.25">
      <c r="A1000" s="100" t="str">
        <f t="shared" si="143"/>
        <v>GENERAL SERVICE 1,000 TO 4,999 KW SERVICE CLASSIFICATION</v>
      </c>
      <c r="C1000" s="117"/>
      <c r="D1000" s="154" t="s">
        <v>169</v>
      </c>
      <c r="E1000" s="119"/>
      <c r="F1000" s="127">
        <v>2.6217000000000001</v>
      </c>
      <c r="G1000" s="141">
        <f>IF($E977&gt;0, $E977, $E976*$E978)</f>
        <v>4000</v>
      </c>
      <c r="H1000" s="122">
        <f>G1000*F1000</f>
        <v>10486.800000000001</v>
      </c>
      <c r="I1000" s="128">
        <v>2.4868999999999999</v>
      </c>
      <c r="J1000" s="141">
        <f>IF($E977&gt;0, $E977, $E976*$E979)</f>
        <v>4000</v>
      </c>
      <c r="K1000" s="122">
        <f>J1000*I1000</f>
        <v>9947.6</v>
      </c>
      <c r="L1000" s="125">
        <f t="shared" si="140"/>
        <v>-539.20000000000073</v>
      </c>
      <c r="M1000" s="126">
        <f>IF(ISERROR(L1000/H1000), "", L1000/H1000)</f>
        <v>-5.1417019491169919E-2</v>
      </c>
    </row>
    <row r="1001" spans="1:13" ht="25.5" x14ac:dyDescent="0.25">
      <c r="A1001" s="100" t="str">
        <f t="shared" si="143"/>
        <v>GENERAL SERVICE 1,000 TO 4,999 KW SERVICE CLASSIFICATION</v>
      </c>
      <c r="C1001" s="117"/>
      <c r="D1001" s="155" t="s">
        <v>170</v>
      </c>
      <c r="E1001" s="119"/>
      <c r="F1001" s="127">
        <v>2.2145999999999999</v>
      </c>
      <c r="G1001" s="141">
        <f>IF($E977&gt;0, $E977, $E976*$E978)</f>
        <v>4000</v>
      </c>
      <c r="H1001" s="122">
        <f>G1001*F1001</f>
        <v>8858.4</v>
      </c>
      <c r="I1001" s="128">
        <v>2.0933000000000002</v>
      </c>
      <c r="J1001" s="141">
        <f>IF($E977&gt;0, $E977, $E976*$E979)</f>
        <v>4000</v>
      </c>
      <c r="K1001" s="122">
        <f>J1001*I1001</f>
        <v>8373.2000000000007</v>
      </c>
      <c r="L1001" s="125">
        <f t="shared" si="140"/>
        <v>-485.19999999999891</v>
      </c>
      <c r="M1001" s="126">
        <f>IF(ISERROR(L1001/H1001), "", L1001/H1001)</f>
        <v>-5.4772870947349291E-2</v>
      </c>
    </row>
    <row r="1002" spans="1:13" ht="25.5" x14ac:dyDescent="0.25">
      <c r="A1002" s="100" t="str">
        <f t="shared" si="143"/>
        <v>GENERAL SERVICE 1,000 TO 4,999 KW SERVICE CLASSIFICATION</v>
      </c>
      <c r="B1002" s="105" t="s">
        <v>171</v>
      </c>
      <c r="C1002" s="117">
        <f>B46</f>
        <v>17</v>
      </c>
      <c r="D1002" s="147" t="s">
        <v>172</v>
      </c>
      <c r="E1002" s="132"/>
      <c r="F1002" s="149"/>
      <c r="G1002" s="150"/>
      <c r="H1002" s="151">
        <f>SUM(H999:H1001)</f>
        <v>30710.35</v>
      </c>
      <c r="I1002" s="152"/>
      <c r="J1002" s="137"/>
      <c r="K1002" s="151">
        <f>SUM(K999:K1001)</f>
        <v>72379.081069959822</v>
      </c>
      <c r="L1002" s="138">
        <f t="shared" si="140"/>
        <v>41668.731069959824</v>
      </c>
      <c r="M1002" s="139">
        <f>IF((H1002)=0,"",(L1002/H1002))</f>
        <v>1.3568302240111176</v>
      </c>
    </row>
    <row r="1003" spans="1:13" ht="25.5" x14ac:dyDescent="0.25">
      <c r="A1003" s="100" t="str">
        <f t="shared" si="143"/>
        <v>GENERAL SERVICE 1,000 TO 4,999 KW SERVICE CLASSIFICATION</v>
      </c>
      <c r="C1003" s="117"/>
      <c r="D1003" s="156" t="s">
        <v>173</v>
      </c>
      <c r="E1003" s="119"/>
      <c r="F1003" s="127">
        <v>3.6000000000000003E-3</v>
      </c>
      <c r="G1003" s="141">
        <f>E976*E978</f>
        <v>3168000</v>
      </c>
      <c r="H1003" s="157">
        <f t="shared" ref="H1003:H1009" si="145">G1003*F1003</f>
        <v>11404.800000000001</v>
      </c>
      <c r="I1003" s="128">
        <v>3.6000000000000003E-3</v>
      </c>
      <c r="J1003" s="141">
        <f>E976*E979</f>
        <v>3168000</v>
      </c>
      <c r="K1003" s="157">
        <f t="shared" ref="K1003:K1009" si="146">J1003*I1003</f>
        <v>11404.800000000001</v>
      </c>
      <c r="L1003" s="125">
        <f t="shared" si="140"/>
        <v>0</v>
      </c>
      <c r="M1003" s="126">
        <f t="shared" ref="M1003:M1011" si="147">IF(ISERROR(L1003/H1003), "", L1003/H1003)</f>
        <v>0</v>
      </c>
    </row>
    <row r="1004" spans="1:13" ht="25.5" x14ac:dyDescent="0.25">
      <c r="A1004" s="100" t="str">
        <f t="shared" si="143"/>
        <v>GENERAL SERVICE 1,000 TO 4,999 KW SERVICE CLASSIFICATION</v>
      </c>
      <c r="C1004" s="117"/>
      <c r="D1004" s="156" t="s">
        <v>174</v>
      </c>
      <c r="E1004" s="119"/>
      <c r="F1004" s="127">
        <f>'[1]17. Regulatory Charges'!$D$16</f>
        <v>2.9999999999999997E-4</v>
      </c>
      <c r="G1004" s="141">
        <f>E976*E978</f>
        <v>3168000</v>
      </c>
      <c r="H1004" s="157">
        <f t="shared" si="145"/>
        <v>950.39999999999986</v>
      </c>
      <c r="I1004" s="128">
        <v>2.9999999999999997E-4</v>
      </c>
      <c r="J1004" s="141">
        <f>E976*E979</f>
        <v>3168000</v>
      </c>
      <c r="K1004" s="157">
        <f t="shared" si="146"/>
        <v>950.39999999999986</v>
      </c>
      <c r="L1004" s="125">
        <f t="shared" si="140"/>
        <v>0</v>
      </c>
      <c r="M1004" s="126">
        <f t="shared" si="147"/>
        <v>0</v>
      </c>
    </row>
    <row r="1005" spans="1:13" x14ac:dyDescent="0.25">
      <c r="A1005" s="100" t="str">
        <f t="shared" si="143"/>
        <v>GENERAL SERVICE 1,000 TO 4,999 KW SERVICE CLASSIFICATION</v>
      </c>
      <c r="C1005" s="117"/>
      <c r="D1005" s="158" t="s">
        <v>175</v>
      </c>
      <c r="E1005" s="119"/>
      <c r="F1005" s="145">
        <v>0.25</v>
      </c>
      <c r="G1005" s="121">
        <v>1</v>
      </c>
      <c r="H1005" s="157">
        <f t="shared" si="145"/>
        <v>0.25</v>
      </c>
      <c r="I1005" s="146">
        <f>'[1]17. Regulatory Charges'!$D$17</f>
        <v>0.25</v>
      </c>
      <c r="J1005" s="124">
        <v>1</v>
      </c>
      <c r="K1005" s="157">
        <f t="shared" si="146"/>
        <v>0.25</v>
      </c>
      <c r="L1005" s="125">
        <f t="shared" si="140"/>
        <v>0</v>
      </c>
      <c r="M1005" s="126">
        <f t="shared" si="147"/>
        <v>0</v>
      </c>
    </row>
    <row r="1006" spans="1:13" ht="25.5" x14ac:dyDescent="0.25">
      <c r="A1006" s="100" t="str">
        <f t="shared" si="143"/>
        <v>GENERAL SERVICE 1,000 TO 4,999 KW SERVICE CLASSIFICATION</v>
      </c>
      <c r="C1006" s="117"/>
      <c r="D1006" s="156" t="s">
        <v>176</v>
      </c>
      <c r="E1006" s="119"/>
      <c r="F1006" s="127"/>
      <c r="G1006" s="141"/>
      <c r="H1006" s="157"/>
      <c r="I1006" s="128"/>
      <c r="J1006" s="141"/>
      <c r="K1006" s="157"/>
      <c r="L1006" s="125"/>
      <c r="M1006" s="126"/>
    </row>
    <row r="1007" spans="1:13" hidden="1" x14ac:dyDescent="0.25">
      <c r="A1007" s="100" t="str">
        <f t="shared" si="143"/>
        <v>GENERAL SERVICE 1,000 TO 4,999 KW SERVICE CLASSIFICATION</v>
      </c>
      <c r="B1007" s="105" t="s">
        <v>117</v>
      </c>
      <c r="C1007" s="117"/>
      <c r="D1007" s="159" t="s">
        <v>177</v>
      </c>
      <c r="E1007" s="119"/>
      <c r="F1007" s="160">
        <f>OffPeak</f>
        <v>6.5000000000000002E-2</v>
      </c>
      <c r="G1007" s="161">
        <f>IF(AND(E976*12&gt;=150000),0.65*E976*E978,0.65*E976)</f>
        <v>2059200</v>
      </c>
      <c r="H1007" s="157">
        <f t="shared" si="145"/>
        <v>133848</v>
      </c>
      <c r="I1007" s="162">
        <f>OffPeak</f>
        <v>6.5000000000000002E-2</v>
      </c>
      <c r="J1007" s="161">
        <f>IF(AND(E976*12&gt;=150000),0.65*E976*E979,0.65*E976)</f>
        <v>2059200</v>
      </c>
      <c r="K1007" s="157">
        <f t="shared" si="146"/>
        <v>133848</v>
      </c>
      <c r="L1007" s="125">
        <f>K1007-H1007</f>
        <v>0</v>
      </c>
      <c r="M1007" s="126">
        <f t="shared" si="147"/>
        <v>0</v>
      </c>
    </row>
    <row r="1008" spans="1:13" hidden="1" x14ac:dyDescent="0.25">
      <c r="A1008" s="100" t="str">
        <f t="shared" si="143"/>
        <v>GENERAL SERVICE 1,000 TO 4,999 KW SERVICE CLASSIFICATION</v>
      </c>
      <c r="B1008" s="105" t="s">
        <v>117</v>
      </c>
      <c r="C1008" s="117"/>
      <c r="D1008" s="159" t="s">
        <v>178</v>
      </c>
      <c r="E1008" s="119"/>
      <c r="F1008" s="160">
        <f>MidPeak</f>
        <v>9.4E-2</v>
      </c>
      <c r="G1008" s="161">
        <f>IF(AND(E976*12&gt;=150000),0.17*E976*E978,0.17*E976)</f>
        <v>538560.00000000012</v>
      </c>
      <c r="H1008" s="157">
        <f t="shared" si="145"/>
        <v>50624.640000000014</v>
      </c>
      <c r="I1008" s="162">
        <f>MidPeak</f>
        <v>9.4E-2</v>
      </c>
      <c r="J1008" s="161">
        <f>IF(AND(E976*12&gt;=150000),0.17*E976*E979,0.17*E976)</f>
        <v>538560.00000000012</v>
      </c>
      <c r="K1008" s="157">
        <f t="shared" si="146"/>
        <v>50624.640000000014</v>
      </c>
      <c r="L1008" s="125">
        <f>K1008-H1008</f>
        <v>0</v>
      </c>
      <c r="M1008" s="126">
        <f t="shared" si="147"/>
        <v>0</v>
      </c>
    </row>
    <row r="1009" spans="1:13" hidden="1" x14ac:dyDescent="0.25">
      <c r="A1009" s="100" t="str">
        <f t="shared" si="143"/>
        <v>GENERAL SERVICE 1,000 TO 4,999 KW SERVICE CLASSIFICATION</v>
      </c>
      <c r="B1009" s="105" t="s">
        <v>117</v>
      </c>
      <c r="C1009" s="117"/>
      <c r="D1009" s="105" t="s">
        <v>179</v>
      </c>
      <c r="E1009" s="119"/>
      <c r="F1009" s="160">
        <f>OnPeak</f>
        <v>0.13200000000000001</v>
      </c>
      <c r="G1009" s="161">
        <f>IF(AND(E976*12&gt;=150000),0.18*E976*E978,0.18*E976)</f>
        <v>570240</v>
      </c>
      <c r="H1009" s="157">
        <f t="shared" si="145"/>
        <v>75271.680000000008</v>
      </c>
      <c r="I1009" s="162">
        <f>OnPeak</f>
        <v>0.13200000000000001</v>
      </c>
      <c r="J1009" s="161">
        <f>IF(AND(E976*12&gt;=150000),0.18*E976*E979,0.18*E976)</f>
        <v>570240</v>
      </c>
      <c r="K1009" s="157">
        <f t="shared" si="146"/>
        <v>75271.680000000008</v>
      </c>
      <c r="L1009" s="125">
        <f>K1009-H1009</f>
        <v>0</v>
      </c>
      <c r="M1009" s="126">
        <f t="shared" si="147"/>
        <v>0</v>
      </c>
    </row>
    <row r="1010" spans="1:13" hidden="1" x14ac:dyDescent="0.25">
      <c r="A1010" s="100" t="str">
        <f t="shared" si="143"/>
        <v>GENERAL SERVICE 1,000 TO 4,999 KW SERVICE CLASSIFICATION</v>
      </c>
      <c r="B1010" s="100" t="s">
        <v>180</v>
      </c>
      <c r="C1010" s="117"/>
      <c r="D1010" s="159" t="s">
        <v>181</v>
      </c>
      <c r="E1010" s="119"/>
      <c r="F1010" s="163">
        <v>0.1101</v>
      </c>
      <c r="G1010" s="161">
        <f>IF(AND(E976*12&gt;=150000),E976*E978,E976)</f>
        <v>3168000</v>
      </c>
      <c r="H1010" s="157">
        <f>G1010*F1010</f>
        <v>348796.8</v>
      </c>
      <c r="I1010" s="164">
        <f>F1010</f>
        <v>0.1101</v>
      </c>
      <c r="J1010" s="161">
        <f>IF(AND(E976*12&gt;=150000),E976*E979,E976)</f>
        <v>3168000</v>
      </c>
      <c r="K1010" s="157">
        <f>J1010*I1010</f>
        <v>348796.8</v>
      </c>
      <c r="L1010" s="125">
        <f>K1010-H1010</f>
        <v>0</v>
      </c>
      <c r="M1010" s="126">
        <f t="shared" si="147"/>
        <v>0</v>
      </c>
    </row>
    <row r="1011" spans="1:13" ht="15.75" thickBot="1" x14ac:dyDescent="0.3">
      <c r="A1011" s="100" t="str">
        <f t="shared" si="143"/>
        <v>GENERAL SERVICE 1,000 TO 4,999 KW SERVICE CLASSIFICATION</v>
      </c>
      <c r="B1011" s="100" t="s">
        <v>121</v>
      </c>
      <c r="C1011" s="117"/>
      <c r="D1011" s="159" t="s">
        <v>182</v>
      </c>
      <c r="E1011" s="119"/>
      <c r="F1011" s="163">
        <v>0.1101</v>
      </c>
      <c r="G1011" s="161">
        <f>IF(AND(E976*12&gt;=150000),E976*E978,E976)</f>
        <v>3168000</v>
      </c>
      <c r="H1011" s="157">
        <f>G1011*F1011</f>
        <v>348796.8</v>
      </c>
      <c r="I1011" s="164">
        <f>F1011</f>
        <v>0.1101</v>
      </c>
      <c r="J1011" s="161">
        <f>IF(AND(E976*12&gt;=150000),E976*E979,E976)</f>
        <v>3168000</v>
      </c>
      <c r="K1011" s="157">
        <f>J1011*I1011</f>
        <v>348796.8</v>
      </c>
      <c r="L1011" s="125">
        <f>K1011-H1011</f>
        <v>0</v>
      </c>
      <c r="M1011" s="126">
        <f t="shared" si="147"/>
        <v>0</v>
      </c>
    </row>
    <row r="1012" spans="1:13" ht="15.75" thickBot="1" x14ac:dyDescent="0.3">
      <c r="A1012" s="100" t="str">
        <f t="shared" si="143"/>
        <v>GENERAL SERVICE 1,000 TO 4,999 KW SERVICE CLASSIFICATION</v>
      </c>
      <c r="B1012" s="105"/>
      <c r="C1012" s="117"/>
      <c r="D1012" s="165"/>
      <c r="E1012" s="166"/>
      <c r="F1012" s="167"/>
      <c r="G1012" s="168"/>
      <c r="H1012" s="169"/>
      <c r="I1012" s="167"/>
      <c r="J1012" s="170"/>
      <c r="K1012" s="169"/>
      <c r="L1012" s="171"/>
      <c r="M1012" s="172"/>
    </row>
    <row r="1013" spans="1:13" hidden="1" x14ac:dyDescent="0.25">
      <c r="A1013" s="100" t="str">
        <f t="shared" si="143"/>
        <v>GENERAL SERVICE 1,000 TO 4,999 KW SERVICE CLASSIFICATION</v>
      </c>
      <c r="B1013" s="105" t="s">
        <v>117</v>
      </c>
      <c r="C1013" s="117"/>
      <c r="D1013" s="173" t="s">
        <v>183</v>
      </c>
      <c r="E1013" s="158"/>
      <c r="F1013" s="174"/>
      <c r="G1013" s="175"/>
      <c r="H1013" s="176">
        <f>SUM(H1003:H1009,H1002)</f>
        <v>302810.12</v>
      </c>
      <c r="I1013" s="177"/>
      <c r="J1013" s="177"/>
      <c r="K1013" s="176">
        <f>SUM(K1003:K1009,K1002)</f>
        <v>344478.85106995981</v>
      </c>
      <c r="L1013" s="178">
        <f>K1013-H1013</f>
        <v>41668.731069959817</v>
      </c>
      <c r="M1013" s="179">
        <f>IF((H1013)=0,"",(L1013/H1013))</f>
        <v>0.13760679818085281</v>
      </c>
    </row>
    <row r="1014" spans="1:13" hidden="1" x14ac:dyDescent="0.25">
      <c r="A1014" s="100" t="str">
        <f t="shared" si="143"/>
        <v>GENERAL SERVICE 1,000 TO 4,999 KW SERVICE CLASSIFICATION</v>
      </c>
      <c r="B1014" s="105" t="s">
        <v>117</v>
      </c>
      <c r="C1014" s="117"/>
      <c r="D1014" s="180" t="s">
        <v>184</v>
      </c>
      <c r="E1014" s="158"/>
      <c r="F1014" s="174">
        <v>0.13</v>
      </c>
      <c r="G1014" s="181"/>
      <c r="H1014" s="182">
        <f>H1013*F1014</f>
        <v>39365.315600000002</v>
      </c>
      <c r="I1014" s="183">
        <v>0.13</v>
      </c>
      <c r="J1014" s="121"/>
      <c r="K1014" s="182">
        <f>K1013*I1014</f>
        <v>44782.250639094775</v>
      </c>
      <c r="L1014" s="184">
        <f>K1014-H1014</f>
        <v>5416.9350390947729</v>
      </c>
      <c r="M1014" s="185">
        <f>IF((H1014)=0,"",(L1014/H1014))</f>
        <v>0.1376067981808527</v>
      </c>
    </row>
    <row r="1015" spans="1:13" hidden="1" x14ac:dyDescent="0.25">
      <c r="A1015" s="100" t="str">
        <f t="shared" si="143"/>
        <v>GENERAL SERVICE 1,000 TO 4,999 KW SERVICE CLASSIFICATION</v>
      </c>
      <c r="B1015" s="105" t="s">
        <v>117</v>
      </c>
      <c r="C1015" s="117"/>
      <c r="D1015" s="180" t="s">
        <v>185</v>
      </c>
      <c r="E1015" s="158"/>
      <c r="F1015" s="174">
        <v>0.08</v>
      </c>
      <c r="G1015" s="181"/>
      <c r="H1015" s="182">
        <v>0</v>
      </c>
      <c r="I1015" s="174">
        <v>0.08</v>
      </c>
      <c r="J1015" s="121"/>
      <c r="K1015" s="182">
        <v>0</v>
      </c>
      <c r="L1015" s="184">
        <f>K1015-H1015</f>
        <v>0</v>
      </c>
      <c r="M1015" s="185"/>
    </row>
    <row r="1016" spans="1:13" ht="15.75" hidden="1" thickBot="1" x14ac:dyDescent="0.3">
      <c r="A1016" s="100" t="str">
        <f t="shared" si="143"/>
        <v>GENERAL SERVICE 1,000 TO 4,999 KW SERVICE CLASSIFICATION</v>
      </c>
      <c r="B1016" s="105" t="s">
        <v>186</v>
      </c>
      <c r="C1016" s="117"/>
      <c r="D1016" s="301" t="s">
        <v>187</v>
      </c>
      <c r="E1016" s="301"/>
      <c r="F1016" s="186"/>
      <c r="G1016" s="187"/>
      <c r="H1016" s="188">
        <f>H1013+H1014+H1015</f>
        <v>342175.43559999997</v>
      </c>
      <c r="I1016" s="189"/>
      <c r="J1016" s="189"/>
      <c r="K1016" s="190">
        <f>K1013+K1014+K1015</f>
        <v>389261.10170905461</v>
      </c>
      <c r="L1016" s="191">
        <f>K1016-H1016</f>
        <v>47085.66610905464</v>
      </c>
      <c r="M1016" s="192">
        <f>IF((H1016)=0,"",(L1016/H1016))</f>
        <v>0.13760679818085295</v>
      </c>
    </row>
    <row r="1017" spans="1:13" ht="15.75" hidden="1" thickBot="1" x14ac:dyDescent="0.3">
      <c r="A1017" s="100" t="str">
        <f t="shared" si="143"/>
        <v>GENERAL SERVICE 1,000 TO 4,999 KW SERVICE CLASSIFICATION</v>
      </c>
      <c r="B1017" s="100" t="s">
        <v>117</v>
      </c>
      <c r="C1017" s="117"/>
      <c r="D1017" s="165"/>
      <c r="E1017" s="166"/>
      <c r="F1017" s="167"/>
      <c r="G1017" s="168"/>
      <c r="H1017" s="169"/>
      <c r="I1017" s="167"/>
      <c r="J1017" s="170"/>
      <c r="K1017" s="169"/>
      <c r="L1017" s="171"/>
      <c r="M1017" s="172"/>
    </row>
    <row r="1018" spans="1:13" hidden="1" x14ac:dyDescent="0.25">
      <c r="A1018" s="100" t="str">
        <f t="shared" si="143"/>
        <v>GENERAL SERVICE 1,000 TO 4,999 KW SERVICE CLASSIFICATION</v>
      </c>
      <c r="B1018" s="100" t="s">
        <v>180</v>
      </c>
      <c r="C1018" s="117"/>
      <c r="D1018" s="173" t="s">
        <v>188</v>
      </c>
      <c r="E1018" s="158"/>
      <c r="F1018" s="174"/>
      <c r="G1018" s="175"/>
      <c r="H1018" s="176">
        <f>SUM(H1010,H1003:H1006,H1002)</f>
        <v>391862.6</v>
      </c>
      <c r="I1018" s="177"/>
      <c r="J1018" s="177"/>
      <c r="K1018" s="176">
        <f>SUM(K1010,K1003:K1006,K1002)</f>
        <v>433531.33106995979</v>
      </c>
      <c r="L1018" s="178">
        <f>K1018-H1018</f>
        <v>41668.731069959817</v>
      </c>
      <c r="M1018" s="179">
        <f>IF((H1018)=0,"",(L1018/H1018))</f>
        <v>0.10633505486351548</v>
      </c>
    </row>
    <row r="1019" spans="1:13" hidden="1" x14ac:dyDescent="0.25">
      <c r="A1019" s="100" t="str">
        <f t="shared" si="143"/>
        <v>GENERAL SERVICE 1,000 TO 4,999 KW SERVICE CLASSIFICATION</v>
      </c>
      <c r="B1019" s="100" t="s">
        <v>180</v>
      </c>
      <c r="C1019" s="117"/>
      <c r="D1019" s="180" t="s">
        <v>184</v>
      </c>
      <c r="E1019" s="158"/>
      <c r="F1019" s="174">
        <v>0.13</v>
      </c>
      <c r="G1019" s="175"/>
      <c r="H1019" s="182">
        <f>H1018*F1019</f>
        <v>50942.137999999999</v>
      </c>
      <c r="I1019" s="174">
        <v>0.13</v>
      </c>
      <c r="J1019" s="183"/>
      <c r="K1019" s="182">
        <f>K1018*I1019</f>
        <v>56359.073039094772</v>
      </c>
      <c r="L1019" s="184">
        <f>K1019-H1019</f>
        <v>5416.9350390947729</v>
      </c>
      <c r="M1019" s="185">
        <f>IF((H1019)=0,"",(L1019/H1019))</f>
        <v>0.10633505486351541</v>
      </c>
    </row>
    <row r="1020" spans="1:13" hidden="1" x14ac:dyDescent="0.25">
      <c r="A1020" s="100" t="str">
        <f t="shared" si="143"/>
        <v>GENERAL SERVICE 1,000 TO 4,999 KW SERVICE CLASSIFICATION</v>
      </c>
      <c r="B1020" s="100" t="s">
        <v>180</v>
      </c>
      <c r="C1020" s="117"/>
      <c r="D1020" s="180" t="s">
        <v>185</v>
      </c>
      <c r="E1020" s="158"/>
      <c r="F1020" s="174">
        <v>0.08</v>
      </c>
      <c r="G1020" s="175"/>
      <c r="H1020" s="182">
        <v>0</v>
      </c>
      <c r="I1020" s="174">
        <v>0.08</v>
      </c>
      <c r="J1020" s="183"/>
      <c r="K1020" s="182">
        <v>0</v>
      </c>
      <c r="L1020" s="184"/>
      <c r="M1020" s="185"/>
    </row>
    <row r="1021" spans="1:13" ht="15.75" hidden="1" thickBot="1" x14ac:dyDescent="0.3">
      <c r="A1021" s="100" t="str">
        <f t="shared" si="143"/>
        <v>GENERAL SERVICE 1,000 TO 4,999 KW SERVICE CLASSIFICATION</v>
      </c>
      <c r="B1021" s="100" t="s">
        <v>189</v>
      </c>
      <c r="C1021" s="117"/>
      <c r="D1021" s="301" t="s">
        <v>188</v>
      </c>
      <c r="E1021" s="301"/>
      <c r="F1021" s="193"/>
      <c r="G1021" s="194"/>
      <c r="H1021" s="188">
        <f>SUM(H1018,H1019)</f>
        <v>442804.73799999995</v>
      </c>
      <c r="I1021" s="195"/>
      <c r="J1021" s="195"/>
      <c r="K1021" s="188">
        <f>SUM(K1018,K1019)</f>
        <v>489890.40410905459</v>
      </c>
      <c r="L1021" s="196">
        <f>K1021-H1021</f>
        <v>47085.66610905464</v>
      </c>
      <c r="M1021" s="197">
        <f>IF((H1021)=0,"",(L1021/H1021))</f>
        <v>0.10633505486351559</v>
      </c>
    </row>
    <row r="1022" spans="1:13" ht="15.75" hidden="1" thickBot="1" x14ac:dyDescent="0.3">
      <c r="A1022" s="100" t="str">
        <f t="shared" si="143"/>
        <v>GENERAL SERVICE 1,000 TO 4,999 KW SERVICE CLASSIFICATION</v>
      </c>
      <c r="B1022" s="100" t="s">
        <v>180</v>
      </c>
      <c r="C1022" s="117"/>
      <c r="D1022" s="165"/>
      <c r="E1022" s="166"/>
      <c r="F1022" s="198"/>
      <c r="G1022" s="199"/>
      <c r="H1022" s="200"/>
      <c r="I1022" s="198"/>
      <c r="J1022" s="168"/>
      <c r="K1022" s="200"/>
      <c r="L1022" s="201"/>
      <c r="M1022" s="172"/>
    </row>
    <row r="1023" spans="1:13" x14ac:dyDescent="0.25">
      <c r="A1023" s="100" t="str">
        <f t="shared" si="143"/>
        <v>GENERAL SERVICE 1,000 TO 4,999 KW SERVICE CLASSIFICATION</v>
      </c>
      <c r="B1023" s="100" t="s">
        <v>121</v>
      </c>
      <c r="C1023" s="117"/>
      <c r="D1023" s="173" t="s">
        <v>190</v>
      </c>
      <c r="E1023" s="158"/>
      <c r="F1023" s="174"/>
      <c r="G1023" s="175"/>
      <c r="H1023" s="176">
        <f>SUM(H1011,H1003:H1006,H1002)</f>
        <v>391862.6</v>
      </c>
      <c r="I1023" s="177"/>
      <c r="J1023" s="177"/>
      <c r="K1023" s="176">
        <f>SUM(K1011,K1003:K1006,K1002)</f>
        <v>433531.33106995979</v>
      </c>
      <c r="L1023" s="178">
        <f>K1023-H1023</f>
        <v>41668.731069959817</v>
      </c>
      <c r="M1023" s="179">
        <f>IF((H1023)=0,"",(L1023/H1023))</f>
        <v>0.10633505486351548</v>
      </c>
    </row>
    <row r="1024" spans="1:13" x14ac:dyDescent="0.25">
      <c r="A1024" s="100" t="str">
        <f t="shared" si="143"/>
        <v>GENERAL SERVICE 1,000 TO 4,999 KW SERVICE CLASSIFICATION</v>
      </c>
      <c r="B1024" s="100" t="s">
        <v>121</v>
      </c>
      <c r="C1024" s="117"/>
      <c r="D1024" s="180" t="s">
        <v>184</v>
      </c>
      <c r="E1024" s="158"/>
      <c r="F1024" s="174">
        <v>0.13</v>
      </c>
      <c r="G1024" s="175"/>
      <c r="H1024" s="182">
        <f>H1023*F1024</f>
        <v>50942.137999999999</v>
      </c>
      <c r="I1024" s="174">
        <v>0.13</v>
      </c>
      <c r="J1024" s="183"/>
      <c r="K1024" s="182">
        <f>K1023*I1024</f>
        <v>56359.073039094772</v>
      </c>
      <c r="L1024" s="184">
        <f>K1024-H1024</f>
        <v>5416.9350390947729</v>
      </c>
      <c r="M1024" s="185">
        <f>IF((H1024)=0,"",(L1024/H1024))</f>
        <v>0.10633505486351541</v>
      </c>
    </row>
    <row r="1025" spans="1:13" x14ac:dyDescent="0.25">
      <c r="A1025" s="100" t="str">
        <f t="shared" si="143"/>
        <v>GENERAL SERVICE 1,000 TO 4,999 KW SERVICE CLASSIFICATION</v>
      </c>
      <c r="B1025" s="100" t="s">
        <v>121</v>
      </c>
      <c r="C1025" s="117"/>
      <c r="D1025" s="180" t="s">
        <v>185</v>
      </c>
      <c r="E1025" s="158"/>
      <c r="F1025" s="174">
        <v>0.08</v>
      </c>
      <c r="G1025" s="175"/>
      <c r="H1025" s="182">
        <v>0</v>
      </c>
      <c r="I1025" s="174">
        <v>0.08</v>
      </c>
      <c r="J1025" s="183"/>
      <c r="K1025" s="182">
        <v>0</v>
      </c>
      <c r="L1025" s="184"/>
      <c r="M1025" s="185"/>
    </row>
    <row r="1026" spans="1:13" ht="15.75" thickBot="1" x14ac:dyDescent="0.3">
      <c r="A1026" s="100" t="str">
        <f t="shared" si="143"/>
        <v>GENERAL SERVICE 1,000 TO 4,999 KW SERVICE CLASSIFICATION</v>
      </c>
      <c r="B1026" s="100" t="s">
        <v>191</v>
      </c>
      <c r="C1026" s="117">
        <f>B46</f>
        <v>17</v>
      </c>
      <c r="D1026" s="301" t="s">
        <v>190</v>
      </c>
      <c r="E1026" s="301"/>
      <c r="F1026" s="193"/>
      <c r="G1026" s="194"/>
      <c r="H1026" s="188">
        <f>SUM(H1023,H1024)</f>
        <v>442804.73799999995</v>
      </c>
      <c r="I1026" s="195"/>
      <c r="J1026" s="195"/>
      <c r="K1026" s="188">
        <f>SUM(K1023,K1024)</f>
        <v>489890.40410905459</v>
      </c>
      <c r="L1026" s="196">
        <f>K1026-H1026</f>
        <v>47085.66610905464</v>
      </c>
      <c r="M1026" s="197">
        <f>IF((H1026)=0,"",(L1026/H1026))</f>
        <v>0.10633505486351559</v>
      </c>
    </row>
    <row r="1027" spans="1:13" ht="15.75" thickBot="1" x14ac:dyDescent="0.3">
      <c r="A1027" s="100" t="str">
        <f t="shared" si="143"/>
        <v>GENERAL SERVICE 1,000 TO 4,999 KW SERVICE CLASSIFICATION</v>
      </c>
      <c r="B1027" s="100" t="s">
        <v>121</v>
      </c>
      <c r="C1027" s="117"/>
      <c r="D1027" s="165"/>
      <c r="E1027" s="166"/>
      <c r="F1027" s="202"/>
      <c r="G1027" s="203"/>
      <c r="H1027" s="204"/>
      <c r="I1027" s="202"/>
      <c r="J1027" s="205"/>
      <c r="K1027" s="204"/>
      <c r="L1027" s="206"/>
      <c r="M1027" s="207"/>
    </row>
    <row r="1030" spans="1:13" x14ac:dyDescent="0.25">
      <c r="C1030" s="100"/>
      <c r="D1030" s="101" t="s">
        <v>134</v>
      </c>
      <c r="E1030" s="302" t="str">
        <f>D47</f>
        <v>GENERAL SERVICE 50 TO 999 KW SERVICE CLASSIFICATION</v>
      </c>
      <c r="F1030" s="302"/>
      <c r="G1030" s="302"/>
      <c r="H1030" s="302"/>
      <c r="I1030" s="302"/>
      <c r="J1030" s="302"/>
      <c r="K1030" s="100" t="str">
        <f>IF(N47="DEMAND - INTERVAL","RTSR - INTERVAL METERED","")</f>
        <v/>
      </c>
    </row>
    <row r="1031" spans="1:13" x14ac:dyDescent="0.25">
      <c r="C1031" s="100"/>
      <c r="D1031" s="101" t="s">
        <v>135</v>
      </c>
      <c r="E1031" s="303" t="str">
        <f>H47</f>
        <v>RPP</v>
      </c>
      <c r="F1031" s="303"/>
      <c r="G1031" s="303"/>
      <c r="H1031" s="102"/>
      <c r="I1031" s="102"/>
    </row>
    <row r="1032" spans="1:13" ht="15.75" x14ac:dyDescent="0.25">
      <c r="C1032" s="100"/>
      <c r="D1032" s="101" t="s">
        <v>136</v>
      </c>
      <c r="E1032" s="103">
        <f>K47</f>
        <v>69000</v>
      </c>
      <c r="F1032" s="104" t="s">
        <v>137</v>
      </c>
      <c r="G1032" s="105"/>
      <c r="J1032" s="106"/>
      <c r="K1032" s="106"/>
      <c r="L1032" s="106"/>
      <c r="M1032" s="106"/>
    </row>
    <row r="1033" spans="1:13" ht="15.75" x14ac:dyDescent="0.25">
      <c r="C1033" s="100"/>
      <c r="D1033" s="101" t="s">
        <v>138</v>
      </c>
      <c r="E1033" s="103">
        <f>L47</f>
        <v>160</v>
      </c>
      <c r="F1033" s="107" t="s">
        <v>139</v>
      </c>
      <c r="G1033" s="108"/>
      <c r="H1033" s="109"/>
      <c r="I1033" s="109"/>
      <c r="J1033" s="109"/>
    </row>
    <row r="1034" spans="1:13" x14ac:dyDescent="0.25">
      <c r="C1034" s="100"/>
      <c r="D1034" s="101" t="s">
        <v>140</v>
      </c>
      <c r="E1034" s="110">
        <f>I47</f>
        <v>1.056</v>
      </c>
    </row>
    <row r="1035" spans="1:13" x14ac:dyDescent="0.25">
      <c r="C1035" s="100"/>
      <c r="D1035" s="101" t="s">
        <v>141</v>
      </c>
      <c r="E1035" s="110">
        <f>J47</f>
        <v>1.056</v>
      </c>
    </row>
    <row r="1036" spans="1:13" x14ac:dyDescent="0.25">
      <c r="C1036" s="100"/>
      <c r="D1036" s="105"/>
    </row>
    <row r="1037" spans="1:13" x14ac:dyDescent="0.25">
      <c r="C1037" s="100"/>
      <c r="D1037" s="105"/>
      <c r="E1037" s="111"/>
      <c r="F1037" s="304" t="s">
        <v>142</v>
      </c>
      <c r="G1037" s="305"/>
      <c r="H1037" s="306"/>
      <c r="I1037" s="304" t="s">
        <v>143</v>
      </c>
      <c r="J1037" s="305"/>
      <c r="K1037" s="306"/>
      <c r="L1037" s="304" t="s">
        <v>144</v>
      </c>
      <c r="M1037" s="306"/>
    </row>
    <row r="1038" spans="1:13" x14ac:dyDescent="0.25">
      <c r="C1038" s="100"/>
      <c r="D1038" s="105"/>
      <c r="E1038" s="295"/>
      <c r="F1038" s="112" t="s">
        <v>145</v>
      </c>
      <c r="G1038" s="112" t="s">
        <v>146</v>
      </c>
      <c r="H1038" s="113" t="s">
        <v>147</v>
      </c>
      <c r="I1038" s="112" t="s">
        <v>145</v>
      </c>
      <c r="J1038" s="114" t="s">
        <v>146</v>
      </c>
      <c r="K1038" s="113" t="s">
        <v>147</v>
      </c>
      <c r="L1038" s="297" t="s">
        <v>148</v>
      </c>
      <c r="M1038" s="299" t="s">
        <v>149</v>
      </c>
    </row>
    <row r="1039" spans="1:13" x14ac:dyDescent="0.25">
      <c r="C1039" s="100"/>
      <c r="D1039" s="105"/>
      <c r="E1039" s="296"/>
      <c r="F1039" s="115" t="s">
        <v>150</v>
      </c>
      <c r="G1039" s="115"/>
      <c r="H1039" s="116" t="s">
        <v>150</v>
      </c>
      <c r="I1039" s="115" t="s">
        <v>150</v>
      </c>
      <c r="J1039" s="116"/>
      <c r="K1039" s="116" t="s">
        <v>150</v>
      </c>
      <c r="L1039" s="298"/>
      <c r="M1039" s="300"/>
    </row>
    <row r="1040" spans="1:13" x14ac:dyDescent="0.25">
      <c r="A1040" s="100" t="str">
        <f>$E1030</f>
        <v>GENERAL SERVICE 50 TO 999 KW SERVICE CLASSIFICATION</v>
      </c>
      <c r="C1040" s="117"/>
      <c r="D1040" s="118" t="s">
        <v>151</v>
      </c>
      <c r="E1040" s="119"/>
      <c r="F1040" s="120">
        <v>86.83</v>
      </c>
      <c r="G1040" s="121">
        <v>1</v>
      </c>
      <c r="H1040" s="122">
        <f>G1040*F1040</f>
        <v>86.83</v>
      </c>
      <c r="I1040" s="123">
        <v>87.87</v>
      </c>
      <c r="J1040" s="124">
        <f>G1040</f>
        <v>1</v>
      </c>
      <c r="K1040" s="122">
        <f>J1040*I1040</f>
        <v>87.87</v>
      </c>
      <c r="L1040" s="125">
        <f t="shared" ref="L1040:L1061" si="148">K1040-H1040</f>
        <v>1.0400000000000063</v>
      </c>
      <c r="M1040" s="126">
        <f>IF(ISERROR(L1040/H1040), "", L1040/H1040)</f>
        <v>1.1977427156512798E-2</v>
      </c>
    </row>
    <row r="1041" spans="1:13" x14ac:dyDescent="0.25">
      <c r="A1041" s="100" t="str">
        <f>A1040</f>
        <v>GENERAL SERVICE 50 TO 999 KW SERVICE CLASSIFICATION</v>
      </c>
      <c r="C1041" s="117"/>
      <c r="D1041" s="118" t="s">
        <v>152</v>
      </c>
      <c r="E1041" s="119"/>
      <c r="F1041" s="127">
        <v>3.8580000000000001</v>
      </c>
      <c r="G1041" s="121">
        <f>IF($E1033&gt;0, $E1033, $E1032)</f>
        <v>160</v>
      </c>
      <c r="H1041" s="122">
        <f t="shared" ref="H1041:H1053" si="149">G1041*F1041</f>
        <v>617.28</v>
      </c>
      <c r="I1041" s="128">
        <v>3.9043000000000001</v>
      </c>
      <c r="J1041" s="124">
        <f>IF($E1033&gt;0, $E1033, $E1032)</f>
        <v>160</v>
      </c>
      <c r="K1041" s="122">
        <f>J1041*I1041</f>
        <v>624.68799999999999</v>
      </c>
      <c r="L1041" s="125">
        <f t="shared" si="148"/>
        <v>7.4080000000000155</v>
      </c>
      <c r="M1041" s="126">
        <f t="shared" ref="M1041:M1051" si="150">IF(ISERROR(L1041/H1041), "", L1041/H1041)</f>
        <v>1.2001036806635588E-2</v>
      </c>
    </row>
    <row r="1042" spans="1:13" x14ac:dyDescent="0.25">
      <c r="A1042" s="100" t="str">
        <f t="shared" ref="A1042:A1083" si="151">A1041</f>
        <v>GENERAL SERVICE 50 TO 999 KW SERVICE CLASSIFICATION</v>
      </c>
      <c r="C1042" s="117"/>
      <c r="D1042" s="118" t="s">
        <v>153</v>
      </c>
      <c r="E1042" s="119"/>
      <c r="F1042" s="127"/>
      <c r="G1042" s="121">
        <f>IF($E1033&gt;0, $E1033, $E1032)</f>
        <v>160</v>
      </c>
      <c r="H1042" s="122">
        <v>0</v>
      </c>
      <c r="I1042" s="128"/>
      <c r="J1042" s="124">
        <f>IF($E1033&gt;0, $E1033, $E1032)</f>
        <v>160</v>
      </c>
      <c r="K1042" s="122">
        <v>0</v>
      </c>
      <c r="L1042" s="125"/>
      <c r="M1042" s="126"/>
    </row>
    <row r="1043" spans="1:13" x14ac:dyDescent="0.25">
      <c r="A1043" s="100" t="str">
        <f t="shared" si="151"/>
        <v>GENERAL SERVICE 50 TO 999 KW SERVICE CLASSIFICATION</v>
      </c>
      <c r="C1043" s="117"/>
      <c r="D1043" s="118" t="s">
        <v>154</v>
      </c>
      <c r="E1043" s="119"/>
      <c r="F1043" s="127"/>
      <c r="G1043" s="121">
        <f>IF($E1033&gt;0, $E1033, $E1032)</f>
        <v>160</v>
      </c>
      <c r="H1043" s="122">
        <v>0</v>
      </c>
      <c r="I1043" s="128"/>
      <c r="J1043" s="121">
        <f>IF($E1033&gt;0, $E1033, $E1032)</f>
        <v>160</v>
      </c>
      <c r="K1043" s="122">
        <v>0</v>
      </c>
      <c r="L1043" s="125">
        <f>K1043-H1043</f>
        <v>0</v>
      </c>
      <c r="M1043" s="126" t="str">
        <f>IF(ISERROR(L1043/H1043), "", L1043/H1043)</f>
        <v/>
      </c>
    </row>
    <row r="1044" spans="1:13" x14ac:dyDescent="0.25">
      <c r="A1044" s="100" t="str">
        <f t="shared" si="151"/>
        <v>GENERAL SERVICE 50 TO 999 KW SERVICE CLASSIFICATION</v>
      </c>
      <c r="C1044" s="117"/>
      <c r="D1044" s="129" t="s">
        <v>155</v>
      </c>
      <c r="E1044" s="119"/>
      <c r="F1044" s="120">
        <v>0</v>
      </c>
      <c r="G1044" s="121">
        <v>1</v>
      </c>
      <c r="H1044" s="122">
        <f t="shared" si="149"/>
        <v>0</v>
      </c>
      <c r="I1044" s="226">
        <f>'Rate Riders'!O10</f>
        <v>15.382147986295536</v>
      </c>
      <c r="J1044" s="124">
        <f>G1044</f>
        <v>1</v>
      </c>
      <c r="K1044" s="122">
        <f t="shared" ref="K1044:K1051" si="152">J1044*I1044</f>
        <v>15.382147986295536</v>
      </c>
      <c r="L1044" s="125">
        <f t="shared" si="148"/>
        <v>15.382147986295536</v>
      </c>
      <c r="M1044" s="126" t="str">
        <f t="shared" si="150"/>
        <v/>
      </c>
    </row>
    <row r="1045" spans="1:13" x14ac:dyDescent="0.25">
      <c r="A1045" s="100" t="str">
        <f t="shared" si="151"/>
        <v>GENERAL SERVICE 50 TO 999 KW SERVICE CLASSIFICATION</v>
      </c>
      <c r="C1045" s="117"/>
      <c r="D1045" s="118" t="s">
        <v>156</v>
      </c>
      <c r="E1045" s="119"/>
      <c r="F1045" s="127">
        <v>0</v>
      </c>
      <c r="G1045" s="121">
        <f>IF($E1033&gt;0, $E1033, $E1032)</f>
        <v>160</v>
      </c>
      <c r="H1045" s="122">
        <f t="shared" si="149"/>
        <v>0</v>
      </c>
      <c r="I1045" s="227">
        <f>'Rate Riders'!Q10</f>
        <v>0.68345418554794635</v>
      </c>
      <c r="J1045" s="124">
        <f>IF($E1033&gt;0, $E1033, $E1032)</f>
        <v>160</v>
      </c>
      <c r="K1045" s="122">
        <f t="shared" si="152"/>
        <v>109.35266968767141</v>
      </c>
      <c r="L1045" s="125">
        <f t="shared" si="148"/>
        <v>109.35266968767141</v>
      </c>
      <c r="M1045" s="126" t="str">
        <f t="shared" si="150"/>
        <v/>
      </c>
    </row>
    <row r="1046" spans="1:13" x14ac:dyDescent="0.25">
      <c r="A1046" s="100" t="str">
        <f t="shared" si="151"/>
        <v>GENERAL SERVICE 50 TO 999 KW SERVICE CLASSIFICATION</v>
      </c>
      <c r="B1046" s="130" t="s">
        <v>157</v>
      </c>
      <c r="C1046" s="117">
        <f>B47</f>
        <v>18</v>
      </c>
      <c r="D1046" s="131" t="s">
        <v>158</v>
      </c>
      <c r="E1046" s="132"/>
      <c r="F1046" s="133"/>
      <c r="G1046" s="134"/>
      <c r="H1046" s="135">
        <f>SUM(H1040:H1045)</f>
        <v>704.11</v>
      </c>
      <c r="I1046" s="136"/>
      <c r="J1046" s="137"/>
      <c r="K1046" s="135">
        <f>SUM(K1040:K1045)</f>
        <v>837.29281767396697</v>
      </c>
      <c r="L1046" s="138">
        <f t="shared" si="148"/>
        <v>133.18281767396695</v>
      </c>
      <c r="M1046" s="139">
        <f>IF((H1046)=0,"",(L1046/H1046))</f>
        <v>0.18915058396268616</v>
      </c>
    </row>
    <row r="1047" spans="1:13" x14ac:dyDescent="0.25">
      <c r="A1047" s="100" t="str">
        <f t="shared" si="151"/>
        <v>GENERAL SERVICE 50 TO 999 KW SERVICE CLASSIFICATION</v>
      </c>
      <c r="C1047" s="117"/>
      <c r="D1047" s="140" t="s">
        <v>159</v>
      </c>
      <c r="E1047" s="119"/>
      <c r="F1047" s="127">
        <f>IF((E1032*12&gt;=150000), 0, IF(E1031="RPP",(F1063*0.65+F1064*0.17+F1065*0.18),IF(E1031="Non-RPP (Retailer)",F1066,F1067)))</f>
        <v>0</v>
      </c>
      <c r="G1047" s="141">
        <f>IF(F1047=0, 0, $E1032*E1034-E1032)</f>
        <v>0</v>
      </c>
      <c r="H1047" s="122">
        <f>G1047*F1047</f>
        <v>0</v>
      </c>
      <c r="I1047" s="128">
        <f>IF((E1032*12&gt;=150000), 0, IF(E1031="RPP",(I1063*0.65+I1064*0.17+I1065*0.18),IF(E1031="Non-RPP (Retailer)",I1066,I1067)))</f>
        <v>0</v>
      </c>
      <c r="J1047" s="141">
        <f>IF(I1047=0, 0, E1032*E1035-E1032)</f>
        <v>0</v>
      </c>
      <c r="K1047" s="122">
        <f>J1047*I1047</f>
        <v>0</v>
      </c>
      <c r="L1047" s="125">
        <f>K1047-H1047</f>
        <v>0</v>
      </c>
      <c r="M1047" s="126" t="str">
        <f>IF(ISERROR(L1047/H1047), "", L1047/H1047)</f>
        <v/>
      </c>
    </row>
    <row r="1048" spans="1:13" ht="25.5" x14ac:dyDescent="0.25">
      <c r="A1048" s="100" t="str">
        <f t="shared" si="151"/>
        <v>GENERAL SERVICE 50 TO 999 KW SERVICE CLASSIFICATION</v>
      </c>
      <c r="C1048" s="117"/>
      <c r="D1048" s="140" t="s">
        <v>160</v>
      </c>
      <c r="E1048" s="119"/>
      <c r="F1048" s="127">
        <v>-0.70650000000000002</v>
      </c>
      <c r="G1048" s="142">
        <f>IF($E1033&gt;0, $E1033, $E1032)</f>
        <v>160</v>
      </c>
      <c r="H1048" s="122">
        <f t="shared" si="149"/>
        <v>-113.04</v>
      </c>
      <c r="I1048" s="128">
        <v>-1.7801</v>
      </c>
      <c r="J1048" s="142">
        <f>IF($E1033&gt;0, $E1033, $E1032)</f>
        <v>160</v>
      </c>
      <c r="K1048" s="122">
        <f t="shared" si="152"/>
        <v>-284.81600000000003</v>
      </c>
      <c r="L1048" s="125">
        <f t="shared" si="148"/>
        <v>-171.77600000000001</v>
      </c>
      <c r="M1048" s="126">
        <f t="shared" si="150"/>
        <v>1.5196036801132342</v>
      </c>
    </row>
    <row r="1049" spans="1:13" x14ac:dyDescent="0.25">
      <c r="A1049" s="100" t="str">
        <f t="shared" si="151"/>
        <v>GENERAL SERVICE 50 TO 999 KW SERVICE CLASSIFICATION</v>
      </c>
      <c r="C1049" s="117"/>
      <c r="D1049" s="140" t="s">
        <v>161</v>
      </c>
      <c r="E1049" s="119"/>
      <c r="F1049" s="127">
        <v>-2.76E-2</v>
      </c>
      <c r="G1049" s="142">
        <f>IF($E1033&gt;0, $E1033, $E1032)</f>
        <v>160</v>
      </c>
      <c r="H1049" s="122">
        <f>G1049*F1049</f>
        <v>-4.4160000000000004</v>
      </c>
      <c r="I1049" s="128">
        <v>0</v>
      </c>
      <c r="J1049" s="142">
        <f>IF($E1033&gt;0, $E1033, $E1032)</f>
        <v>160</v>
      </c>
      <c r="K1049" s="122">
        <f>J1049*I1049</f>
        <v>0</v>
      </c>
      <c r="L1049" s="125">
        <f t="shared" si="148"/>
        <v>4.4160000000000004</v>
      </c>
      <c r="M1049" s="126">
        <f t="shared" si="150"/>
        <v>-1</v>
      </c>
    </row>
    <row r="1050" spans="1:13" x14ac:dyDescent="0.25">
      <c r="A1050" s="100" t="str">
        <f t="shared" si="151"/>
        <v>GENERAL SERVICE 50 TO 999 KW SERVICE CLASSIFICATION</v>
      </c>
      <c r="C1050" s="117"/>
      <c r="D1050" s="140" t="s">
        <v>162</v>
      </c>
      <c r="E1050" s="119"/>
      <c r="F1050" s="127">
        <v>0</v>
      </c>
      <c r="G1050" s="142">
        <f>E1032</f>
        <v>69000</v>
      </c>
      <c r="H1050" s="122">
        <f>G1050*F1050</f>
        <v>0</v>
      </c>
      <c r="I1050" s="128">
        <v>0</v>
      </c>
      <c r="J1050" s="142">
        <f>E1032</f>
        <v>69000</v>
      </c>
      <c r="K1050" s="122">
        <f t="shared" si="152"/>
        <v>0</v>
      </c>
      <c r="L1050" s="125">
        <f t="shared" si="148"/>
        <v>0</v>
      </c>
      <c r="M1050" s="126" t="str">
        <f t="shared" si="150"/>
        <v/>
      </c>
    </row>
    <row r="1051" spans="1:13" x14ac:dyDescent="0.25">
      <c r="A1051" s="100" t="str">
        <f t="shared" si="151"/>
        <v>GENERAL SERVICE 50 TO 999 KW SERVICE CLASSIFICATION</v>
      </c>
      <c r="C1051" s="117"/>
      <c r="D1051" s="143" t="s">
        <v>163</v>
      </c>
      <c r="E1051" s="119"/>
      <c r="F1051" s="127">
        <v>1.0483</v>
      </c>
      <c r="G1051" s="142">
        <f>IF($E1033&gt;0, $E1033, $E1032)</f>
        <v>160</v>
      </c>
      <c r="H1051" s="122">
        <f t="shared" si="149"/>
        <v>167.72800000000001</v>
      </c>
      <c r="I1051" s="128">
        <v>1.0483</v>
      </c>
      <c r="J1051" s="142">
        <f>IF($E1033&gt;0, $E1033, $E1032)</f>
        <v>160</v>
      </c>
      <c r="K1051" s="122">
        <f t="shared" si="152"/>
        <v>167.72800000000001</v>
      </c>
      <c r="L1051" s="125">
        <f t="shared" si="148"/>
        <v>0</v>
      </c>
      <c r="M1051" s="126">
        <f t="shared" si="150"/>
        <v>0</v>
      </c>
    </row>
    <row r="1052" spans="1:13" ht="25.5" x14ac:dyDescent="0.25">
      <c r="A1052" s="100" t="str">
        <f t="shared" si="151"/>
        <v>GENERAL SERVICE 50 TO 999 KW SERVICE CLASSIFICATION</v>
      </c>
      <c r="C1052" s="117"/>
      <c r="D1052" s="144" t="s">
        <v>164</v>
      </c>
      <c r="E1052" s="119"/>
      <c r="F1052" s="145">
        <f>IF(OR(ISNUMBER(SEARCH("RESIDENTIAL", E1030))=TRUE, ISNUMBER(SEARCH("GENERAL SERVICE LESS THAN 50", E1030))=TRUE), SME, 0)</f>
        <v>0</v>
      </c>
      <c r="G1052" s="121">
        <v>1</v>
      </c>
      <c r="H1052" s="122">
        <f>G1052*F1052</f>
        <v>0</v>
      </c>
      <c r="I1052" s="146">
        <f>IF(OR(ISNUMBER(SEARCH("RESIDENTIAL", E1030))=TRUE, ISNUMBER(SEARCH("GENERAL SERVICE LESS THAN 50", E1030))=TRUE), SME, 0)</f>
        <v>0</v>
      </c>
      <c r="J1052" s="121">
        <v>1</v>
      </c>
      <c r="K1052" s="122">
        <f>J1052*I1052</f>
        <v>0</v>
      </c>
      <c r="L1052" s="125">
        <f t="shared" si="148"/>
        <v>0</v>
      </c>
      <c r="M1052" s="126" t="str">
        <f>IF(ISERROR(L1052/H1052), "", L1052/H1052)</f>
        <v/>
      </c>
    </row>
    <row r="1053" spans="1:13" x14ac:dyDescent="0.25">
      <c r="A1053" s="100" t="str">
        <f t="shared" si="151"/>
        <v>GENERAL SERVICE 50 TO 999 KW SERVICE CLASSIFICATION</v>
      </c>
      <c r="C1053" s="117"/>
      <c r="D1053" s="143" t="s">
        <v>165</v>
      </c>
      <c r="E1053" s="119"/>
      <c r="F1053" s="120">
        <v>0</v>
      </c>
      <c r="G1053" s="121">
        <v>1</v>
      </c>
      <c r="H1053" s="122">
        <f t="shared" si="149"/>
        <v>0</v>
      </c>
      <c r="I1053" s="123">
        <v>0</v>
      </c>
      <c r="J1053" s="121">
        <v>1</v>
      </c>
      <c r="K1053" s="122">
        <f>J1053*I1053</f>
        <v>0</v>
      </c>
      <c r="L1053" s="125">
        <f>K1053-H1053</f>
        <v>0</v>
      </c>
      <c r="M1053" s="126" t="str">
        <f>IF(ISERROR(L1053/H1053), "", L1053/H1053)</f>
        <v/>
      </c>
    </row>
    <row r="1054" spans="1:13" x14ac:dyDescent="0.25">
      <c r="A1054" s="100" t="str">
        <f t="shared" si="151"/>
        <v>GENERAL SERVICE 50 TO 999 KW SERVICE CLASSIFICATION</v>
      </c>
      <c r="C1054" s="117"/>
      <c r="D1054" s="143" t="s">
        <v>166</v>
      </c>
      <c r="E1054" s="119"/>
      <c r="F1054" s="127"/>
      <c r="G1054" s="142">
        <f>IF($E1033&gt;0, $E1033, $E1032)</f>
        <v>160</v>
      </c>
      <c r="H1054" s="122">
        <f>G1054*F1054</f>
        <v>0</v>
      </c>
      <c r="I1054" s="128">
        <v>0</v>
      </c>
      <c r="J1054" s="142">
        <f>IF($E1033&gt;0, $E1033, $E1032)</f>
        <v>160</v>
      </c>
      <c r="K1054" s="122">
        <f>J1054*I1054</f>
        <v>0</v>
      </c>
      <c r="L1054" s="125">
        <f t="shared" si="148"/>
        <v>0</v>
      </c>
      <c r="M1054" s="126" t="str">
        <f>IF(ISERROR(L1054/H1054), "", L1054/H1054)</f>
        <v/>
      </c>
    </row>
    <row r="1055" spans="1:13" ht="25.5" x14ac:dyDescent="0.25">
      <c r="A1055" s="100" t="str">
        <f t="shared" si="151"/>
        <v>GENERAL SERVICE 50 TO 999 KW SERVICE CLASSIFICATION</v>
      </c>
      <c r="B1055" s="105" t="s">
        <v>167</v>
      </c>
      <c r="C1055" s="117">
        <f>B47</f>
        <v>18</v>
      </c>
      <c r="D1055" s="147" t="s">
        <v>168</v>
      </c>
      <c r="E1055" s="148"/>
      <c r="F1055" s="149"/>
      <c r="G1055" s="150"/>
      <c r="H1055" s="151">
        <f>SUM(H1046:H1054)</f>
        <v>754.38200000000006</v>
      </c>
      <c r="I1055" s="152"/>
      <c r="J1055" s="153"/>
      <c r="K1055" s="151">
        <f>SUM(K1046:K1054)</f>
        <v>720.204817673967</v>
      </c>
      <c r="L1055" s="138">
        <f t="shared" si="148"/>
        <v>-34.177182326033062</v>
      </c>
      <c r="M1055" s="139">
        <f>IF((H1055)=0,"",(L1055/H1055))</f>
        <v>-4.5304875150829496E-2</v>
      </c>
    </row>
    <row r="1056" spans="1:13" x14ac:dyDescent="0.25">
      <c r="A1056" s="100" t="str">
        <f t="shared" si="151"/>
        <v>GENERAL SERVICE 50 TO 999 KW SERVICE CLASSIFICATION</v>
      </c>
      <c r="C1056" s="117"/>
      <c r="D1056" s="154" t="s">
        <v>169</v>
      </c>
      <c r="E1056" s="119"/>
      <c r="F1056" s="127">
        <v>2.6217000000000001</v>
      </c>
      <c r="G1056" s="141">
        <f>IF($E1033&gt;0, $E1033, $E1032*$E1034)</f>
        <v>160</v>
      </c>
      <c r="H1056" s="122">
        <f>G1056*F1056</f>
        <v>419.47200000000004</v>
      </c>
      <c r="I1056" s="128">
        <v>2.4868999999999999</v>
      </c>
      <c r="J1056" s="141">
        <f>IF($E1033&gt;0, $E1033, $E1032*$E1035)</f>
        <v>160</v>
      </c>
      <c r="K1056" s="122">
        <f>J1056*I1056</f>
        <v>397.904</v>
      </c>
      <c r="L1056" s="125">
        <f t="shared" si="148"/>
        <v>-21.56800000000004</v>
      </c>
      <c r="M1056" s="126">
        <f>IF(ISERROR(L1056/H1056), "", L1056/H1056)</f>
        <v>-5.1417019491169946E-2</v>
      </c>
    </row>
    <row r="1057" spans="1:13" ht="25.5" x14ac:dyDescent="0.25">
      <c r="A1057" s="100" t="str">
        <f t="shared" si="151"/>
        <v>GENERAL SERVICE 50 TO 999 KW SERVICE CLASSIFICATION</v>
      </c>
      <c r="C1057" s="117"/>
      <c r="D1057" s="155" t="s">
        <v>170</v>
      </c>
      <c r="E1057" s="119"/>
      <c r="F1057" s="127">
        <v>2.2145999999999999</v>
      </c>
      <c r="G1057" s="141">
        <f>IF($E1033&gt;0, $E1033, $E1032*$E1034)</f>
        <v>160</v>
      </c>
      <c r="H1057" s="122">
        <f>G1057*F1057</f>
        <v>354.33600000000001</v>
      </c>
      <c r="I1057" s="128">
        <v>2.0933000000000002</v>
      </c>
      <c r="J1057" s="141">
        <f>IF($E1033&gt;0, $E1033, $E1032*$E1035)</f>
        <v>160</v>
      </c>
      <c r="K1057" s="122">
        <f>J1057*I1057</f>
        <v>334.928</v>
      </c>
      <c r="L1057" s="125">
        <f t="shared" si="148"/>
        <v>-19.408000000000015</v>
      </c>
      <c r="M1057" s="126">
        <f>IF(ISERROR(L1057/H1057), "", L1057/H1057)</f>
        <v>-5.477287094734945E-2</v>
      </c>
    </row>
    <row r="1058" spans="1:13" ht="25.5" x14ac:dyDescent="0.25">
      <c r="A1058" s="100" t="str">
        <f t="shared" si="151"/>
        <v>GENERAL SERVICE 50 TO 999 KW SERVICE CLASSIFICATION</v>
      </c>
      <c r="B1058" s="105" t="s">
        <v>171</v>
      </c>
      <c r="C1058" s="117">
        <f>B47</f>
        <v>18</v>
      </c>
      <c r="D1058" s="147" t="s">
        <v>172</v>
      </c>
      <c r="E1058" s="132"/>
      <c r="F1058" s="149"/>
      <c r="G1058" s="150"/>
      <c r="H1058" s="151">
        <f>SUM(H1055:H1057)</f>
        <v>1528.19</v>
      </c>
      <c r="I1058" s="152"/>
      <c r="J1058" s="137"/>
      <c r="K1058" s="151">
        <f>SUM(K1055:K1057)</f>
        <v>1453.0368176739671</v>
      </c>
      <c r="L1058" s="138">
        <f t="shared" si="148"/>
        <v>-75.153182326032947</v>
      </c>
      <c r="M1058" s="139">
        <f>IF((H1058)=0,"",(L1058/H1058))</f>
        <v>-4.9177904793273705E-2</v>
      </c>
    </row>
    <row r="1059" spans="1:13" ht="25.5" x14ac:dyDescent="0.25">
      <c r="A1059" s="100" t="str">
        <f t="shared" si="151"/>
        <v>GENERAL SERVICE 50 TO 999 KW SERVICE CLASSIFICATION</v>
      </c>
      <c r="C1059" s="117"/>
      <c r="D1059" s="156" t="s">
        <v>173</v>
      </c>
      <c r="E1059" s="119"/>
      <c r="F1059" s="127">
        <v>3.6000000000000003E-3</v>
      </c>
      <c r="G1059" s="141">
        <f>E1032*E1034</f>
        <v>72864</v>
      </c>
      <c r="H1059" s="157">
        <f t="shared" ref="H1059:H1065" si="153">G1059*F1059</f>
        <v>262.31040000000002</v>
      </c>
      <c r="I1059" s="128">
        <v>3.6000000000000003E-3</v>
      </c>
      <c r="J1059" s="141">
        <f>E1032*E1035</f>
        <v>72864</v>
      </c>
      <c r="K1059" s="157">
        <f t="shared" ref="K1059:K1065" si="154">J1059*I1059</f>
        <v>262.31040000000002</v>
      </c>
      <c r="L1059" s="125">
        <f t="shared" si="148"/>
        <v>0</v>
      </c>
      <c r="M1059" s="126">
        <f t="shared" ref="M1059:M1067" si="155">IF(ISERROR(L1059/H1059), "", L1059/H1059)</f>
        <v>0</v>
      </c>
    </row>
    <row r="1060" spans="1:13" ht="25.5" x14ac:dyDescent="0.25">
      <c r="A1060" s="100" t="str">
        <f t="shared" si="151"/>
        <v>GENERAL SERVICE 50 TO 999 KW SERVICE CLASSIFICATION</v>
      </c>
      <c r="C1060" s="117"/>
      <c r="D1060" s="156" t="s">
        <v>174</v>
      </c>
      <c r="E1060" s="119"/>
      <c r="F1060" s="127">
        <f>'[1]17. Regulatory Charges'!$D$16</f>
        <v>2.9999999999999997E-4</v>
      </c>
      <c r="G1060" s="141">
        <f>E1032*E1034</f>
        <v>72864</v>
      </c>
      <c r="H1060" s="157">
        <f t="shared" si="153"/>
        <v>21.859199999999998</v>
      </c>
      <c r="I1060" s="128">
        <v>2.9999999999999997E-4</v>
      </c>
      <c r="J1060" s="141">
        <f>E1032*E1035</f>
        <v>72864</v>
      </c>
      <c r="K1060" s="157">
        <f t="shared" si="154"/>
        <v>21.859199999999998</v>
      </c>
      <c r="L1060" s="125">
        <f t="shared" si="148"/>
        <v>0</v>
      </c>
      <c r="M1060" s="126">
        <f t="shared" si="155"/>
        <v>0</v>
      </c>
    </row>
    <row r="1061" spans="1:13" x14ac:dyDescent="0.25">
      <c r="A1061" s="100" t="str">
        <f t="shared" si="151"/>
        <v>GENERAL SERVICE 50 TO 999 KW SERVICE CLASSIFICATION</v>
      </c>
      <c r="C1061" s="117"/>
      <c r="D1061" s="158" t="s">
        <v>175</v>
      </c>
      <c r="E1061" s="119"/>
      <c r="F1061" s="145">
        <v>0.25</v>
      </c>
      <c r="G1061" s="121">
        <v>1</v>
      </c>
      <c r="H1061" s="157">
        <f t="shared" si="153"/>
        <v>0.25</v>
      </c>
      <c r="I1061" s="146">
        <f>'[1]17. Regulatory Charges'!$D$17</f>
        <v>0.25</v>
      </c>
      <c r="J1061" s="124">
        <v>1</v>
      </c>
      <c r="K1061" s="157">
        <f t="shared" si="154"/>
        <v>0.25</v>
      </c>
      <c r="L1061" s="125">
        <f t="shared" si="148"/>
        <v>0</v>
      </c>
      <c r="M1061" s="126">
        <f t="shared" si="155"/>
        <v>0</v>
      </c>
    </row>
    <row r="1062" spans="1:13" ht="25.5" x14ac:dyDescent="0.25">
      <c r="A1062" s="100" t="str">
        <f t="shared" si="151"/>
        <v>GENERAL SERVICE 50 TO 999 KW SERVICE CLASSIFICATION</v>
      </c>
      <c r="C1062" s="117"/>
      <c r="D1062" s="156" t="s">
        <v>176</v>
      </c>
      <c r="E1062" s="119"/>
      <c r="F1062" s="127"/>
      <c r="G1062" s="141"/>
      <c r="H1062" s="157"/>
      <c r="I1062" s="128"/>
      <c r="J1062" s="141"/>
      <c r="K1062" s="157"/>
      <c r="L1062" s="125"/>
      <c r="M1062" s="126"/>
    </row>
    <row r="1063" spans="1:13" x14ac:dyDescent="0.25">
      <c r="A1063" s="100" t="str">
        <f t="shared" si="151"/>
        <v>GENERAL SERVICE 50 TO 999 KW SERVICE CLASSIFICATION</v>
      </c>
      <c r="B1063" s="105" t="s">
        <v>117</v>
      </c>
      <c r="C1063" s="117"/>
      <c r="D1063" s="159" t="s">
        <v>177</v>
      </c>
      <c r="E1063" s="119"/>
      <c r="F1063" s="160">
        <f>OffPeak</f>
        <v>6.5000000000000002E-2</v>
      </c>
      <c r="G1063" s="161">
        <f>IF(AND(E1032*12&gt;=150000),0.65*E1032*E1034,0.65*E1032)</f>
        <v>47361.600000000006</v>
      </c>
      <c r="H1063" s="157">
        <f t="shared" si="153"/>
        <v>3078.5040000000004</v>
      </c>
      <c r="I1063" s="162">
        <f>OffPeak</f>
        <v>6.5000000000000002E-2</v>
      </c>
      <c r="J1063" s="161">
        <f>IF(AND(E1032*12&gt;=150000),0.65*E1032*E1035,0.65*E1032)</f>
        <v>47361.600000000006</v>
      </c>
      <c r="K1063" s="157">
        <f t="shared" si="154"/>
        <v>3078.5040000000004</v>
      </c>
      <c r="L1063" s="125">
        <f>K1063-H1063</f>
        <v>0</v>
      </c>
      <c r="M1063" s="126">
        <f t="shared" si="155"/>
        <v>0</v>
      </c>
    </row>
    <row r="1064" spans="1:13" x14ac:dyDescent="0.25">
      <c r="A1064" s="100" t="str">
        <f t="shared" si="151"/>
        <v>GENERAL SERVICE 50 TO 999 KW SERVICE CLASSIFICATION</v>
      </c>
      <c r="B1064" s="105" t="s">
        <v>117</v>
      </c>
      <c r="C1064" s="117"/>
      <c r="D1064" s="159" t="s">
        <v>178</v>
      </c>
      <c r="E1064" s="119"/>
      <c r="F1064" s="160">
        <f>MidPeak</f>
        <v>9.4E-2</v>
      </c>
      <c r="G1064" s="161">
        <f>IF(AND(E1032*12&gt;=150000),0.17*E1032*E1034,0.17*E1032)</f>
        <v>12386.880000000001</v>
      </c>
      <c r="H1064" s="157">
        <f t="shared" si="153"/>
        <v>1164.36672</v>
      </c>
      <c r="I1064" s="162">
        <f>MidPeak</f>
        <v>9.4E-2</v>
      </c>
      <c r="J1064" s="161">
        <f>IF(AND(E1032*12&gt;=150000),0.17*E1032*E1035,0.17*E1032)</f>
        <v>12386.880000000001</v>
      </c>
      <c r="K1064" s="157">
        <f t="shared" si="154"/>
        <v>1164.36672</v>
      </c>
      <c r="L1064" s="125">
        <f>K1064-H1064</f>
        <v>0</v>
      </c>
      <c r="M1064" s="126">
        <f t="shared" si="155"/>
        <v>0</v>
      </c>
    </row>
    <row r="1065" spans="1:13" ht="15.75" thickBot="1" x14ac:dyDescent="0.3">
      <c r="A1065" s="100" t="str">
        <f t="shared" si="151"/>
        <v>GENERAL SERVICE 50 TO 999 KW SERVICE CLASSIFICATION</v>
      </c>
      <c r="B1065" s="105" t="s">
        <v>117</v>
      </c>
      <c r="C1065" s="117"/>
      <c r="D1065" s="105" t="s">
        <v>179</v>
      </c>
      <c r="E1065" s="119"/>
      <c r="F1065" s="160">
        <f>OnPeak</f>
        <v>0.13200000000000001</v>
      </c>
      <c r="G1065" s="161">
        <f>IF(AND(E1032*12&gt;=150000),0.18*E1032*E1034,0.18*E1032)</f>
        <v>13115.52</v>
      </c>
      <c r="H1065" s="157">
        <f t="shared" si="153"/>
        <v>1731.2486400000003</v>
      </c>
      <c r="I1065" s="162">
        <f>OnPeak</f>
        <v>0.13200000000000001</v>
      </c>
      <c r="J1065" s="161">
        <f>IF(AND(E1032*12&gt;=150000),0.18*E1032*E1035,0.18*E1032)</f>
        <v>13115.52</v>
      </c>
      <c r="K1065" s="157">
        <f t="shared" si="154"/>
        <v>1731.2486400000003</v>
      </c>
      <c r="L1065" s="125">
        <f>K1065-H1065</f>
        <v>0</v>
      </c>
      <c r="M1065" s="126">
        <f t="shared" si="155"/>
        <v>0</v>
      </c>
    </row>
    <row r="1066" spans="1:13" hidden="1" x14ac:dyDescent="0.25">
      <c r="A1066" s="100" t="str">
        <f t="shared" si="151"/>
        <v>GENERAL SERVICE 50 TO 999 KW SERVICE CLASSIFICATION</v>
      </c>
      <c r="B1066" s="100" t="s">
        <v>180</v>
      </c>
      <c r="C1066" s="117"/>
      <c r="D1066" s="159" t="s">
        <v>181</v>
      </c>
      <c r="E1066" s="119"/>
      <c r="F1066" s="163">
        <v>0.1101</v>
      </c>
      <c r="G1066" s="161">
        <f>IF(AND(E1032*12&gt;=150000),E1032*E1034,E1032)</f>
        <v>72864</v>
      </c>
      <c r="H1066" s="157">
        <f>G1066*F1066</f>
        <v>8022.3263999999999</v>
      </c>
      <c r="I1066" s="164">
        <f>F1066</f>
        <v>0.1101</v>
      </c>
      <c r="J1066" s="161">
        <f>IF(AND(E1032*12&gt;=150000),E1032*E1035,E1032)</f>
        <v>72864</v>
      </c>
      <c r="K1066" s="157">
        <f>J1066*I1066</f>
        <v>8022.3263999999999</v>
      </c>
      <c r="L1066" s="125">
        <f>K1066-H1066</f>
        <v>0</v>
      </c>
      <c r="M1066" s="126">
        <f t="shared" si="155"/>
        <v>0</v>
      </c>
    </row>
    <row r="1067" spans="1:13" ht="15.75" hidden="1" thickBot="1" x14ac:dyDescent="0.3">
      <c r="A1067" s="100" t="str">
        <f t="shared" si="151"/>
        <v>GENERAL SERVICE 50 TO 999 KW SERVICE CLASSIFICATION</v>
      </c>
      <c r="B1067" s="100" t="s">
        <v>121</v>
      </c>
      <c r="C1067" s="117"/>
      <c r="D1067" s="159" t="s">
        <v>182</v>
      </c>
      <c r="E1067" s="119"/>
      <c r="F1067" s="163">
        <v>0.1101</v>
      </c>
      <c r="G1067" s="161">
        <f>IF(AND(E1032*12&gt;=150000),E1032*E1034,E1032)</f>
        <v>72864</v>
      </c>
      <c r="H1067" s="157">
        <f>G1067*F1067</f>
        <v>8022.3263999999999</v>
      </c>
      <c r="I1067" s="164">
        <f>F1067</f>
        <v>0.1101</v>
      </c>
      <c r="J1067" s="161">
        <f>IF(AND(E1032*12&gt;=150000),E1032*E1035,E1032)</f>
        <v>72864</v>
      </c>
      <c r="K1067" s="157">
        <f>J1067*I1067</f>
        <v>8022.3263999999999</v>
      </c>
      <c r="L1067" s="125">
        <f>K1067-H1067</f>
        <v>0</v>
      </c>
      <c r="M1067" s="126">
        <f t="shared" si="155"/>
        <v>0</v>
      </c>
    </row>
    <row r="1068" spans="1:13" ht="15.75" thickBot="1" x14ac:dyDescent="0.3">
      <c r="A1068" s="100" t="str">
        <f t="shared" si="151"/>
        <v>GENERAL SERVICE 50 TO 999 KW SERVICE CLASSIFICATION</v>
      </c>
      <c r="B1068" s="105"/>
      <c r="C1068" s="117"/>
      <c r="D1068" s="165"/>
      <c r="E1068" s="166"/>
      <c r="F1068" s="167"/>
      <c r="G1068" s="168"/>
      <c r="H1068" s="169"/>
      <c r="I1068" s="167"/>
      <c r="J1068" s="170"/>
      <c r="K1068" s="169"/>
      <c r="L1068" s="171"/>
      <c r="M1068" s="172"/>
    </row>
    <row r="1069" spans="1:13" x14ac:dyDescent="0.25">
      <c r="A1069" s="100" t="str">
        <f t="shared" si="151"/>
        <v>GENERAL SERVICE 50 TO 999 KW SERVICE CLASSIFICATION</v>
      </c>
      <c r="B1069" s="105" t="s">
        <v>117</v>
      </c>
      <c r="C1069" s="117"/>
      <c r="D1069" s="173" t="s">
        <v>183</v>
      </c>
      <c r="E1069" s="158"/>
      <c r="F1069" s="174"/>
      <c r="G1069" s="175"/>
      <c r="H1069" s="176">
        <f>SUM(H1059:H1065,H1058)</f>
        <v>7786.7289600000004</v>
      </c>
      <c r="I1069" s="177"/>
      <c r="J1069" s="177"/>
      <c r="K1069" s="176">
        <f>SUM(K1059:K1065,K1058)</f>
        <v>7711.5757776739665</v>
      </c>
      <c r="L1069" s="178">
        <f>K1069-H1069</f>
        <v>-75.153182326033857</v>
      </c>
      <c r="M1069" s="179">
        <f>IF((H1069)=0,"",(L1069/H1069))</f>
        <v>-9.6514444912737599E-3</v>
      </c>
    </row>
    <row r="1070" spans="1:13" x14ac:dyDescent="0.25">
      <c r="A1070" s="100" t="str">
        <f t="shared" si="151"/>
        <v>GENERAL SERVICE 50 TO 999 KW SERVICE CLASSIFICATION</v>
      </c>
      <c r="B1070" s="105" t="s">
        <v>117</v>
      </c>
      <c r="C1070" s="117"/>
      <c r="D1070" s="180" t="s">
        <v>184</v>
      </c>
      <c r="E1070" s="158"/>
      <c r="F1070" s="174">
        <v>0.13</v>
      </c>
      <c r="G1070" s="181"/>
      <c r="H1070" s="182">
        <f>H1069*F1070</f>
        <v>1012.2747648000001</v>
      </c>
      <c r="I1070" s="183">
        <v>0.13</v>
      </c>
      <c r="J1070" s="121"/>
      <c r="K1070" s="182">
        <f>K1069*I1070</f>
        <v>1002.5048510976156</v>
      </c>
      <c r="L1070" s="184">
        <f>K1070-H1070</f>
        <v>-9.7699137023844287</v>
      </c>
      <c r="M1070" s="185">
        <f>IF((H1070)=0,"",(L1070/H1070))</f>
        <v>-9.6514444912737859E-3</v>
      </c>
    </row>
    <row r="1071" spans="1:13" x14ac:dyDescent="0.25">
      <c r="A1071" s="100" t="str">
        <f t="shared" si="151"/>
        <v>GENERAL SERVICE 50 TO 999 KW SERVICE CLASSIFICATION</v>
      </c>
      <c r="B1071" s="105" t="s">
        <v>117</v>
      </c>
      <c r="C1071" s="117"/>
      <c r="D1071" s="180" t="s">
        <v>185</v>
      </c>
      <c r="E1071" s="158"/>
      <c r="F1071" s="174">
        <v>0.08</v>
      </c>
      <c r="G1071" s="181"/>
      <c r="H1071" s="182">
        <v>0</v>
      </c>
      <c r="I1071" s="174">
        <v>0.08</v>
      </c>
      <c r="J1071" s="121"/>
      <c r="K1071" s="182">
        <v>0</v>
      </c>
      <c r="L1071" s="184">
        <f>K1071-H1071</f>
        <v>0</v>
      </c>
      <c r="M1071" s="185"/>
    </row>
    <row r="1072" spans="1:13" ht="15.75" thickBot="1" x14ac:dyDescent="0.3">
      <c r="A1072" s="100" t="str">
        <f t="shared" si="151"/>
        <v>GENERAL SERVICE 50 TO 999 KW SERVICE CLASSIFICATION</v>
      </c>
      <c r="B1072" s="105" t="s">
        <v>186</v>
      </c>
      <c r="C1072" s="117">
        <f>B47</f>
        <v>18</v>
      </c>
      <c r="D1072" s="301" t="s">
        <v>187</v>
      </c>
      <c r="E1072" s="301"/>
      <c r="F1072" s="186"/>
      <c r="G1072" s="187"/>
      <c r="H1072" s="188">
        <f>H1069+H1070+H1071</f>
        <v>8799.0037248000008</v>
      </c>
      <c r="I1072" s="189"/>
      <c r="J1072" s="189"/>
      <c r="K1072" s="190">
        <f>K1069+K1070+K1071</f>
        <v>8714.0806287715823</v>
      </c>
      <c r="L1072" s="191">
        <f>K1072-H1072</f>
        <v>-84.923096028418513</v>
      </c>
      <c r="M1072" s="192">
        <f>IF((H1072)=0,"",(L1072/H1072))</f>
        <v>-9.6514444912737876E-3</v>
      </c>
    </row>
    <row r="1073" spans="1:13" ht="15.75" hidden="1" thickBot="1" x14ac:dyDescent="0.3">
      <c r="A1073" s="100" t="str">
        <f t="shared" si="151"/>
        <v>GENERAL SERVICE 50 TO 999 KW SERVICE CLASSIFICATION</v>
      </c>
      <c r="B1073" s="100" t="s">
        <v>117</v>
      </c>
      <c r="C1073" s="117"/>
      <c r="D1073" s="165"/>
      <c r="E1073" s="166"/>
      <c r="F1073" s="167"/>
      <c r="G1073" s="168"/>
      <c r="H1073" s="169"/>
      <c r="I1073" s="167"/>
      <c r="J1073" s="170"/>
      <c r="K1073" s="169"/>
      <c r="L1073" s="171"/>
      <c r="M1073" s="172"/>
    </row>
    <row r="1074" spans="1:13" hidden="1" x14ac:dyDescent="0.25">
      <c r="A1074" s="100" t="str">
        <f t="shared" si="151"/>
        <v>GENERAL SERVICE 50 TO 999 KW SERVICE CLASSIFICATION</v>
      </c>
      <c r="B1074" s="100" t="s">
        <v>180</v>
      </c>
      <c r="C1074" s="117"/>
      <c r="D1074" s="173" t="s">
        <v>188</v>
      </c>
      <c r="E1074" s="158"/>
      <c r="F1074" s="174"/>
      <c r="G1074" s="175"/>
      <c r="H1074" s="176">
        <f>SUM(H1066,H1059:H1062,H1058)</f>
        <v>9834.9360000000015</v>
      </c>
      <c r="I1074" s="177"/>
      <c r="J1074" s="177"/>
      <c r="K1074" s="176">
        <f>SUM(K1066,K1059:K1062,K1058)</f>
        <v>9759.7828176739677</v>
      </c>
      <c r="L1074" s="178">
        <f>K1074-H1074</f>
        <v>-75.153182326033857</v>
      </c>
      <c r="M1074" s="179">
        <f>IF((H1074)=0,"",(L1074/H1074))</f>
        <v>-7.6414510807222176E-3</v>
      </c>
    </row>
    <row r="1075" spans="1:13" hidden="1" x14ac:dyDescent="0.25">
      <c r="A1075" s="100" t="str">
        <f t="shared" si="151"/>
        <v>GENERAL SERVICE 50 TO 999 KW SERVICE CLASSIFICATION</v>
      </c>
      <c r="B1075" s="100" t="s">
        <v>180</v>
      </c>
      <c r="C1075" s="117"/>
      <c r="D1075" s="180" t="s">
        <v>184</v>
      </c>
      <c r="E1075" s="158"/>
      <c r="F1075" s="174">
        <v>0.13</v>
      </c>
      <c r="G1075" s="175"/>
      <c r="H1075" s="182">
        <f>H1074*F1075</f>
        <v>1278.5416800000003</v>
      </c>
      <c r="I1075" s="174">
        <v>0.13</v>
      </c>
      <c r="J1075" s="183"/>
      <c r="K1075" s="182">
        <f>K1074*I1075</f>
        <v>1268.7717662976158</v>
      </c>
      <c r="L1075" s="184">
        <f>K1075-H1075</f>
        <v>-9.7699137023844287</v>
      </c>
      <c r="M1075" s="185">
        <f>IF((H1075)=0,"",(L1075/H1075))</f>
        <v>-7.6414510807222384E-3</v>
      </c>
    </row>
    <row r="1076" spans="1:13" hidden="1" x14ac:dyDescent="0.25">
      <c r="A1076" s="100" t="str">
        <f t="shared" si="151"/>
        <v>GENERAL SERVICE 50 TO 999 KW SERVICE CLASSIFICATION</v>
      </c>
      <c r="B1076" s="100" t="s">
        <v>180</v>
      </c>
      <c r="C1076" s="117"/>
      <c r="D1076" s="180" t="s">
        <v>185</v>
      </c>
      <c r="E1076" s="158"/>
      <c r="F1076" s="174">
        <v>0.08</v>
      </c>
      <c r="G1076" s="175"/>
      <c r="H1076" s="182">
        <v>0</v>
      </c>
      <c r="I1076" s="174">
        <v>0.08</v>
      </c>
      <c r="J1076" s="183"/>
      <c r="K1076" s="182">
        <v>0</v>
      </c>
      <c r="L1076" s="184"/>
      <c r="M1076" s="185"/>
    </row>
    <row r="1077" spans="1:13" ht="15.75" hidden="1" thickBot="1" x14ac:dyDescent="0.3">
      <c r="A1077" s="100" t="str">
        <f t="shared" si="151"/>
        <v>GENERAL SERVICE 50 TO 999 KW SERVICE CLASSIFICATION</v>
      </c>
      <c r="B1077" s="100" t="s">
        <v>189</v>
      </c>
      <c r="C1077" s="117"/>
      <c r="D1077" s="301" t="s">
        <v>188</v>
      </c>
      <c r="E1077" s="301"/>
      <c r="F1077" s="193"/>
      <c r="G1077" s="194"/>
      <c r="H1077" s="188">
        <f>SUM(H1074,H1075)</f>
        <v>11113.477680000002</v>
      </c>
      <c r="I1077" s="195"/>
      <c r="J1077" s="195"/>
      <c r="K1077" s="188">
        <f>SUM(K1074,K1075)</f>
        <v>11028.554583971583</v>
      </c>
      <c r="L1077" s="196">
        <f>K1077-H1077</f>
        <v>-84.923096028418513</v>
      </c>
      <c r="M1077" s="197">
        <f>IF((H1077)=0,"",(L1077/H1077))</f>
        <v>-7.641451080722241E-3</v>
      </c>
    </row>
    <row r="1078" spans="1:13" ht="15.75" hidden="1" thickBot="1" x14ac:dyDescent="0.3">
      <c r="A1078" s="100" t="str">
        <f t="shared" si="151"/>
        <v>GENERAL SERVICE 50 TO 999 KW SERVICE CLASSIFICATION</v>
      </c>
      <c r="B1078" s="100" t="s">
        <v>180</v>
      </c>
      <c r="C1078" s="117"/>
      <c r="D1078" s="165"/>
      <c r="E1078" s="166"/>
      <c r="F1078" s="198"/>
      <c r="G1078" s="199"/>
      <c r="H1078" s="200"/>
      <c r="I1078" s="198"/>
      <c r="J1078" s="168"/>
      <c r="K1078" s="200"/>
      <c r="L1078" s="201"/>
      <c r="M1078" s="172"/>
    </row>
    <row r="1079" spans="1:13" hidden="1" x14ac:dyDescent="0.25">
      <c r="A1079" s="100" t="str">
        <f t="shared" si="151"/>
        <v>GENERAL SERVICE 50 TO 999 KW SERVICE CLASSIFICATION</v>
      </c>
      <c r="B1079" s="100" t="s">
        <v>121</v>
      </c>
      <c r="C1079" s="117"/>
      <c r="D1079" s="173" t="s">
        <v>190</v>
      </c>
      <c r="E1079" s="158"/>
      <c r="F1079" s="174"/>
      <c r="G1079" s="175"/>
      <c r="H1079" s="176">
        <f>SUM(H1067,H1059:H1062,H1058)</f>
        <v>9834.9360000000015</v>
      </c>
      <c r="I1079" s="177"/>
      <c r="J1079" s="177"/>
      <c r="K1079" s="176">
        <f>SUM(K1067,K1059:K1062,K1058)</f>
        <v>9759.7828176739677</v>
      </c>
      <c r="L1079" s="178">
        <f>K1079-H1079</f>
        <v>-75.153182326033857</v>
      </c>
      <c r="M1079" s="179">
        <f>IF((H1079)=0,"",(L1079/H1079))</f>
        <v>-7.6414510807222176E-3</v>
      </c>
    </row>
    <row r="1080" spans="1:13" hidden="1" x14ac:dyDescent="0.25">
      <c r="A1080" s="100" t="str">
        <f t="shared" si="151"/>
        <v>GENERAL SERVICE 50 TO 999 KW SERVICE CLASSIFICATION</v>
      </c>
      <c r="B1080" s="100" t="s">
        <v>121</v>
      </c>
      <c r="C1080" s="117"/>
      <c r="D1080" s="180" t="s">
        <v>184</v>
      </c>
      <c r="E1080" s="158"/>
      <c r="F1080" s="174">
        <v>0.13</v>
      </c>
      <c r="G1080" s="175"/>
      <c r="H1080" s="182">
        <f>H1079*F1080</f>
        <v>1278.5416800000003</v>
      </c>
      <c r="I1080" s="174">
        <v>0.13</v>
      </c>
      <c r="J1080" s="183"/>
      <c r="K1080" s="182">
        <f>K1079*I1080</f>
        <v>1268.7717662976158</v>
      </c>
      <c r="L1080" s="184">
        <f>K1080-H1080</f>
        <v>-9.7699137023844287</v>
      </c>
      <c r="M1080" s="185">
        <f>IF((H1080)=0,"",(L1080/H1080))</f>
        <v>-7.6414510807222384E-3</v>
      </c>
    </row>
    <row r="1081" spans="1:13" hidden="1" x14ac:dyDescent="0.25">
      <c r="A1081" s="100" t="str">
        <f t="shared" si="151"/>
        <v>GENERAL SERVICE 50 TO 999 KW SERVICE CLASSIFICATION</v>
      </c>
      <c r="B1081" s="100" t="s">
        <v>121</v>
      </c>
      <c r="C1081" s="117"/>
      <c r="D1081" s="180" t="s">
        <v>185</v>
      </c>
      <c r="E1081" s="158"/>
      <c r="F1081" s="174">
        <v>0.08</v>
      </c>
      <c r="G1081" s="175"/>
      <c r="H1081" s="182">
        <v>0</v>
      </c>
      <c r="I1081" s="174">
        <v>0.08</v>
      </c>
      <c r="J1081" s="183"/>
      <c r="K1081" s="182">
        <v>0</v>
      </c>
      <c r="L1081" s="184"/>
      <c r="M1081" s="185"/>
    </row>
    <row r="1082" spans="1:13" ht="15.75" hidden="1" thickBot="1" x14ac:dyDescent="0.3">
      <c r="A1082" s="100" t="str">
        <f t="shared" si="151"/>
        <v>GENERAL SERVICE 50 TO 999 KW SERVICE CLASSIFICATION</v>
      </c>
      <c r="B1082" s="100" t="s">
        <v>191</v>
      </c>
      <c r="C1082" s="117"/>
      <c r="D1082" s="301" t="s">
        <v>190</v>
      </c>
      <c r="E1082" s="301"/>
      <c r="F1082" s="193"/>
      <c r="G1082" s="194"/>
      <c r="H1082" s="188">
        <f>SUM(H1079,H1080)</f>
        <v>11113.477680000002</v>
      </c>
      <c r="I1082" s="195"/>
      <c r="J1082" s="195"/>
      <c r="K1082" s="188">
        <f>SUM(K1079,K1080)</f>
        <v>11028.554583971583</v>
      </c>
      <c r="L1082" s="196">
        <f>K1082-H1082</f>
        <v>-84.923096028418513</v>
      </c>
      <c r="M1082" s="197">
        <f>IF((H1082)=0,"",(L1082/H1082))</f>
        <v>-7.641451080722241E-3</v>
      </c>
    </row>
    <row r="1083" spans="1:13" ht="15.75" thickBot="1" x14ac:dyDescent="0.3">
      <c r="A1083" s="100" t="str">
        <f t="shared" si="151"/>
        <v>GENERAL SERVICE 50 TO 999 KW SERVICE CLASSIFICATION</v>
      </c>
      <c r="B1083" s="100" t="s">
        <v>121</v>
      </c>
      <c r="C1083" s="117"/>
      <c r="D1083" s="165"/>
      <c r="E1083" s="166"/>
      <c r="F1083" s="202"/>
      <c r="G1083" s="203"/>
      <c r="H1083" s="204"/>
      <c r="I1083" s="202"/>
      <c r="J1083" s="205"/>
      <c r="K1083" s="204"/>
      <c r="L1083" s="206"/>
      <c r="M1083" s="207"/>
    </row>
  </sheetData>
  <sheetProtection password="CC7B" sheet="1" objects="1" scenarios="1"/>
  <mergeCells count="232">
    <mergeCell ref="D1072:E1072"/>
    <mergeCell ref="D1077:E1077"/>
    <mergeCell ref="D1082:E1082"/>
    <mergeCell ref="E1030:J1030"/>
    <mergeCell ref="E1031:G1031"/>
    <mergeCell ref="F1037:H1037"/>
    <mergeCell ref="I1037:K1037"/>
    <mergeCell ref="L1037:M1037"/>
    <mergeCell ref="E1038:E1039"/>
    <mergeCell ref="L1038:L1039"/>
    <mergeCell ref="M1038:M1039"/>
    <mergeCell ref="E982:E983"/>
    <mergeCell ref="L982:L983"/>
    <mergeCell ref="M982:M983"/>
    <mergeCell ref="D1016:E1016"/>
    <mergeCell ref="D1021:E1021"/>
    <mergeCell ref="D1026:E1026"/>
    <mergeCell ref="D970:E970"/>
    <mergeCell ref="E974:J974"/>
    <mergeCell ref="E975:G975"/>
    <mergeCell ref="F981:H981"/>
    <mergeCell ref="I981:K981"/>
    <mergeCell ref="L981:M981"/>
    <mergeCell ref="L925:M925"/>
    <mergeCell ref="E926:E927"/>
    <mergeCell ref="L926:L927"/>
    <mergeCell ref="M926:M927"/>
    <mergeCell ref="D960:E960"/>
    <mergeCell ref="D965:E965"/>
    <mergeCell ref="D904:E904"/>
    <mergeCell ref="D909:E909"/>
    <mergeCell ref="D914:E914"/>
    <mergeCell ref="E918:J918"/>
    <mergeCell ref="E919:G919"/>
    <mergeCell ref="F925:H925"/>
    <mergeCell ref="I925:K925"/>
    <mergeCell ref="E862:J862"/>
    <mergeCell ref="E863:G863"/>
    <mergeCell ref="F869:H869"/>
    <mergeCell ref="I869:K869"/>
    <mergeCell ref="L869:M869"/>
    <mergeCell ref="E870:E871"/>
    <mergeCell ref="L870:L871"/>
    <mergeCell ref="M870:M871"/>
    <mergeCell ref="E814:E815"/>
    <mergeCell ref="L814:L815"/>
    <mergeCell ref="M814:M815"/>
    <mergeCell ref="D848:E848"/>
    <mergeCell ref="D853:E853"/>
    <mergeCell ref="D858:E858"/>
    <mergeCell ref="D802:E802"/>
    <mergeCell ref="E806:J806"/>
    <mergeCell ref="E807:G807"/>
    <mergeCell ref="F813:H813"/>
    <mergeCell ref="I813:K813"/>
    <mergeCell ref="L813:M813"/>
    <mergeCell ref="L757:M757"/>
    <mergeCell ref="E758:E759"/>
    <mergeCell ref="L758:L759"/>
    <mergeCell ref="M758:M759"/>
    <mergeCell ref="D792:E792"/>
    <mergeCell ref="D797:E797"/>
    <mergeCell ref="D736:E736"/>
    <mergeCell ref="D741:E741"/>
    <mergeCell ref="D746:E746"/>
    <mergeCell ref="E750:J750"/>
    <mergeCell ref="E751:G751"/>
    <mergeCell ref="F757:H757"/>
    <mergeCell ref="I757:K757"/>
    <mergeCell ref="E694:J694"/>
    <mergeCell ref="E695:G695"/>
    <mergeCell ref="F701:H701"/>
    <mergeCell ref="I701:K701"/>
    <mergeCell ref="L701:M701"/>
    <mergeCell ref="E702:E703"/>
    <mergeCell ref="L702:L703"/>
    <mergeCell ref="M702:M703"/>
    <mergeCell ref="E646:E647"/>
    <mergeCell ref="L646:L647"/>
    <mergeCell ref="M646:M647"/>
    <mergeCell ref="D680:E680"/>
    <mergeCell ref="D685:E685"/>
    <mergeCell ref="D690:E690"/>
    <mergeCell ref="D634:E634"/>
    <mergeCell ref="E638:J638"/>
    <mergeCell ref="E639:G639"/>
    <mergeCell ref="F645:H645"/>
    <mergeCell ref="I645:K645"/>
    <mergeCell ref="L645:M645"/>
    <mergeCell ref="L589:M589"/>
    <mergeCell ref="E590:E591"/>
    <mergeCell ref="L590:L591"/>
    <mergeCell ref="M590:M591"/>
    <mergeCell ref="D624:E624"/>
    <mergeCell ref="D629:E629"/>
    <mergeCell ref="D568:E568"/>
    <mergeCell ref="D573:E573"/>
    <mergeCell ref="D578:E578"/>
    <mergeCell ref="E582:J582"/>
    <mergeCell ref="E583:G583"/>
    <mergeCell ref="F589:H589"/>
    <mergeCell ref="I589:K589"/>
    <mergeCell ref="E526:J526"/>
    <mergeCell ref="E527:G527"/>
    <mergeCell ref="F533:H533"/>
    <mergeCell ref="I533:K533"/>
    <mergeCell ref="L533:M533"/>
    <mergeCell ref="E534:E535"/>
    <mergeCell ref="L534:L535"/>
    <mergeCell ref="M534:M535"/>
    <mergeCell ref="E478:E479"/>
    <mergeCell ref="L478:L479"/>
    <mergeCell ref="M478:M479"/>
    <mergeCell ref="D512:E512"/>
    <mergeCell ref="D517:E517"/>
    <mergeCell ref="D522:E522"/>
    <mergeCell ref="D466:E466"/>
    <mergeCell ref="E470:J470"/>
    <mergeCell ref="E471:G471"/>
    <mergeCell ref="F477:H477"/>
    <mergeCell ref="I477:K477"/>
    <mergeCell ref="L477:M477"/>
    <mergeCell ref="L421:M421"/>
    <mergeCell ref="E422:E423"/>
    <mergeCell ref="L422:L423"/>
    <mergeCell ref="M422:M423"/>
    <mergeCell ref="D456:E456"/>
    <mergeCell ref="D461:E461"/>
    <mergeCell ref="D400:E400"/>
    <mergeCell ref="D405:E405"/>
    <mergeCell ref="D410:E410"/>
    <mergeCell ref="E414:J414"/>
    <mergeCell ref="E415:G415"/>
    <mergeCell ref="F421:H421"/>
    <mergeCell ref="I421:K421"/>
    <mergeCell ref="E358:J358"/>
    <mergeCell ref="E359:G359"/>
    <mergeCell ref="F365:H365"/>
    <mergeCell ref="I365:K365"/>
    <mergeCell ref="L365:M365"/>
    <mergeCell ref="E366:E367"/>
    <mergeCell ref="L366:L367"/>
    <mergeCell ref="M366:M367"/>
    <mergeCell ref="E310:E311"/>
    <mergeCell ref="L310:L311"/>
    <mergeCell ref="M310:M311"/>
    <mergeCell ref="D344:E344"/>
    <mergeCell ref="D349:E349"/>
    <mergeCell ref="D354:E354"/>
    <mergeCell ref="D298:E298"/>
    <mergeCell ref="E302:J302"/>
    <mergeCell ref="E303:G303"/>
    <mergeCell ref="F309:H309"/>
    <mergeCell ref="I309:K309"/>
    <mergeCell ref="L309:M309"/>
    <mergeCell ref="L253:M253"/>
    <mergeCell ref="E254:E255"/>
    <mergeCell ref="L254:L255"/>
    <mergeCell ref="M254:M255"/>
    <mergeCell ref="D288:E288"/>
    <mergeCell ref="D293:E293"/>
    <mergeCell ref="D232:E232"/>
    <mergeCell ref="D237:E237"/>
    <mergeCell ref="D242:E242"/>
    <mergeCell ref="E246:J246"/>
    <mergeCell ref="E247:G247"/>
    <mergeCell ref="F253:H253"/>
    <mergeCell ref="I253:K253"/>
    <mergeCell ref="E190:J190"/>
    <mergeCell ref="E191:G191"/>
    <mergeCell ref="F197:H197"/>
    <mergeCell ref="I197:K197"/>
    <mergeCell ref="L197:M197"/>
    <mergeCell ref="E198:E199"/>
    <mergeCell ref="L198:L199"/>
    <mergeCell ref="M198:M199"/>
    <mergeCell ref="E142:E143"/>
    <mergeCell ref="L142:L143"/>
    <mergeCell ref="M142:M143"/>
    <mergeCell ref="D176:E176"/>
    <mergeCell ref="D181:E181"/>
    <mergeCell ref="D186:E186"/>
    <mergeCell ref="D130:E130"/>
    <mergeCell ref="E134:J134"/>
    <mergeCell ref="E135:G135"/>
    <mergeCell ref="F141:H141"/>
    <mergeCell ref="I141:K141"/>
    <mergeCell ref="L141:M141"/>
    <mergeCell ref="L85:M85"/>
    <mergeCell ref="E86:E87"/>
    <mergeCell ref="L86:L87"/>
    <mergeCell ref="M86:M87"/>
    <mergeCell ref="D120:E120"/>
    <mergeCell ref="D125:E125"/>
    <mergeCell ref="D73:F73"/>
    <mergeCell ref="D74:F74"/>
    <mergeCell ref="E78:J78"/>
    <mergeCell ref="E79:G79"/>
    <mergeCell ref="F85:H85"/>
    <mergeCell ref="I85:K85"/>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52:F54"/>
    <mergeCell ref="G52:G54"/>
    <mergeCell ref="H52:M52"/>
    <mergeCell ref="N52:O52"/>
    <mergeCell ref="H53:I53"/>
    <mergeCell ref="J53:K53"/>
    <mergeCell ref="L53:M53"/>
    <mergeCell ref="N53:O53"/>
    <mergeCell ref="C3:K3"/>
    <mergeCell ref="D10:M10"/>
    <mergeCell ref="D11:M11"/>
    <mergeCell ref="N11:O11"/>
    <mergeCell ref="D12:N12"/>
    <mergeCell ref="D29:F29"/>
  </mergeCells>
  <conditionalFormatting sqref="L39:L49">
    <cfRule type="expression" dxfId="15" priority="8">
      <formula>$G39="kW"</formula>
    </cfRule>
  </conditionalFormatting>
  <conditionalFormatting sqref="K39:K49">
    <cfRule type="expression" dxfId="14" priority="5">
      <formula>$G39="kW"</formula>
    </cfRule>
    <cfRule type="expression" dxfId="13" priority="6">
      <formula>$G39="kVa"</formula>
    </cfRule>
    <cfRule type="expression" dxfId="12" priority="7">
      <formula>$G39="kWh"</formula>
    </cfRule>
  </conditionalFormatting>
  <conditionalFormatting sqref="L30:L38">
    <cfRule type="expression" dxfId="11" priority="4">
      <formula>$G30="kW"</formula>
    </cfRule>
  </conditionalFormatting>
  <conditionalFormatting sqref="K30:K38">
    <cfRule type="expression" dxfId="10" priority="1">
      <formula>$G30="kW"</formula>
    </cfRule>
    <cfRule type="expression" dxfId="9" priority="2">
      <formula>$G30="kVa"</formula>
    </cfRule>
    <cfRule type="expression" dxfId="8" priority="3">
      <formula>$G30="kWh"</formula>
    </cfRule>
  </conditionalFormatting>
  <dataValidations count="4">
    <dataValidation type="list" allowBlank="1" showInputMessage="1" showErrorMessage="1" prompt="Select Charge Unit - monthly, per kWh, per kW" sqref="E121 E126 E131 E116 E177 E182 E187 E172 E233 E238 E243 E228 E289 E294 E299 E284 E345 E350 E355 E340 E401 E406 E411 E396 E457 E462 E467 E452 E513 E518 E523 E508 E569 E574 E579 E564 E625 E630 E635 E620 E681 E686 E691 E676 E737 E742 E747 E732 E793 E798 E803 E788 E849 E854 E859 E844 E905 E910 E915 E900 E961 E966 E971 E956 E1017 E1022 E1027 E1012 E1073 E1078 E1083 E1068">
      <formula1>"Monthly, per kWh, per kW"</formula1>
    </dataValidation>
    <dataValidation allowBlank="1" showInputMessage="1" showErrorMessage="1" sqref="D30:D36"/>
    <dataValidation type="list" allowBlank="1" showInputMessage="1" showErrorMessage="1" sqref="M30:M49">
      <formula1>"N/A, DEMAND, DEMAND - INTERVAL"</formula1>
    </dataValidation>
    <dataValidation type="list" allowBlank="1" showInputMessage="1" showErrorMessage="1" sqref="H30:H49">
      <formula1>"RPP, Non-RPP (Retailer), Non-RPP (Other)"</formula1>
    </dataValidation>
  </dataValidations>
  <pageMargins left="0.11811023622047245" right="0.11811023622047245" top="0.35433070866141736" bottom="0.35433070866141736" header="0.11811023622047245" footer="0.11811023622047245"/>
  <pageSetup scale="61" orientation="landscape" verticalDpi="0" r:id="rId1"/>
  <headerFooter>
    <oddFooter>&amp;L&amp;9&amp;Z&amp;F  &amp;A  &amp;D  &amp;T&amp;R&amp;P</oddFooter>
  </headerFooter>
  <rowBreaks count="18" manualBreakCount="18">
    <brk id="76" max="16383" man="1"/>
    <brk id="133" max="16383" man="1"/>
    <brk id="189" max="16383" man="1"/>
    <brk id="245" max="16383" man="1"/>
    <brk id="301" max="16383" man="1"/>
    <brk id="357" max="16383" man="1"/>
    <brk id="413" max="16383" man="1"/>
    <brk id="469" max="16383" man="1"/>
    <brk id="525" max="16383" man="1"/>
    <brk id="581" max="16383" man="1"/>
    <brk id="637" max="16383" man="1"/>
    <brk id="693" max="16383" man="1"/>
    <brk id="749" max="16383" man="1"/>
    <brk id="805" max="16383" man="1"/>
    <brk id="861" max="16383" man="1"/>
    <brk id="917" max="16383" man="1"/>
    <brk id="973" max="16383" man="1"/>
    <brk id="1029" max="16383" man="1"/>
  </rowBreaks>
  <ignoredErrors>
    <ignoredError sqref="D78:O91 D95:O102 D94:G94 N94:O94 D104:O105 D103:F103 N103:O103 D107:O147 D106:G106 N106:O106 D151:O158 D150:G150 N150:O150 D160:O161 D159:G159 N159:O159 D163:O203 D162:G162 N162:O162 D207:O214 D206:G206 N206:O206 D216:O217 D215:G215 N215:O215 D219:O259 D218:G218 N218:O218 D263:O270 D262:G262 N262:O262 D272:E273 D271:G271 N271:O271 D275:O311 D274:G274 N274:O274 D319:O326 D318:G318 N318:O318 D328:O329 D327:G327 N327:O327 D331:O367 D330:G330 N330:O330 D313:O315 D312:F312 H312:O312 D369:O371 D368:F368 H368:O368 D425:O427 D424:F424 H424:O424 G272:H273 J272:O273 D947:O987 D944:E945 G944:G945 D1003:O1043 D1000:E1001 G1000:G1001 N1000:O1001 N944:O945 G30:G49 C94:C131 A150:C187 A206:C243 C262:C299 C318:C355 C374:C411 D388:O423 D374:G387 N374:O387 D447:O483 D430:G446 N430:O446 A430:C467 D500:O539 D486:G499 N486:O499 C486:C523 D556:O595 D542:G555 N542:O555 C542:C579 D611:O651 D598:G610 N598:O610 C598:C635 D668:O707 D654:G667 N654:O667 C654:C691 D723:O763 D710:G722 N710:O722 A710:C747 D779:O819 D766:G778 N766:O778 C766:C803 D835:O875 D822:G834 N822:O834 C822:C859 D891:O931 D878:G890 N878:O890 C878:C915 D946:G946 N946:O946 D934:G943 N934:O943 C934:C971 D990:G999 N990:O999 D1002:G1002 N1002:O1002 A990:C1028 D1059:O1094 D1046:G1058 N1046:O1058 C1046:C1083 D93:O93 D92:H92 J92:O92 D149:H149 D148:H148 J148:O148 J149:O149 D205:H205 D204:H204 J204:O204 J205:O205 D261:H261 D260:H260 J260:O260 J261:O261 D317:H317 D316:H316 J316:O316 J317:O317 D373:H373 D372:H372 J372:O372 J373:O373 D429:H429 D428:H428 J428:O428 J429:O429 D485:O485 D484:H484 J484:O484 D541:O541 D540:H540 J540:O540 D597:O597 D596:H596 J596:O596 D653:H653 D652:H652 J652:O652 J653:O653 D709:H709 D708:H708 J708:O708 J709:O709 D765:H765 D764:H764 J764:O764 J765:O765 D821:H821 D820:H820 J820:O820 J821:O821 D877:H877 D876:H876 J876:O876 J877:O877 D933:H933 D932:H932 J932:O932 J933:O933 D989:H989 D988:H988 J988:O988 J989:O989 D1045:H1045 D1044:H1044 J1044:O1044 J1045:O1045" unlockedFormula="1"/>
    <ignoredError sqref="H94:M94 G103:M103 H106:M106 H150:M150 H159:M159 H162:M162 H206:M206 H215:M215 H218:M218 H262:M262 H271:M271 H274:M274 H318:M318 H327:M327 H330:M330 H374:M387 H430:M446 H486:M499 H542:M555 H598:M610 H654:M667 H710:M722 H766:M778 H822:M834 H878:M890 H934:M943 J944:M945 H944:H945 H946:M946 J1000:M1001 H1000:H1001 H1002:M1002 H990:M999 H1046:M1058" formula="1" unlockedFormula="1"/>
    <ignoredError sqref="I944:I945 I1000:I1001" formula="1"/>
  </ignoredErrors>
  <drawing r:id="rId2"/>
  <extLst>
    <ext xmlns:x14="http://schemas.microsoft.com/office/spreadsheetml/2009/9/main" uri="{CCE6A557-97BC-4b89-ADB6-D9C93CAAB3DF}">
      <x14:dataValidations xmlns:xm="http://schemas.microsoft.com/office/excel/2006/main" count="1">
        <x14:dataValidation type="list" operator="equal" allowBlank="1" showInputMessage="1" showErrorMessage="1">
          <x14:formula1>
            <xm:f>'[1]2016 List'!#REF!</xm:f>
          </x14:formula1>
          <xm:sqref>D37:D49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1056"/>
  <sheetViews>
    <sheetView topLeftCell="C1" zoomScale="80" zoomScaleNormal="80" workbookViewId="0">
      <selection activeCell="D47" sqref="D47:F47"/>
    </sheetView>
  </sheetViews>
  <sheetFormatPr defaultRowHeight="15" x14ac:dyDescent="0.25"/>
  <cols>
    <col min="1" max="1" width="9" style="100" hidden="1" customWidth="1"/>
    <col min="2" max="2" width="4.7109375" style="100" hidden="1" customWidth="1"/>
    <col min="3" max="3" width="3.42578125" style="208" customWidth="1"/>
    <col min="4" max="4" width="34.7109375" style="100" customWidth="1"/>
    <col min="5" max="5" width="13.140625" style="100" customWidth="1"/>
    <col min="6" max="6" width="10.7109375" style="100" bestFit="1" customWidth="1"/>
    <col min="7" max="7" width="11.28515625" style="100" bestFit="1" customWidth="1"/>
    <col min="8" max="8" width="19.140625" style="100" bestFit="1" customWidth="1"/>
    <col min="9" max="9" width="12.85546875" style="100" customWidth="1"/>
    <col min="10" max="10" width="16.5703125" style="100" bestFit="1" customWidth="1"/>
    <col min="11" max="11" width="21.28515625" style="100" bestFit="1" customWidth="1"/>
    <col min="12" max="12" width="14.42578125" style="100" bestFit="1" customWidth="1"/>
    <col min="13" max="13" width="20" style="100" bestFit="1" customWidth="1"/>
    <col min="14" max="14" width="22.140625" style="100" customWidth="1"/>
    <col min="15" max="15" width="14.42578125" style="100" customWidth="1"/>
    <col min="16" max="16384" width="9.140625" style="8"/>
  </cols>
  <sheetData>
    <row r="1" spans="1:15" ht="15.75" x14ac:dyDescent="0.25">
      <c r="A1" s="71"/>
      <c r="B1" s="71"/>
      <c r="C1" s="72"/>
      <c r="D1" s="75" t="s">
        <v>106</v>
      </c>
      <c r="E1" s="71"/>
      <c r="F1" s="71"/>
      <c r="G1" s="71"/>
      <c r="H1" s="71"/>
      <c r="I1" s="71"/>
      <c r="J1" s="71"/>
      <c r="K1" s="71"/>
      <c r="L1" s="71"/>
      <c r="M1" s="71"/>
      <c r="N1" s="71"/>
      <c r="O1" s="71"/>
    </row>
    <row r="2" spans="1:15" ht="64.5" x14ac:dyDescent="0.25">
      <c r="A2" s="71"/>
      <c r="B2" s="71"/>
      <c r="C2" s="72"/>
      <c r="D2" s="278" t="s">
        <v>107</v>
      </c>
      <c r="E2" s="279"/>
      <c r="F2" s="280"/>
      <c r="G2" s="228" t="s">
        <v>108</v>
      </c>
      <c r="H2" s="77" t="s">
        <v>109</v>
      </c>
      <c r="I2" s="77" t="s">
        <v>110</v>
      </c>
      <c r="J2" s="77" t="s">
        <v>111</v>
      </c>
      <c r="K2" s="77" t="s">
        <v>112</v>
      </c>
      <c r="L2" s="77" t="s">
        <v>113</v>
      </c>
      <c r="M2" s="78" t="s">
        <v>114</v>
      </c>
      <c r="N2" s="79" t="s">
        <v>115</v>
      </c>
      <c r="O2" s="71"/>
    </row>
    <row r="3" spans="1:15" x14ac:dyDescent="0.25">
      <c r="A3" s="71"/>
      <c r="B3" s="71">
        <v>1</v>
      </c>
      <c r="C3" s="80">
        <v>1</v>
      </c>
      <c r="D3" s="81" t="s">
        <v>116</v>
      </c>
      <c r="E3" s="82"/>
      <c r="F3" s="83"/>
      <c r="G3" s="84" t="str">
        <f>IF(ISERROR(VLOOKUP(D3, '[1]4. Billing Det. for Def-Var'!$A$16:$B$16, 2, FALSE)),"", VLOOKUP(D3,'[1]4. Billing Det. for Def-Var'!$A$16:$B$16, 2, FALSE))</f>
        <v/>
      </c>
      <c r="H3" s="85" t="s">
        <v>117</v>
      </c>
      <c r="I3" s="86">
        <v>1.056</v>
      </c>
      <c r="J3" s="87">
        <f t="shared" ref="J3:J22" si="0">IF(ISBLANK(I3),"", I3)</f>
        <v>1.056</v>
      </c>
      <c r="K3" s="88">
        <v>750</v>
      </c>
      <c r="L3" s="88"/>
      <c r="M3" s="85" t="s">
        <v>118</v>
      </c>
      <c r="N3" s="89"/>
      <c r="O3" s="71"/>
    </row>
    <row r="4" spans="1:15" x14ac:dyDescent="0.25">
      <c r="A4" s="71"/>
      <c r="B4" s="71">
        <v>2</v>
      </c>
      <c r="C4" s="80">
        <v>2</v>
      </c>
      <c r="D4" s="81" t="s">
        <v>119</v>
      </c>
      <c r="E4" s="82"/>
      <c r="F4" s="83"/>
      <c r="G4" s="84" t="str">
        <f>IF(ISERROR(VLOOKUP(D4, '[1]4. Billing Det. for Def-Var'!$A$16:$B$16, 2, FALSE)),"", VLOOKUP(D4,'[1]4. Billing Det. for Def-Var'!$A$16:$B$16, 2, FALSE))</f>
        <v/>
      </c>
      <c r="H4" s="85" t="s">
        <v>117</v>
      </c>
      <c r="I4" s="86">
        <v>1.056</v>
      </c>
      <c r="J4" s="87">
        <f t="shared" si="0"/>
        <v>1.056</v>
      </c>
      <c r="K4" s="88">
        <v>2000</v>
      </c>
      <c r="L4" s="88"/>
      <c r="M4" s="85" t="s">
        <v>118</v>
      </c>
      <c r="N4" s="89"/>
      <c r="O4" s="71"/>
    </row>
    <row r="5" spans="1:15" x14ac:dyDescent="0.25">
      <c r="A5" s="71"/>
      <c r="B5" s="71">
        <v>3</v>
      </c>
      <c r="C5" s="80">
        <v>3</v>
      </c>
      <c r="D5" s="81" t="s">
        <v>120</v>
      </c>
      <c r="E5" s="82"/>
      <c r="F5" s="83"/>
      <c r="G5" s="84" t="str">
        <f>IF(ISERROR(VLOOKUP(D5, '[1]4. Billing Det. for Def-Var'!$A$16:$B$16, 2, FALSE)),"", VLOOKUP(D5,'[1]4. Billing Det. for Def-Var'!$A$16:$B$16, 2, FALSE))</f>
        <v/>
      </c>
      <c r="H5" s="85" t="s">
        <v>121</v>
      </c>
      <c r="I5" s="86">
        <v>1.056</v>
      </c>
      <c r="J5" s="87">
        <f t="shared" si="0"/>
        <v>1.056</v>
      </c>
      <c r="K5" s="88">
        <v>328500</v>
      </c>
      <c r="L5" s="88">
        <v>500</v>
      </c>
      <c r="M5" s="85" t="s">
        <v>122</v>
      </c>
      <c r="N5" s="89"/>
      <c r="O5" s="71"/>
    </row>
    <row r="6" spans="1:15" x14ac:dyDescent="0.25">
      <c r="A6" s="71"/>
      <c r="B6" s="71">
        <v>4</v>
      </c>
      <c r="C6" s="80">
        <v>4</v>
      </c>
      <c r="D6" s="81" t="s">
        <v>123</v>
      </c>
      <c r="E6" s="82"/>
      <c r="F6" s="83"/>
      <c r="G6" s="84" t="str">
        <f>IF(ISERROR(VLOOKUP(D6, '[1]4. Billing Det. for Def-Var'!$A$16:$B$16, 2, FALSE)),"", VLOOKUP(D6,'[1]4. Billing Det. for Def-Var'!$A$16:$B$16, 2, FALSE))</f>
        <v/>
      </c>
      <c r="H6" s="85" t="s">
        <v>121</v>
      </c>
      <c r="I6" s="86">
        <v>1.056</v>
      </c>
      <c r="J6" s="87">
        <f t="shared" si="0"/>
        <v>1.056</v>
      </c>
      <c r="K6" s="88">
        <v>1600000</v>
      </c>
      <c r="L6" s="88">
        <v>2500</v>
      </c>
      <c r="M6" s="85" t="s">
        <v>124</v>
      </c>
      <c r="N6" s="89"/>
      <c r="O6" s="71"/>
    </row>
    <row r="7" spans="1:15" x14ac:dyDescent="0.25">
      <c r="A7" s="71"/>
      <c r="B7" s="71">
        <v>5</v>
      </c>
      <c r="C7" s="80">
        <v>5</v>
      </c>
      <c r="D7" s="81" t="s">
        <v>125</v>
      </c>
      <c r="E7" s="82"/>
      <c r="F7" s="83"/>
      <c r="G7" s="84" t="str">
        <f>IF(ISERROR(VLOOKUP(D7, '[1]4. Billing Det. for Def-Var'!$A$16:$B$16, 2, FALSE)),"", VLOOKUP(D7,'[1]4. Billing Det. for Def-Var'!$A$16:$B$16, 2, FALSE))</f>
        <v/>
      </c>
      <c r="H7" s="85" t="s">
        <v>117</v>
      </c>
      <c r="I7" s="86">
        <v>1.056</v>
      </c>
      <c r="J7" s="87">
        <f t="shared" si="0"/>
        <v>1.056</v>
      </c>
      <c r="K7" s="88">
        <v>150</v>
      </c>
      <c r="L7" s="88"/>
      <c r="M7" s="85" t="s">
        <v>118</v>
      </c>
      <c r="N7" s="90"/>
      <c r="O7" s="71"/>
    </row>
    <row r="8" spans="1:15" x14ac:dyDescent="0.25">
      <c r="A8" s="71"/>
      <c r="B8" s="71">
        <v>6</v>
      </c>
      <c r="C8" s="80">
        <v>6</v>
      </c>
      <c r="D8" s="81" t="s">
        <v>126</v>
      </c>
      <c r="E8" s="82"/>
      <c r="F8" s="83"/>
      <c r="G8" s="84" t="str">
        <f>IF(ISERROR(VLOOKUP(D8, '[1]4. Billing Det. for Def-Var'!$A$16:$B$16, 2, FALSE)),"", VLOOKUP(D8,'[1]4. Billing Det. for Def-Var'!$A$16:$B$16, 2, FALSE))</f>
        <v/>
      </c>
      <c r="H8" s="85" t="s">
        <v>117</v>
      </c>
      <c r="I8" s="86">
        <v>1.056</v>
      </c>
      <c r="J8" s="87">
        <f t="shared" si="0"/>
        <v>1.056</v>
      </c>
      <c r="K8" s="88">
        <v>650</v>
      </c>
      <c r="L8" s="88">
        <v>1</v>
      </c>
      <c r="M8" s="85" t="s">
        <v>122</v>
      </c>
      <c r="N8" s="90"/>
      <c r="O8" s="71"/>
    </row>
    <row r="9" spans="1:15" x14ac:dyDescent="0.25">
      <c r="A9" s="71"/>
      <c r="B9" s="71">
        <v>7</v>
      </c>
      <c r="C9" s="80">
        <v>7</v>
      </c>
      <c r="D9" s="81" t="s">
        <v>127</v>
      </c>
      <c r="E9" s="82"/>
      <c r="F9" s="83"/>
      <c r="G9" s="84" t="str">
        <f>IF(ISERROR(VLOOKUP(D9, '[1]4. Billing Det. for Def-Var'!$A$16:$B$16, 2, FALSE)),"", VLOOKUP(D9,'[1]4. Billing Det. for Def-Var'!$A$16:$B$16, 2, FALSE))</f>
        <v/>
      </c>
      <c r="H9" s="85" t="s">
        <v>121</v>
      </c>
      <c r="I9" s="86">
        <v>1.056</v>
      </c>
      <c r="J9" s="87">
        <f t="shared" si="0"/>
        <v>1.056</v>
      </c>
      <c r="K9" s="88">
        <v>94033.37</v>
      </c>
      <c r="L9" s="88">
        <v>251</v>
      </c>
      <c r="M9" s="85" t="s">
        <v>122</v>
      </c>
      <c r="N9" s="90"/>
      <c r="O9" s="71"/>
    </row>
    <row r="10" spans="1:15" x14ac:dyDescent="0.25">
      <c r="A10" s="71"/>
      <c r="B10" s="71">
        <v>8</v>
      </c>
      <c r="C10" s="80">
        <f>IF(ISERROR(VLOOKUP(D10, D3:AS22, 42, FALSE)),"", VLOOKUP(D10, D3:AS22, 42, FALSE))</f>
        <v>0</v>
      </c>
      <c r="D10" s="91" t="s">
        <v>116</v>
      </c>
      <c r="E10" s="92"/>
      <c r="F10" s="93"/>
      <c r="G10" s="84" t="str">
        <f>IF(ISERROR(VLOOKUP(D10, '[1]4. Billing Det. for Def-Var'!$A$16:$B$16, 2, FALSE)),"", VLOOKUP(D10,'[1]4. Billing Det. for Def-Var'!$A$16:$B$16, 2, FALSE))</f>
        <v/>
      </c>
      <c r="H10" s="85" t="s">
        <v>117</v>
      </c>
      <c r="I10" s="86">
        <v>1.056</v>
      </c>
      <c r="J10" s="87">
        <f t="shared" si="0"/>
        <v>1.056</v>
      </c>
      <c r="K10" s="88">
        <v>342</v>
      </c>
      <c r="L10" s="88"/>
      <c r="M10" s="85" t="s">
        <v>118</v>
      </c>
      <c r="N10" s="89"/>
      <c r="O10" s="71"/>
    </row>
    <row r="11" spans="1:15" x14ac:dyDescent="0.25">
      <c r="A11" s="71"/>
      <c r="B11" s="71">
        <v>9</v>
      </c>
      <c r="C11" s="80">
        <f>IF(ISERROR(VLOOKUP(D11, D3:AS22, 42, FALSE)),"", VLOOKUP(D11, D3:AS22, 42, FALSE))</f>
        <v>0</v>
      </c>
      <c r="D11" s="91" t="s">
        <v>116</v>
      </c>
      <c r="E11" s="92"/>
      <c r="F11" s="93"/>
      <c r="G11" s="84" t="str">
        <f>IF(ISERROR(VLOOKUP(D11, '[1]4. Billing Det. for Def-Var'!$A$16:$B$16, 2, FALSE)),"", VLOOKUP(D11,'[1]4. Billing Det. for Def-Var'!$A$16:$B$16, 2, FALSE))</f>
        <v/>
      </c>
      <c r="H11" s="85" t="s">
        <v>117</v>
      </c>
      <c r="I11" s="86">
        <v>1.056</v>
      </c>
      <c r="J11" s="87">
        <f t="shared" si="0"/>
        <v>1.056</v>
      </c>
      <c r="K11" s="88">
        <v>1000</v>
      </c>
      <c r="L11" s="88"/>
      <c r="M11" s="85" t="s">
        <v>118</v>
      </c>
      <c r="N11" s="89"/>
      <c r="O11" s="71"/>
    </row>
    <row r="12" spans="1:15" x14ac:dyDescent="0.25">
      <c r="A12" s="71"/>
      <c r="B12" s="71">
        <v>10</v>
      </c>
      <c r="C12" s="80">
        <f>IF(ISERROR(VLOOKUP(D12, D3:AS22, 42, FALSE)),"", VLOOKUP(D12, D3:AS22, 42, FALSE))</f>
        <v>0</v>
      </c>
      <c r="D12" s="91" t="s">
        <v>116</v>
      </c>
      <c r="E12" s="92"/>
      <c r="F12" s="93"/>
      <c r="G12" s="84" t="str">
        <f>IF(ISERROR(VLOOKUP(D12, '[1]4. Billing Det. for Def-Var'!$A$16:$B$16, 2, FALSE)),"", VLOOKUP(D12,'[1]4. Billing Det. for Def-Var'!$A$16:$B$16, 2, FALSE))</f>
        <v/>
      </c>
      <c r="H12" s="85" t="s">
        <v>117</v>
      </c>
      <c r="I12" s="86">
        <v>1.056</v>
      </c>
      <c r="J12" s="87">
        <f t="shared" si="0"/>
        <v>1.056</v>
      </c>
      <c r="K12" s="88">
        <v>2500</v>
      </c>
      <c r="L12" s="88"/>
      <c r="M12" s="85" t="s">
        <v>118</v>
      </c>
      <c r="N12" s="89"/>
      <c r="O12" s="71"/>
    </row>
    <row r="13" spans="1:15" x14ac:dyDescent="0.25">
      <c r="A13" s="71"/>
      <c r="B13" s="71">
        <v>11</v>
      </c>
      <c r="C13" s="80">
        <f>IF(ISERROR(VLOOKUP(D13, D3:AS22, 42, FALSE)),"", VLOOKUP(D13, D3:AS22, 42, FALSE))</f>
        <v>0</v>
      </c>
      <c r="D13" s="91" t="s">
        <v>119</v>
      </c>
      <c r="E13" s="92"/>
      <c r="F13" s="93"/>
      <c r="G13" s="84" t="str">
        <f>IF(ISERROR(VLOOKUP(D13, '[1]4. Billing Det. for Def-Var'!$A$16:$B$16, 2, FALSE)),"", VLOOKUP(D13,'[1]4. Billing Det. for Def-Var'!$A$16:$B$16, 2, FALSE))</f>
        <v/>
      </c>
      <c r="H13" s="85" t="s">
        <v>117</v>
      </c>
      <c r="I13" s="86">
        <v>1.056</v>
      </c>
      <c r="J13" s="87">
        <f t="shared" si="0"/>
        <v>1.056</v>
      </c>
      <c r="K13" s="88">
        <v>500</v>
      </c>
      <c r="L13" s="88"/>
      <c r="M13" s="85" t="s">
        <v>118</v>
      </c>
      <c r="N13" s="89"/>
      <c r="O13" s="71"/>
    </row>
    <row r="14" spans="1:15" x14ac:dyDescent="0.25">
      <c r="A14" s="71"/>
      <c r="B14" s="71">
        <v>12</v>
      </c>
      <c r="C14" s="80">
        <f>IF(ISERROR(VLOOKUP(D14, D3:AS22, 42, FALSE)),"", VLOOKUP(D14, D3:AS22, 42, FALSE))</f>
        <v>0</v>
      </c>
      <c r="D14" s="91" t="s">
        <v>119</v>
      </c>
      <c r="E14" s="92"/>
      <c r="F14" s="93"/>
      <c r="G14" s="84" t="str">
        <f>IF(ISERROR(VLOOKUP(D14, '[1]4. Billing Det. for Def-Var'!$A$16:$B$16, 2, FALSE)),"", VLOOKUP(D14,'[1]4. Billing Det. for Def-Var'!$A$16:$B$16, 2, FALSE))</f>
        <v/>
      </c>
      <c r="H14" s="85" t="s">
        <v>117</v>
      </c>
      <c r="I14" s="86">
        <v>1.056</v>
      </c>
      <c r="J14" s="87">
        <f t="shared" si="0"/>
        <v>1.056</v>
      </c>
      <c r="K14" s="88">
        <v>5000</v>
      </c>
      <c r="L14" s="88"/>
      <c r="M14" s="85" t="s">
        <v>118</v>
      </c>
      <c r="N14" s="89"/>
      <c r="O14" s="71"/>
    </row>
    <row r="15" spans="1:15" x14ac:dyDescent="0.25">
      <c r="A15" s="71"/>
      <c r="B15" s="71">
        <v>13</v>
      </c>
      <c r="C15" s="80">
        <f>IF(ISERROR(VLOOKUP(D15, D3:AS22, 42, FALSE)),"", VLOOKUP(D15, D3:AS22, 42, FALSE))</f>
        <v>0</v>
      </c>
      <c r="D15" s="91" t="s">
        <v>119</v>
      </c>
      <c r="E15" s="92"/>
      <c r="F15" s="93"/>
      <c r="G15" s="84" t="str">
        <f>IF(ISERROR(VLOOKUP(D15, '[1]4. Billing Det. for Def-Var'!$A$16:$B$16, 2, FALSE)),"", VLOOKUP(D15,'[1]4. Billing Det. for Def-Var'!$A$16:$B$16, 2, FALSE))</f>
        <v/>
      </c>
      <c r="H15" s="85" t="s">
        <v>117</v>
      </c>
      <c r="I15" s="86">
        <v>1.056</v>
      </c>
      <c r="J15" s="87">
        <f t="shared" si="0"/>
        <v>1.056</v>
      </c>
      <c r="K15" s="88">
        <v>15000</v>
      </c>
      <c r="L15" s="88"/>
      <c r="M15" s="85" t="s">
        <v>118</v>
      </c>
      <c r="N15" s="89"/>
      <c r="O15" s="71"/>
    </row>
    <row r="16" spans="1:15" x14ac:dyDescent="0.25">
      <c r="A16" s="71"/>
      <c r="B16" s="71">
        <v>14</v>
      </c>
      <c r="C16" s="80">
        <f>IF(ISERROR(VLOOKUP(D16, D3:AS22, 42, FALSE)),"", VLOOKUP(D16, D3:AS22, 42, FALSE))</f>
        <v>0</v>
      </c>
      <c r="D16" s="91" t="s">
        <v>120</v>
      </c>
      <c r="E16" s="92"/>
      <c r="F16" s="93"/>
      <c r="G16" s="84" t="str">
        <f>IF(ISERROR(VLOOKUP(D16, '[1]4. Billing Det. for Def-Var'!$A$16:$B$16, 2, FALSE)),"", VLOOKUP(D16,'[1]4. Billing Det. for Def-Var'!$A$16:$B$16, 2, FALSE))</f>
        <v/>
      </c>
      <c r="H16" s="85" t="s">
        <v>121</v>
      </c>
      <c r="I16" s="86">
        <v>1.056</v>
      </c>
      <c r="J16" s="87">
        <f t="shared" si="0"/>
        <v>1.056</v>
      </c>
      <c r="K16" s="88">
        <v>20000</v>
      </c>
      <c r="L16" s="88">
        <v>60</v>
      </c>
      <c r="M16" s="85" t="s">
        <v>122</v>
      </c>
      <c r="N16" s="89"/>
      <c r="O16" s="71"/>
    </row>
    <row r="17" spans="1:15" x14ac:dyDescent="0.25">
      <c r="A17" s="71"/>
      <c r="B17" s="71">
        <v>15</v>
      </c>
      <c r="C17" s="80">
        <f>IF(ISERROR(VLOOKUP(D17, D3:AS22, 42, FALSE)),"", VLOOKUP(D17, D3:AS22, 42, FALSE))</f>
        <v>0</v>
      </c>
      <c r="D17" s="91" t="s">
        <v>120</v>
      </c>
      <c r="E17" s="92"/>
      <c r="F17" s="93"/>
      <c r="G17" s="84" t="str">
        <f>IF(ISERROR(VLOOKUP(D17, '[1]4. Billing Det. for Def-Var'!$A$16:$B$16, 2, FALSE)),"", VLOOKUP(D17,'[1]4. Billing Det. for Def-Var'!$A$16:$B$16, 2, FALSE))</f>
        <v/>
      </c>
      <c r="H17" s="85" t="s">
        <v>121</v>
      </c>
      <c r="I17" s="86">
        <v>1.056</v>
      </c>
      <c r="J17" s="87">
        <f t="shared" si="0"/>
        <v>1.056</v>
      </c>
      <c r="K17" s="88">
        <v>500000</v>
      </c>
      <c r="L17" s="88">
        <v>750</v>
      </c>
      <c r="M17" s="85" t="s">
        <v>122</v>
      </c>
      <c r="N17" s="89"/>
      <c r="O17" s="71"/>
    </row>
    <row r="18" spans="1:15" x14ac:dyDescent="0.25">
      <c r="A18" s="71"/>
      <c r="B18" s="71">
        <v>16</v>
      </c>
      <c r="C18" s="80">
        <f>IF(ISERROR(VLOOKUP(D18, D3:AS22, 42, FALSE)),"", VLOOKUP(D18, D3:AS22, 42, FALSE))</f>
        <v>0</v>
      </c>
      <c r="D18" s="91" t="s">
        <v>123</v>
      </c>
      <c r="E18" s="92"/>
      <c r="F18" s="93"/>
      <c r="G18" s="84" t="str">
        <f>IF(ISERROR(VLOOKUP(D18, '[1]4. Billing Det. for Def-Var'!$A$16:$B$16, 2, FALSE)),"", VLOOKUP(D18,'[1]4. Billing Det. for Def-Var'!$A$16:$B$16, 2, FALSE))</f>
        <v/>
      </c>
      <c r="H18" s="85" t="s">
        <v>121</v>
      </c>
      <c r="I18" s="86">
        <v>1.056</v>
      </c>
      <c r="J18" s="87">
        <f t="shared" si="0"/>
        <v>1.056</v>
      </c>
      <c r="K18" s="88">
        <v>1000000</v>
      </c>
      <c r="L18" s="88">
        <v>2000</v>
      </c>
      <c r="M18" s="85" t="s">
        <v>124</v>
      </c>
      <c r="N18" s="89"/>
      <c r="O18" s="71"/>
    </row>
    <row r="19" spans="1:15" x14ac:dyDescent="0.25">
      <c r="A19" s="71"/>
      <c r="B19" s="71">
        <v>17</v>
      </c>
      <c r="C19" s="80">
        <f>IF(ISERROR(VLOOKUP(D19, D3:AS22, 42, FALSE)),"", VLOOKUP(D19, D3:AS22, 42, FALSE))</f>
        <v>0</v>
      </c>
      <c r="D19" s="91" t="s">
        <v>123</v>
      </c>
      <c r="E19" s="92"/>
      <c r="F19" s="93"/>
      <c r="G19" s="84" t="str">
        <f>IF(ISERROR(VLOOKUP(D19, '[1]4. Billing Det. for Def-Var'!$A$16:$B$16, 2, FALSE)),"", VLOOKUP(D19,'[1]4. Billing Det. for Def-Var'!$A$16:$B$16, 2, FALSE))</f>
        <v/>
      </c>
      <c r="H19" s="85" t="s">
        <v>121</v>
      </c>
      <c r="I19" s="86">
        <v>1.056</v>
      </c>
      <c r="J19" s="87">
        <f t="shared" si="0"/>
        <v>1.056</v>
      </c>
      <c r="K19" s="88">
        <v>3000000</v>
      </c>
      <c r="L19" s="88">
        <v>4000</v>
      </c>
      <c r="M19" s="85" t="s">
        <v>124</v>
      </c>
      <c r="N19" s="89"/>
      <c r="O19" s="71"/>
    </row>
    <row r="20" spans="1:15" x14ac:dyDescent="0.25">
      <c r="A20" s="71"/>
      <c r="B20" s="71">
        <v>18</v>
      </c>
      <c r="C20" s="80">
        <f>IF(ISERROR(VLOOKUP(D20, D3:AS22, 42, FALSE)),"", VLOOKUP(D20, D3:AS22, 42, FALSE))</f>
        <v>0</v>
      </c>
      <c r="D20" s="91" t="s">
        <v>120</v>
      </c>
      <c r="E20" s="92"/>
      <c r="F20" s="93"/>
      <c r="G20" s="84" t="str">
        <f>IF(ISERROR(VLOOKUP(D20, '[1]4. Billing Det. for Def-Var'!$A$16:$B$16, 2, FALSE)),"", VLOOKUP(D20,'[1]4. Billing Det. for Def-Var'!$A$16:$B$16, 2, FALSE))</f>
        <v/>
      </c>
      <c r="H20" s="85" t="s">
        <v>117</v>
      </c>
      <c r="I20" s="86">
        <v>1.056</v>
      </c>
      <c r="J20" s="87">
        <f t="shared" si="0"/>
        <v>1.056</v>
      </c>
      <c r="K20" s="88">
        <v>69000</v>
      </c>
      <c r="L20" s="88">
        <v>160</v>
      </c>
      <c r="M20" s="85" t="s">
        <v>122</v>
      </c>
      <c r="N20" s="89"/>
      <c r="O20" s="71"/>
    </row>
    <row r="21" spans="1:15" x14ac:dyDescent="0.25">
      <c r="A21" s="71"/>
      <c r="B21" s="71">
        <v>19</v>
      </c>
      <c r="C21" s="80">
        <f>IF(ISERROR(VLOOKUP(D10, D3:AS22, 42, FALSE)),"", VLOOKUP(D10, D3:AS22, 42, FALSE))</f>
        <v>0</v>
      </c>
      <c r="D21" s="91" t="s">
        <v>128</v>
      </c>
      <c r="E21" s="92"/>
      <c r="F21" s="93"/>
      <c r="G21" s="84" t="str">
        <f>IF(ISERROR(VLOOKUP(D21, '[1]4. Billing Det. for Def-Var'!$A$16:$B$16, 2, FALSE)),"", VLOOKUP(D21,'[1]4. Billing Det. for Def-Var'!$A$16:$B$16, 2, FALSE))</f>
        <v/>
      </c>
      <c r="H21" s="85"/>
      <c r="I21" s="86"/>
      <c r="J21" s="87" t="str">
        <f t="shared" si="0"/>
        <v/>
      </c>
      <c r="K21" s="88"/>
      <c r="L21" s="88"/>
      <c r="M21" s="85"/>
      <c r="N21" s="89"/>
      <c r="O21" s="71"/>
    </row>
    <row r="22" spans="1:15" x14ac:dyDescent="0.25">
      <c r="A22" s="71"/>
      <c r="B22" s="71">
        <v>20</v>
      </c>
      <c r="C22" s="80">
        <f>IF(ISERROR(VLOOKUP(D11, D3:AS22, 42, FALSE)),"", VLOOKUP(D11, D3:AS22, 42, FALSE))</f>
        <v>0</v>
      </c>
      <c r="D22" s="91" t="s">
        <v>128</v>
      </c>
      <c r="E22" s="92"/>
      <c r="F22" s="93"/>
      <c r="G22" s="84" t="str">
        <f>IF(ISERROR(VLOOKUP(D22, '[1]4. Billing Det. for Def-Var'!$A$16:$B$16, 2, FALSE)),"", VLOOKUP(D22,'[1]4. Billing Det. for Def-Var'!$A$16:$B$16, 2, FALSE))</f>
        <v/>
      </c>
      <c r="H22" s="85"/>
      <c r="I22" s="86"/>
      <c r="J22" s="87" t="str">
        <f t="shared" si="0"/>
        <v/>
      </c>
      <c r="K22" s="88"/>
      <c r="L22" s="88"/>
      <c r="M22" s="85"/>
      <c r="N22" s="89"/>
      <c r="O22" s="71"/>
    </row>
    <row r="23" spans="1:15" x14ac:dyDescent="0.25">
      <c r="A23" s="71"/>
      <c r="B23" s="71"/>
      <c r="C23" s="72"/>
      <c r="D23" s="71"/>
      <c r="E23" s="71"/>
      <c r="F23" s="71"/>
      <c r="G23" s="71"/>
      <c r="H23" s="71"/>
      <c r="I23" s="71"/>
      <c r="J23" s="71"/>
      <c r="K23" s="71"/>
      <c r="L23" s="71"/>
      <c r="M23" s="71"/>
      <c r="N23" s="71"/>
      <c r="O23" s="71"/>
    </row>
    <row r="24" spans="1:15" ht="15.75" x14ac:dyDescent="0.25">
      <c r="A24" s="71"/>
      <c r="B24" s="71"/>
      <c r="C24" s="72"/>
      <c r="D24" s="75" t="s">
        <v>129</v>
      </c>
      <c r="E24" s="71"/>
      <c r="F24" s="71"/>
      <c r="G24" s="71"/>
      <c r="H24" s="71"/>
      <c r="I24" s="71"/>
      <c r="J24" s="71"/>
      <c r="K24" s="71"/>
      <c r="L24" s="71"/>
      <c r="M24" s="71"/>
      <c r="N24" s="71"/>
      <c r="O24" s="71"/>
    </row>
    <row r="25" spans="1:15" x14ac:dyDescent="0.25">
      <c r="A25" s="71"/>
      <c r="B25" s="71"/>
      <c r="C25" s="72"/>
      <c r="D25" s="281" t="s">
        <v>107</v>
      </c>
      <c r="E25" s="282"/>
      <c r="F25" s="283"/>
      <c r="G25" s="290" t="s">
        <v>108</v>
      </c>
      <c r="H25" s="291" t="s">
        <v>130</v>
      </c>
      <c r="I25" s="291"/>
      <c r="J25" s="291"/>
      <c r="K25" s="291"/>
      <c r="L25" s="291"/>
      <c r="M25" s="291"/>
      <c r="N25" s="291" t="s">
        <v>93</v>
      </c>
      <c r="O25" s="291"/>
    </row>
    <row r="26" spans="1:15" x14ac:dyDescent="0.25">
      <c r="A26" s="71"/>
      <c r="B26" s="71"/>
      <c r="C26" s="72"/>
      <c r="D26" s="284"/>
      <c r="E26" s="285"/>
      <c r="F26" s="286"/>
      <c r="G26" s="290"/>
      <c r="H26" s="292" t="s">
        <v>3</v>
      </c>
      <c r="I26" s="292"/>
      <c r="J26" s="292" t="s">
        <v>6</v>
      </c>
      <c r="K26" s="292"/>
      <c r="L26" s="292" t="s">
        <v>8</v>
      </c>
      <c r="M26" s="292"/>
      <c r="N26" s="292" t="s">
        <v>131</v>
      </c>
      <c r="O26" s="292"/>
    </row>
    <row r="27" spans="1:15" x14ac:dyDescent="0.25">
      <c r="A27" s="71"/>
      <c r="B27" s="71"/>
      <c r="C27" s="72"/>
      <c r="D27" s="287"/>
      <c r="E27" s="288"/>
      <c r="F27" s="289"/>
      <c r="G27" s="290"/>
      <c r="H27" s="94" t="s">
        <v>132</v>
      </c>
      <c r="I27" s="94" t="s">
        <v>133</v>
      </c>
      <c r="J27" s="94" t="s">
        <v>132</v>
      </c>
      <c r="K27" s="94" t="s">
        <v>133</v>
      </c>
      <c r="L27" s="94" t="s">
        <v>132</v>
      </c>
      <c r="M27" s="94" t="s">
        <v>133</v>
      </c>
      <c r="N27" s="94" t="s">
        <v>132</v>
      </c>
      <c r="O27" s="94" t="s">
        <v>133</v>
      </c>
    </row>
    <row r="28" spans="1:15" x14ac:dyDescent="0.25">
      <c r="A28" s="71"/>
      <c r="B28" s="71" t="str">
        <f>H3</f>
        <v>RPP</v>
      </c>
      <c r="C28" s="72">
        <v>1</v>
      </c>
      <c r="D28" s="293" t="str">
        <f t="shared" ref="D28:D47" si="1">IF(ISBLANK(D3), "", IF(D3 = "Add additional scenarios if required", "", IF(M3="YES", D3 &amp; " - " &amp; H3 &amp; " - Interval Customers", D3 &amp; " - " &amp;H3)))</f>
        <v>RESIDENTIAL SERVICE CLASSIFICATION - RPP</v>
      </c>
      <c r="E28" s="294"/>
      <c r="F28" s="294"/>
      <c r="G28" s="95" t="str">
        <f t="shared" ref="G28:G42" si="2">IF(ISBLANK(G3), "", G3)</f>
        <v/>
      </c>
      <c r="H28" s="96" t="str">
        <f>IF(LEN($G28)&gt;1, (SUMPRODUCT(--($C$51:$C$1973=$B3), --($A$51:$A$1973=$D3), --($B$51:$B$1973="ST_A"), $L$51:$L$1973)), "")</f>
        <v/>
      </c>
      <c r="I28" s="97" t="str">
        <f>IF(LEN($G28)&gt;1, (SUMPRODUCT(--($C$51:$C$1973=$B3), --($A$51:$A$1973=$D3), --($B$51:$B$1973="ST_A"), $M$51:$M$1973)), "")</f>
        <v/>
      </c>
      <c r="J28" s="96" t="str">
        <f>IF(LEN($G28)&gt;1, (SUMPRODUCT(--($C$51:$C$1973=$B3), --($A$51:$A$1973=$D3), --($B$51:$B$1973="ST_B"), $L$51:$L$1973)), "")</f>
        <v/>
      </c>
      <c r="K28" s="97" t="str">
        <f>IF(LEN($G28)&gt;1, (SUMPRODUCT(--($C$51:$C$1973=$B3), --($A$51:$A$1973=$D3), --($B$51:$B$1973="ST_B"), $M$51:$M$1973)), "")</f>
        <v/>
      </c>
      <c r="L28" s="96" t="str">
        <f>IF(LEN($G28)&gt;1, (SUMPRODUCT(--($C$51:$C$1973=$B3), --($A$51:$A$1973=$D3), --($B$51:$B$1973="ST_C"), $L$51:$L$1973)), "")</f>
        <v/>
      </c>
      <c r="M28" s="97" t="str">
        <f>IF(LEN($G28)&gt;1, (SUMPRODUCT(--($C$51:$C$1973=$B3), --($A$51:$A$1973=$D3), --($B$51:$B$1973="ST_C"), $M$51:$M$1973)), "")</f>
        <v/>
      </c>
      <c r="N28" s="96" t="str">
        <f>IF(LEN($G28)&gt;1, (SUMPRODUCT(--($C$51:$C$1973=$B3), --($A$51:$A$1973=$D3), --($B$51:$B$1973=$B28&amp;"_TOTAL"), $L$51:$L$1973)), "")</f>
        <v/>
      </c>
      <c r="O28" s="97" t="str">
        <f>IF(LEN($G28)&gt;1, (SUMPRODUCT(--($C$51:$C$1973=$B3), --($A$51:$A$1973=$D3), --($B$51:$B$1973=$B28&amp;"_TOTAL"), $M$51:$M$1973)), "")</f>
        <v/>
      </c>
    </row>
    <row r="29" spans="1:15" x14ac:dyDescent="0.25">
      <c r="A29" s="71"/>
      <c r="B29" s="71" t="str">
        <f t="shared" ref="B29:B47" si="3">H4</f>
        <v>RPP</v>
      </c>
      <c r="C29" s="72">
        <v>2</v>
      </c>
      <c r="D29" s="293" t="str">
        <f t="shared" si="1"/>
        <v>GENERAL SERVICE LESS THAN 50 KW SERVICE CLASSIFICATION - RPP</v>
      </c>
      <c r="E29" s="294"/>
      <c r="F29" s="294"/>
      <c r="G29" s="95" t="str">
        <f t="shared" si="2"/>
        <v/>
      </c>
      <c r="H29" s="96" t="str">
        <f t="shared" ref="H29:H47" si="4">IF(LEN($G29)&gt;1, (SUMPRODUCT(--($C$51:$C$1973=$B4), --($A$51:$A$1973=$D4), --($B$51:$B$1973="ST_A"), $L$51:$L$1973)), "")</f>
        <v/>
      </c>
      <c r="I29" s="97" t="str">
        <f t="shared" ref="I29:I47" si="5">IF(LEN($G29)&gt;1, (SUMPRODUCT(--($C$51:$C$1973=$B4), --($A$51:$A$1973=$D4), --($B$51:$B$1973="ST_A"), $M$51:$M$1973)), "")</f>
        <v/>
      </c>
      <c r="J29" s="96" t="str">
        <f t="shared" ref="J29:J47" si="6">IF(LEN($G29)&gt;1, (SUMPRODUCT(--($C$51:$C$1973=$B4), --($A$51:$A$1973=$D4), --($B$51:$B$1973="ST_B"), $L$51:$L$1973)), "")</f>
        <v/>
      </c>
      <c r="K29" s="97" t="str">
        <f t="shared" ref="K29:K47" si="7">IF(LEN($G29)&gt;1, (SUMPRODUCT(--($C$51:$C$1973=$B4), --($A$51:$A$1973=$D4), --($B$51:$B$1973="ST_B"), $M$51:$M$1973)), "")</f>
        <v/>
      </c>
      <c r="L29" s="96" t="str">
        <f t="shared" ref="L29:L47" si="8">IF(LEN($G29)&gt;1, (SUMPRODUCT(--($C$51:$C$1973=$B4), --($A$51:$A$1973=$D4), --($B$51:$B$1973="ST_C"), $L$51:$L$1973)), "")</f>
        <v/>
      </c>
      <c r="M29" s="97" t="str">
        <f t="shared" ref="M29:M47" si="9">IF(LEN($G29)&gt;1, (SUMPRODUCT(--($C$51:$C$1973=$B4), --($A$51:$A$1973=$D4), --($B$51:$B$1973="ST_C"), $M$51:$M$1973)), "")</f>
        <v/>
      </c>
      <c r="N29" s="96" t="str">
        <f t="shared" ref="N29:N47" si="10">IF(LEN($G29)&gt;1, (SUMPRODUCT(--($C$51:$C$1973=$B4), --($A$51:$A$1973=$D4), --($B$51:$B$1973=$B29&amp;"_TOTAL"), $L$51:$L$1973)), "")</f>
        <v/>
      </c>
      <c r="O29" s="97" t="str">
        <f t="shared" ref="O29:O47" si="11">IF(LEN($G29)&gt;1, (SUMPRODUCT(--($C$51:$C$1973=$B4), --($A$51:$A$1973=$D4), --($B$51:$B$1973=$B29&amp;"_TOTAL"), $M$51:$M$1973)), "")</f>
        <v/>
      </c>
    </row>
    <row r="30" spans="1:15" x14ac:dyDescent="0.25">
      <c r="A30" s="71"/>
      <c r="B30" s="71" t="str">
        <f t="shared" si="3"/>
        <v>Non-RPP (Other)</v>
      </c>
      <c r="C30" s="72">
        <v>3</v>
      </c>
      <c r="D30" s="293" t="str">
        <f t="shared" si="1"/>
        <v>GENERAL SERVICE 50 TO 999 KW SERVICE CLASSIFICATION - Non-RPP (Other)</v>
      </c>
      <c r="E30" s="294"/>
      <c r="F30" s="294"/>
      <c r="G30" s="95" t="str">
        <f t="shared" si="2"/>
        <v/>
      </c>
      <c r="H30" s="96" t="str">
        <f t="shared" si="4"/>
        <v/>
      </c>
      <c r="I30" s="97" t="str">
        <f t="shared" si="5"/>
        <v/>
      </c>
      <c r="J30" s="96" t="str">
        <f t="shared" si="6"/>
        <v/>
      </c>
      <c r="K30" s="97" t="str">
        <f t="shared" si="7"/>
        <v/>
      </c>
      <c r="L30" s="96" t="str">
        <f t="shared" si="8"/>
        <v/>
      </c>
      <c r="M30" s="97" t="str">
        <f t="shared" si="9"/>
        <v/>
      </c>
      <c r="N30" s="96" t="str">
        <f t="shared" si="10"/>
        <v/>
      </c>
      <c r="O30" s="97" t="str">
        <f t="shared" si="11"/>
        <v/>
      </c>
    </row>
    <row r="31" spans="1:15" x14ac:dyDescent="0.25">
      <c r="A31" s="71"/>
      <c r="B31" s="71" t="str">
        <f t="shared" si="3"/>
        <v>Non-RPP (Other)</v>
      </c>
      <c r="C31" s="72">
        <v>4</v>
      </c>
      <c r="D31" s="293" t="str">
        <f t="shared" si="1"/>
        <v>GENERAL SERVICE 1,000 TO 4,999 KW SERVICE CLASSIFICATION - Non-RPP (Other)</v>
      </c>
      <c r="E31" s="294"/>
      <c r="F31" s="294"/>
      <c r="G31" s="95" t="str">
        <f t="shared" si="2"/>
        <v/>
      </c>
      <c r="H31" s="96" t="str">
        <f t="shared" si="4"/>
        <v/>
      </c>
      <c r="I31" s="97" t="str">
        <f t="shared" si="5"/>
        <v/>
      </c>
      <c r="J31" s="96" t="str">
        <f t="shared" si="6"/>
        <v/>
      </c>
      <c r="K31" s="97" t="str">
        <f t="shared" si="7"/>
        <v/>
      </c>
      <c r="L31" s="96" t="str">
        <f t="shared" si="8"/>
        <v/>
      </c>
      <c r="M31" s="97" t="str">
        <f t="shared" si="9"/>
        <v/>
      </c>
      <c r="N31" s="96" t="str">
        <f t="shared" si="10"/>
        <v/>
      </c>
      <c r="O31" s="97" t="str">
        <f t="shared" si="11"/>
        <v/>
      </c>
    </row>
    <row r="32" spans="1:15" x14ac:dyDescent="0.25">
      <c r="A32" s="71"/>
      <c r="B32" s="71" t="str">
        <f t="shared" si="3"/>
        <v>RPP</v>
      </c>
      <c r="C32" s="72">
        <v>5</v>
      </c>
      <c r="D32" s="293" t="str">
        <f t="shared" si="1"/>
        <v>UNMETERED SCATTERED LOAD SERVICE CLASSIFICATION - RPP</v>
      </c>
      <c r="E32" s="294"/>
      <c r="F32" s="294"/>
      <c r="G32" s="95" t="str">
        <f t="shared" si="2"/>
        <v/>
      </c>
      <c r="H32" s="96" t="str">
        <f t="shared" si="4"/>
        <v/>
      </c>
      <c r="I32" s="97" t="str">
        <f t="shared" si="5"/>
        <v/>
      </c>
      <c r="J32" s="96" t="str">
        <f t="shared" si="6"/>
        <v/>
      </c>
      <c r="K32" s="97" t="str">
        <f t="shared" si="7"/>
        <v/>
      </c>
      <c r="L32" s="96" t="str">
        <f t="shared" si="8"/>
        <v/>
      </c>
      <c r="M32" s="97" t="str">
        <f t="shared" si="9"/>
        <v/>
      </c>
      <c r="N32" s="96" t="str">
        <f t="shared" si="10"/>
        <v/>
      </c>
      <c r="O32" s="97" t="str">
        <f t="shared" si="11"/>
        <v/>
      </c>
    </row>
    <row r="33" spans="1:15" x14ac:dyDescent="0.25">
      <c r="A33" s="71"/>
      <c r="B33" s="71" t="str">
        <f t="shared" si="3"/>
        <v>RPP</v>
      </c>
      <c r="C33" s="72">
        <v>6</v>
      </c>
      <c r="D33" s="293" t="str">
        <f t="shared" si="1"/>
        <v>SENTINEL LIGHTING SERVICE CLASSIFICATION - RPP</v>
      </c>
      <c r="E33" s="294"/>
      <c r="F33" s="294"/>
      <c r="G33" s="95" t="str">
        <f t="shared" si="2"/>
        <v/>
      </c>
      <c r="H33" s="96" t="str">
        <f t="shared" si="4"/>
        <v/>
      </c>
      <c r="I33" s="97" t="str">
        <f t="shared" si="5"/>
        <v/>
      </c>
      <c r="J33" s="96" t="str">
        <f t="shared" si="6"/>
        <v/>
      </c>
      <c r="K33" s="97" t="str">
        <f t="shared" si="7"/>
        <v/>
      </c>
      <c r="L33" s="96" t="str">
        <f t="shared" si="8"/>
        <v/>
      </c>
      <c r="M33" s="97" t="str">
        <f t="shared" si="9"/>
        <v/>
      </c>
      <c r="N33" s="96" t="str">
        <f t="shared" si="10"/>
        <v/>
      </c>
      <c r="O33" s="97" t="str">
        <f t="shared" si="11"/>
        <v/>
      </c>
    </row>
    <row r="34" spans="1:15" x14ac:dyDescent="0.25">
      <c r="A34" s="71"/>
      <c r="B34" s="71" t="str">
        <f t="shared" si="3"/>
        <v>Non-RPP (Other)</v>
      </c>
      <c r="C34" s="72">
        <v>7</v>
      </c>
      <c r="D34" s="293" t="str">
        <f t="shared" si="1"/>
        <v>STREET LIGHTING SERVICE CLASSIFICATION - Non-RPP (Other)</v>
      </c>
      <c r="E34" s="294"/>
      <c r="F34" s="294"/>
      <c r="G34" s="95" t="str">
        <f t="shared" si="2"/>
        <v/>
      </c>
      <c r="H34" s="96" t="str">
        <f t="shared" si="4"/>
        <v/>
      </c>
      <c r="I34" s="97" t="str">
        <f t="shared" si="5"/>
        <v/>
      </c>
      <c r="J34" s="96" t="str">
        <f t="shared" si="6"/>
        <v/>
      </c>
      <c r="K34" s="97" t="str">
        <f t="shared" si="7"/>
        <v/>
      </c>
      <c r="L34" s="96" t="str">
        <f t="shared" si="8"/>
        <v/>
      </c>
      <c r="M34" s="97" t="str">
        <f t="shared" si="9"/>
        <v/>
      </c>
      <c r="N34" s="96" t="str">
        <f t="shared" si="10"/>
        <v/>
      </c>
      <c r="O34" s="97" t="str">
        <f t="shared" si="11"/>
        <v/>
      </c>
    </row>
    <row r="35" spans="1:15" x14ac:dyDescent="0.25">
      <c r="A35" s="71"/>
      <c r="B35" s="71" t="str">
        <f t="shared" si="3"/>
        <v>RPP</v>
      </c>
      <c r="C35" s="72">
        <v>8</v>
      </c>
      <c r="D35" s="293" t="str">
        <f t="shared" si="1"/>
        <v>RESIDENTIAL SERVICE CLASSIFICATION - RPP</v>
      </c>
      <c r="E35" s="294"/>
      <c r="F35" s="294"/>
      <c r="G35" s="95" t="str">
        <f t="shared" si="2"/>
        <v/>
      </c>
      <c r="H35" s="96" t="str">
        <f t="shared" si="4"/>
        <v/>
      </c>
      <c r="I35" s="97" t="str">
        <f t="shared" si="5"/>
        <v/>
      </c>
      <c r="J35" s="96" t="str">
        <f t="shared" si="6"/>
        <v/>
      </c>
      <c r="K35" s="97" t="str">
        <f t="shared" si="7"/>
        <v/>
      </c>
      <c r="L35" s="96" t="str">
        <f t="shared" si="8"/>
        <v/>
      </c>
      <c r="M35" s="97" t="str">
        <f t="shared" si="9"/>
        <v/>
      </c>
      <c r="N35" s="96" t="str">
        <f t="shared" si="10"/>
        <v/>
      </c>
      <c r="O35" s="97" t="str">
        <f t="shared" si="11"/>
        <v/>
      </c>
    </row>
    <row r="36" spans="1:15" x14ac:dyDescent="0.25">
      <c r="A36" s="71"/>
      <c r="B36" s="71" t="str">
        <f t="shared" si="3"/>
        <v>RPP</v>
      </c>
      <c r="C36" s="72">
        <v>9</v>
      </c>
      <c r="D36" s="293" t="str">
        <f t="shared" si="1"/>
        <v>RESIDENTIAL SERVICE CLASSIFICATION - RPP</v>
      </c>
      <c r="E36" s="294"/>
      <c r="F36" s="294"/>
      <c r="G36" s="95" t="str">
        <f t="shared" si="2"/>
        <v/>
      </c>
      <c r="H36" s="96" t="str">
        <f t="shared" si="4"/>
        <v/>
      </c>
      <c r="I36" s="97" t="str">
        <f t="shared" si="5"/>
        <v/>
      </c>
      <c r="J36" s="96" t="str">
        <f t="shared" si="6"/>
        <v/>
      </c>
      <c r="K36" s="97" t="str">
        <f t="shared" si="7"/>
        <v/>
      </c>
      <c r="L36" s="96" t="str">
        <f t="shared" si="8"/>
        <v/>
      </c>
      <c r="M36" s="97" t="str">
        <f t="shared" si="9"/>
        <v/>
      </c>
      <c r="N36" s="96" t="str">
        <f t="shared" si="10"/>
        <v/>
      </c>
      <c r="O36" s="97" t="str">
        <f t="shared" si="11"/>
        <v/>
      </c>
    </row>
    <row r="37" spans="1:15" x14ac:dyDescent="0.25">
      <c r="A37" s="71"/>
      <c r="B37" s="71" t="str">
        <f t="shared" si="3"/>
        <v>RPP</v>
      </c>
      <c r="C37" s="72">
        <v>10</v>
      </c>
      <c r="D37" s="293" t="str">
        <f t="shared" si="1"/>
        <v>RESIDENTIAL SERVICE CLASSIFICATION - RPP</v>
      </c>
      <c r="E37" s="294"/>
      <c r="F37" s="294"/>
      <c r="G37" s="95" t="str">
        <f t="shared" si="2"/>
        <v/>
      </c>
      <c r="H37" s="96" t="str">
        <f t="shared" si="4"/>
        <v/>
      </c>
      <c r="I37" s="97" t="str">
        <f t="shared" si="5"/>
        <v/>
      </c>
      <c r="J37" s="96" t="str">
        <f t="shared" si="6"/>
        <v/>
      </c>
      <c r="K37" s="97" t="str">
        <f t="shared" si="7"/>
        <v/>
      </c>
      <c r="L37" s="96" t="str">
        <f t="shared" si="8"/>
        <v/>
      </c>
      <c r="M37" s="97" t="str">
        <f t="shared" si="9"/>
        <v/>
      </c>
      <c r="N37" s="96" t="str">
        <f t="shared" si="10"/>
        <v/>
      </c>
      <c r="O37" s="97" t="str">
        <f t="shared" si="11"/>
        <v/>
      </c>
    </row>
    <row r="38" spans="1:15" x14ac:dyDescent="0.25">
      <c r="A38" s="71"/>
      <c r="B38" s="71" t="str">
        <f t="shared" si="3"/>
        <v>RPP</v>
      </c>
      <c r="C38" s="72">
        <v>11</v>
      </c>
      <c r="D38" s="293" t="str">
        <f t="shared" si="1"/>
        <v>GENERAL SERVICE LESS THAN 50 KW SERVICE CLASSIFICATION - RPP</v>
      </c>
      <c r="E38" s="294"/>
      <c r="F38" s="294"/>
      <c r="G38" s="95" t="str">
        <f t="shared" si="2"/>
        <v/>
      </c>
      <c r="H38" s="96" t="str">
        <f t="shared" si="4"/>
        <v/>
      </c>
      <c r="I38" s="97" t="str">
        <f t="shared" si="5"/>
        <v/>
      </c>
      <c r="J38" s="96" t="str">
        <f t="shared" si="6"/>
        <v/>
      </c>
      <c r="K38" s="97" t="str">
        <f t="shared" si="7"/>
        <v/>
      </c>
      <c r="L38" s="96" t="str">
        <f t="shared" si="8"/>
        <v/>
      </c>
      <c r="M38" s="97" t="str">
        <f t="shared" si="9"/>
        <v/>
      </c>
      <c r="N38" s="96" t="str">
        <f t="shared" si="10"/>
        <v/>
      </c>
      <c r="O38" s="97" t="str">
        <f t="shared" si="11"/>
        <v/>
      </c>
    </row>
    <row r="39" spans="1:15" x14ac:dyDescent="0.25">
      <c r="A39" s="71"/>
      <c r="B39" s="71" t="str">
        <f t="shared" si="3"/>
        <v>RPP</v>
      </c>
      <c r="C39" s="72">
        <v>12</v>
      </c>
      <c r="D39" s="293" t="str">
        <f t="shared" si="1"/>
        <v>GENERAL SERVICE LESS THAN 50 KW SERVICE CLASSIFICATION - RPP</v>
      </c>
      <c r="E39" s="294"/>
      <c r="F39" s="294"/>
      <c r="G39" s="95" t="str">
        <f t="shared" si="2"/>
        <v/>
      </c>
      <c r="H39" s="96" t="str">
        <f t="shared" si="4"/>
        <v/>
      </c>
      <c r="I39" s="97" t="str">
        <f t="shared" si="5"/>
        <v/>
      </c>
      <c r="J39" s="96" t="str">
        <f t="shared" si="6"/>
        <v/>
      </c>
      <c r="K39" s="97" t="str">
        <f t="shared" si="7"/>
        <v/>
      </c>
      <c r="L39" s="96" t="str">
        <f t="shared" si="8"/>
        <v/>
      </c>
      <c r="M39" s="97" t="str">
        <f t="shared" si="9"/>
        <v/>
      </c>
      <c r="N39" s="96" t="str">
        <f t="shared" si="10"/>
        <v/>
      </c>
      <c r="O39" s="97" t="str">
        <f t="shared" si="11"/>
        <v/>
      </c>
    </row>
    <row r="40" spans="1:15" x14ac:dyDescent="0.25">
      <c r="A40" s="71"/>
      <c r="B40" s="71" t="str">
        <f t="shared" si="3"/>
        <v>RPP</v>
      </c>
      <c r="C40" s="72">
        <v>13</v>
      </c>
      <c r="D40" s="293" t="str">
        <f t="shared" si="1"/>
        <v>GENERAL SERVICE LESS THAN 50 KW SERVICE CLASSIFICATION - RPP</v>
      </c>
      <c r="E40" s="294"/>
      <c r="F40" s="294"/>
      <c r="G40" s="95" t="str">
        <f t="shared" si="2"/>
        <v/>
      </c>
      <c r="H40" s="96" t="str">
        <f t="shared" si="4"/>
        <v/>
      </c>
      <c r="I40" s="97" t="str">
        <f t="shared" si="5"/>
        <v/>
      </c>
      <c r="J40" s="96" t="str">
        <f t="shared" si="6"/>
        <v/>
      </c>
      <c r="K40" s="97" t="str">
        <f t="shared" si="7"/>
        <v/>
      </c>
      <c r="L40" s="96" t="str">
        <f t="shared" si="8"/>
        <v/>
      </c>
      <c r="M40" s="97" t="str">
        <f t="shared" si="9"/>
        <v/>
      </c>
      <c r="N40" s="96" t="str">
        <f t="shared" si="10"/>
        <v/>
      </c>
      <c r="O40" s="97" t="str">
        <f t="shared" si="11"/>
        <v/>
      </c>
    </row>
    <row r="41" spans="1:15" x14ac:dyDescent="0.25">
      <c r="A41" s="71"/>
      <c r="B41" s="71" t="str">
        <f t="shared" si="3"/>
        <v>Non-RPP (Other)</v>
      </c>
      <c r="C41" s="72">
        <v>14</v>
      </c>
      <c r="D41" s="293" t="str">
        <f t="shared" si="1"/>
        <v>GENERAL SERVICE 50 TO 999 KW SERVICE CLASSIFICATION - Non-RPP (Other)</v>
      </c>
      <c r="E41" s="294"/>
      <c r="F41" s="294"/>
      <c r="G41" s="95" t="str">
        <f t="shared" si="2"/>
        <v/>
      </c>
      <c r="H41" s="96" t="str">
        <f t="shared" si="4"/>
        <v/>
      </c>
      <c r="I41" s="97" t="str">
        <f t="shared" si="5"/>
        <v/>
      </c>
      <c r="J41" s="96" t="str">
        <f t="shared" si="6"/>
        <v/>
      </c>
      <c r="K41" s="97" t="str">
        <f t="shared" si="7"/>
        <v/>
      </c>
      <c r="L41" s="96" t="str">
        <f t="shared" si="8"/>
        <v/>
      </c>
      <c r="M41" s="97" t="str">
        <f t="shared" si="9"/>
        <v/>
      </c>
      <c r="N41" s="96" t="str">
        <f t="shared" si="10"/>
        <v/>
      </c>
      <c r="O41" s="97" t="str">
        <f t="shared" si="11"/>
        <v/>
      </c>
    </row>
    <row r="42" spans="1:15" x14ac:dyDescent="0.25">
      <c r="A42" s="71"/>
      <c r="B42" s="71" t="str">
        <f t="shared" si="3"/>
        <v>Non-RPP (Other)</v>
      </c>
      <c r="C42" s="72">
        <v>15</v>
      </c>
      <c r="D42" s="293" t="str">
        <f t="shared" si="1"/>
        <v>GENERAL SERVICE 50 TO 999 KW SERVICE CLASSIFICATION - Non-RPP (Other)</v>
      </c>
      <c r="E42" s="294"/>
      <c r="F42" s="294"/>
      <c r="G42" s="95" t="str">
        <f t="shared" si="2"/>
        <v/>
      </c>
      <c r="H42" s="96" t="str">
        <f t="shared" si="4"/>
        <v/>
      </c>
      <c r="I42" s="97" t="str">
        <f t="shared" si="5"/>
        <v/>
      </c>
      <c r="J42" s="96" t="str">
        <f t="shared" si="6"/>
        <v/>
      </c>
      <c r="K42" s="97" t="str">
        <f t="shared" si="7"/>
        <v/>
      </c>
      <c r="L42" s="96" t="str">
        <f t="shared" si="8"/>
        <v/>
      </c>
      <c r="M42" s="97" t="str">
        <f t="shared" si="9"/>
        <v/>
      </c>
      <c r="N42" s="96" t="str">
        <f t="shared" si="10"/>
        <v/>
      </c>
      <c r="O42" s="97" t="str">
        <f t="shared" si="11"/>
        <v/>
      </c>
    </row>
    <row r="43" spans="1:15" x14ac:dyDescent="0.25">
      <c r="A43" s="71"/>
      <c r="B43" s="71" t="str">
        <f t="shared" si="3"/>
        <v>Non-RPP (Other)</v>
      </c>
      <c r="C43" s="72">
        <v>16</v>
      </c>
      <c r="D43" s="293" t="str">
        <f t="shared" si="1"/>
        <v>GENERAL SERVICE 1,000 TO 4,999 KW SERVICE CLASSIFICATION - Non-RPP (Other)</v>
      </c>
      <c r="E43" s="294"/>
      <c r="F43" s="294"/>
      <c r="G43" s="95" t="str">
        <f>IF(ISBLANK(G18), "", G18)</f>
        <v/>
      </c>
      <c r="H43" s="96" t="str">
        <f t="shared" si="4"/>
        <v/>
      </c>
      <c r="I43" s="97" t="str">
        <f t="shared" si="5"/>
        <v/>
      </c>
      <c r="J43" s="96" t="str">
        <f t="shared" si="6"/>
        <v/>
      </c>
      <c r="K43" s="97" t="str">
        <f t="shared" si="7"/>
        <v/>
      </c>
      <c r="L43" s="96" t="str">
        <f t="shared" si="8"/>
        <v/>
      </c>
      <c r="M43" s="97" t="str">
        <f t="shared" si="9"/>
        <v/>
      </c>
      <c r="N43" s="96" t="str">
        <f t="shared" si="10"/>
        <v/>
      </c>
      <c r="O43" s="97" t="str">
        <f t="shared" si="11"/>
        <v/>
      </c>
    </row>
    <row r="44" spans="1:15" x14ac:dyDescent="0.25">
      <c r="A44" s="71"/>
      <c r="B44" s="71" t="str">
        <f t="shared" si="3"/>
        <v>Non-RPP (Other)</v>
      </c>
      <c r="C44" s="72">
        <v>17</v>
      </c>
      <c r="D44" s="293" t="str">
        <f t="shared" si="1"/>
        <v>GENERAL SERVICE 1,000 TO 4,999 KW SERVICE CLASSIFICATION - Non-RPP (Other)</v>
      </c>
      <c r="E44" s="294"/>
      <c r="F44" s="294"/>
      <c r="G44" s="95" t="str">
        <f>IF(ISBLANK(G19), "", G19)</f>
        <v/>
      </c>
      <c r="H44" s="96" t="str">
        <f t="shared" si="4"/>
        <v/>
      </c>
      <c r="I44" s="97" t="str">
        <f t="shared" si="5"/>
        <v/>
      </c>
      <c r="J44" s="96" t="str">
        <f t="shared" si="6"/>
        <v/>
      </c>
      <c r="K44" s="97" t="str">
        <f t="shared" si="7"/>
        <v/>
      </c>
      <c r="L44" s="96" t="str">
        <f t="shared" si="8"/>
        <v/>
      </c>
      <c r="M44" s="97" t="str">
        <f t="shared" si="9"/>
        <v/>
      </c>
      <c r="N44" s="96" t="str">
        <f t="shared" si="10"/>
        <v/>
      </c>
      <c r="O44" s="97" t="str">
        <f t="shared" si="11"/>
        <v/>
      </c>
    </row>
    <row r="45" spans="1:15" x14ac:dyDescent="0.25">
      <c r="A45" s="71"/>
      <c r="B45" s="71" t="str">
        <f t="shared" si="3"/>
        <v>RPP</v>
      </c>
      <c r="C45" s="72">
        <v>18</v>
      </c>
      <c r="D45" s="293" t="str">
        <f t="shared" si="1"/>
        <v>GENERAL SERVICE 50 TO 999 KW SERVICE CLASSIFICATION - RPP</v>
      </c>
      <c r="E45" s="294"/>
      <c r="F45" s="294"/>
      <c r="G45" s="95" t="str">
        <f>IF(ISBLANK(G20), "", G20)</f>
        <v/>
      </c>
      <c r="H45" s="96" t="str">
        <f t="shared" si="4"/>
        <v/>
      </c>
      <c r="I45" s="97" t="str">
        <f t="shared" si="5"/>
        <v/>
      </c>
      <c r="J45" s="96" t="str">
        <f t="shared" si="6"/>
        <v/>
      </c>
      <c r="K45" s="97" t="str">
        <f t="shared" si="7"/>
        <v/>
      </c>
      <c r="L45" s="96" t="str">
        <f t="shared" si="8"/>
        <v/>
      </c>
      <c r="M45" s="97" t="str">
        <f t="shared" si="9"/>
        <v/>
      </c>
      <c r="N45" s="96" t="str">
        <f t="shared" si="10"/>
        <v/>
      </c>
      <c r="O45" s="97" t="str">
        <f t="shared" si="11"/>
        <v/>
      </c>
    </row>
    <row r="46" spans="1:15" x14ac:dyDescent="0.25">
      <c r="A46" s="71"/>
      <c r="B46" s="71">
        <f t="shared" si="3"/>
        <v>0</v>
      </c>
      <c r="C46" s="72">
        <v>19</v>
      </c>
      <c r="D46" s="293" t="str">
        <f t="shared" si="1"/>
        <v/>
      </c>
      <c r="E46" s="294"/>
      <c r="F46" s="294"/>
      <c r="G46" s="95" t="str">
        <f>IF(ISBLANK(G21), "", G21)</f>
        <v/>
      </c>
      <c r="H46" s="96" t="str">
        <f t="shared" si="4"/>
        <v/>
      </c>
      <c r="I46" s="97" t="str">
        <f t="shared" si="5"/>
        <v/>
      </c>
      <c r="J46" s="96" t="str">
        <f t="shared" si="6"/>
        <v/>
      </c>
      <c r="K46" s="97" t="str">
        <f t="shared" si="7"/>
        <v/>
      </c>
      <c r="L46" s="96" t="str">
        <f t="shared" si="8"/>
        <v/>
      </c>
      <c r="M46" s="97" t="str">
        <f t="shared" si="9"/>
        <v/>
      </c>
      <c r="N46" s="96" t="str">
        <f t="shared" si="10"/>
        <v/>
      </c>
      <c r="O46" s="97" t="str">
        <f t="shared" si="11"/>
        <v/>
      </c>
    </row>
    <row r="47" spans="1:15" x14ac:dyDescent="0.25">
      <c r="A47" s="71"/>
      <c r="B47" s="71">
        <f t="shared" si="3"/>
        <v>0</v>
      </c>
      <c r="C47" s="72">
        <v>20</v>
      </c>
      <c r="D47" s="293" t="str">
        <f t="shared" si="1"/>
        <v/>
      </c>
      <c r="E47" s="294"/>
      <c r="F47" s="294"/>
      <c r="G47" s="95" t="str">
        <f>IF(ISBLANK(G22), "", G22)</f>
        <v/>
      </c>
      <c r="H47" s="96" t="str">
        <f t="shared" si="4"/>
        <v/>
      </c>
      <c r="I47" s="97" t="str">
        <f t="shared" si="5"/>
        <v/>
      </c>
      <c r="J47" s="96" t="str">
        <f t="shared" si="6"/>
        <v/>
      </c>
      <c r="K47" s="97" t="str">
        <f t="shared" si="7"/>
        <v/>
      </c>
      <c r="L47" s="96" t="str">
        <f t="shared" si="8"/>
        <v/>
      </c>
      <c r="M47" s="97" t="str">
        <f t="shared" si="9"/>
        <v/>
      </c>
      <c r="N47" s="96" t="str">
        <f t="shared" si="10"/>
        <v/>
      </c>
      <c r="O47" s="97" t="str">
        <f t="shared" si="11"/>
        <v/>
      </c>
    </row>
    <row r="48" spans="1:15" x14ac:dyDescent="0.25">
      <c r="A48" s="71"/>
      <c r="B48" s="71"/>
      <c r="C48" s="72"/>
      <c r="D48" s="71"/>
      <c r="E48" s="71"/>
      <c r="F48" s="71"/>
      <c r="G48" s="71"/>
      <c r="H48" s="71"/>
      <c r="I48" s="71"/>
      <c r="J48" s="71"/>
      <c r="K48" s="71"/>
      <c r="L48" s="71"/>
      <c r="M48" s="71"/>
      <c r="N48" s="71"/>
      <c r="O48" s="71"/>
    </row>
    <row r="49" spans="1:15" x14ac:dyDescent="0.25">
      <c r="A49" s="98"/>
      <c r="B49" s="98"/>
      <c r="C49" s="99"/>
      <c r="D49" s="98"/>
      <c r="E49" s="98"/>
      <c r="F49" s="98"/>
      <c r="G49" s="98"/>
      <c r="H49" s="98"/>
      <c r="I49" s="98"/>
      <c r="J49" s="98"/>
      <c r="K49" s="98"/>
      <c r="L49" s="98"/>
      <c r="M49" s="98"/>
      <c r="N49" s="98"/>
      <c r="O49" s="98"/>
    </row>
    <row r="50" spans="1:15" x14ac:dyDescent="0.25">
      <c r="A50" s="71"/>
      <c r="B50" s="71"/>
      <c r="C50" s="72"/>
      <c r="D50" s="71"/>
      <c r="E50" s="71"/>
      <c r="F50" s="71"/>
      <c r="G50" s="71"/>
      <c r="H50" s="71"/>
      <c r="I50" s="71"/>
      <c r="J50" s="71"/>
      <c r="K50" s="71"/>
      <c r="L50" s="71"/>
      <c r="M50" s="71"/>
      <c r="N50" s="71"/>
      <c r="O50" s="71"/>
    </row>
    <row r="51" spans="1:15" x14ac:dyDescent="0.25">
      <c r="C51" s="100"/>
      <c r="D51" s="101" t="s">
        <v>134</v>
      </c>
      <c r="E51" s="302" t="str">
        <f>D3</f>
        <v>RESIDENTIAL SERVICE CLASSIFICATION</v>
      </c>
      <c r="F51" s="302"/>
      <c r="G51" s="302"/>
      <c r="H51" s="302"/>
      <c r="I51" s="302"/>
      <c r="J51" s="302"/>
      <c r="K51" s="100" t="str">
        <f>IF(N3="DEMAND - INTERVAL","RTSR - INTERVAL METERED","")</f>
        <v/>
      </c>
    </row>
    <row r="52" spans="1:15" x14ac:dyDescent="0.25">
      <c r="C52" s="100"/>
      <c r="D52" s="101" t="s">
        <v>135</v>
      </c>
      <c r="E52" s="303" t="str">
        <f>H3</f>
        <v>RPP</v>
      </c>
      <c r="F52" s="303"/>
      <c r="G52" s="303"/>
      <c r="H52" s="102"/>
      <c r="I52" s="102"/>
    </row>
    <row r="53" spans="1:15" ht="15.75" x14ac:dyDescent="0.25">
      <c r="C53" s="100"/>
      <c r="D53" s="101" t="s">
        <v>136</v>
      </c>
      <c r="E53" s="103">
        <f>K3</f>
        <v>750</v>
      </c>
      <c r="F53" s="104" t="s">
        <v>137</v>
      </c>
      <c r="G53" s="105"/>
      <c r="J53" s="106"/>
      <c r="K53" s="106"/>
      <c r="L53" s="106"/>
      <c r="M53" s="106"/>
    </row>
    <row r="54" spans="1:15" ht="15.75" x14ac:dyDescent="0.25">
      <c r="C54" s="100"/>
      <c r="D54" s="101" t="s">
        <v>138</v>
      </c>
      <c r="E54" s="103">
        <f>L3</f>
        <v>0</v>
      </c>
      <c r="F54" s="107" t="s">
        <v>139</v>
      </c>
      <c r="G54" s="108"/>
      <c r="H54" s="109"/>
      <c r="I54" s="109"/>
      <c r="J54" s="109"/>
    </row>
    <row r="55" spans="1:15" x14ac:dyDescent="0.25">
      <c r="C55" s="100"/>
      <c r="D55" s="101" t="s">
        <v>140</v>
      </c>
      <c r="E55" s="110">
        <f>I3</f>
        <v>1.056</v>
      </c>
    </row>
    <row r="56" spans="1:15" x14ac:dyDescent="0.25">
      <c r="C56" s="100"/>
      <c r="D56" s="101" t="s">
        <v>141</v>
      </c>
      <c r="E56" s="110">
        <f>J3</f>
        <v>1.056</v>
      </c>
    </row>
    <row r="57" spans="1:15" x14ac:dyDescent="0.25">
      <c r="C57" s="100"/>
      <c r="D57" s="105"/>
    </row>
    <row r="58" spans="1:15" x14ac:dyDescent="0.25">
      <c r="C58" s="100"/>
      <c r="D58" s="105"/>
      <c r="E58" s="111"/>
      <c r="F58" s="304" t="s">
        <v>142</v>
      </c>
      <c r="G58" s="305"/>
      <c r="H58" s="306"/>
      <c r="I58" s="304" t="s">
        <v>143</v>
      </c>
      <c r="J58" s="305"/>
      <c r="K58" s="306"/>
      <c r="L58" s="304" t="s">
        <v>144</v>
      </c>
      <c r="M58" s="306"/>
    </row>
    <row r="59" spans="1:15" x14ac:dyDescent="0.25">
      <c r="C59" s="100"/>
      <c r="D59" s="105"/>
      <c r="E59" s="295"/>
      <c r="F59" s="112" t="s">
        <v>145</v>
      </c>
      <c r="G59" s="112" t="s">
        <v>146</v>
      </c>
      <c r="H59" s="113" t="s">
        <v>147</v>
      </c>
      <c r="I59" s="112" t="s">
        <v>145</v>
      </c>
      <c r="J59" s="114" t="s">
        <v>146</v>
      </c>
      <c r="K59" s="113" t="s">
        <v>147</v>
      </c>
      <c r="L59" s="297" t="s">
        <v>148</v>
      </c>
      <c r="M59" s="299" t="s">
        <v>149</v>
      </c>
    </row>
    <row r="60" spans="1:15" x14ac:dyDescent="0.25">
      <c r="C60" s="100"/>
      <c r="D60" s="105"/>
      <c r="E60" s="296"/>
      <c r="F60" s="115" t="s">
        <v>150</v>
      </c>
      <c r="G60" s="115"/>
      <c r="H60" s="116" t="s">
        <v>150</v>
      </c>
      <c r="I60" s="115" t="s">
        <v>150</v>
      </c>
      <c r="J60" s="116"/>
      <c r="K60" s="116" t="s">
        <v>150</v>
      </c>
      <c r="L60" s="298"/>
      <c r="M60" s="300"/>
    </row>
    <row r="61" spans="1:15" x14ac:dyDescent="0.25">
      <c r="A61" s="100" t="str">
        <f>$E51</f>
        <v>RESIDENTIAL SERVICE CLASSIFICATION</v>
      </c>
      <c r="C61" s="117"/>
      <c r="D61" s="118" t="s">
        <v>151</v>
      </c>
      <c r="E61" s="119"/>
      <c r="F61" s="120">
        <v>23.48</v>
      </c>
      <c r="G61" s="121">
        <v>1</v>
      </c>
      <c r="H61" s="122">
        <f>G61*F61</f>
        <v>23.48</v>
      </c>
      <c r="I61" s="123">
        <v>26.72</v>
      </c>
      <c r="J61" s="124">
        <f>G61</f>
        <v>1</v>
      </c>
      <c r="K61" s="122">
        <f>J61*I61</f>
        <v>26.72</v>
      </c>
      <c r="L61" s="125">
        <f t="shared" ref="L61:L82" si="12">K61-H61</f>
        <v>3.2399999999999984</v>
      </c>
      <c r="M61" s="126">
        <f>IF(ISERROR(L61/H61), "", L61/H61)</f>
        <v>0.13798977853492328</v>
      </c>
    </row>
    <row r="62" spans="1:15" x14ac:dyDescent="0.25">
      <c r="A62" s="100" t="str">
        <f>A61</f>
        <v>RESIDENTIAL SERVICE CLASSIFICATION</v>
      </c>
      <c r="C62" s="117"/>
      <c r="D62" s="118" t="s">
        <v>152</v>
      </c>
      <c r="E62" s="119"/>
      <c r="F62" s="127">
        <v>3.3999999999999998E-3</v>
      </c>
      <c r="G62" s="121">
        <f>IF($E54&gt;0, $E54, $E53)</f>
        <v>750</v>
      </c>
      <c r="H62" s="122">
        <f t="shared" ref="H62:H74" si="13">G62*F62</f>
        <v>2.5499999999999998</v>
      </c>
      <c r="I62" s="128">
        <v>0</v>
      </c>
      <c r="J62" s="124">
        <f>IF($E54&gt;0, $E54, $E53)</f>
        <v>750</v>
      </c>
      <c r="K62" s="122">
        <f>J62*I62</f>
        <v>0</v>
      </c>
      <c r="L62" s="125">
        <f t="shared" si="12"/>
        <v>-2.5499999999999998</v>
      </c>
      <c r="M62" s="126">
        <f t="shared" ref="M62:M72" si="14">IF(ISERROR(L62/H62), "", L62/H62)</f>
        <v>-1</v>
      </c>
    </row>
    <row r="63" spans="1:15" x14ac:dyDescent="0.25">
      <c r="A63" s="100" t="str">
        <f t="shared" ref="A63:A104" si="15">A62</f>
        <v>RESIDENTIAL SERVICE CLASSIFICATION</v>
      </c>
      <c r="C63" s="117"/>
      <c r="D63" s="118" t="s">
        <v>153</v>
      </c>
      <c r="E63" s="119"/>
      <c r="F63" s="127"/>
      <c r="G63" s="121">
        <f>IF($E54&gt;0, $E54, $E53)</f>
        <v>750</v>
      </c>
      <c r="H63" s="122">
        <v>0</v>
      </c>
      <c r="I63" s="128"/>
      <c r="J63" s="124">
        <f>IF($E54&gt;0, $E54, $E53)</f>
        <v>750</v>
      </c>
      <c r="K63" s="122">
        <v>0</v>
      </c>
      <c r="L63" s="125"/>
      <c r="M63" s="126"/>
    </row>
    <row r="64" spans="1:15" x14ac:dyDescent="0.25">
      <c r="A64" s="100" t="str">
        <f t="shared" si="15"/>
        <v>RESIDENTIAL SERVICE CLASSIFICATION</v>
      </c>
      <c r="C64" s="117"/>
      <c r="D64" s="118" t="s">
        <v>154</v>
      </c>
      <c r="E64" s="119"/>
      <c r="F64" s="127"/>
      <c r="G64" s="121">
        <f>IF($E54&gt;0, $E54, $E53)</f>
        <v>750</v>
      </c>
      <c r="H64" s="122">
        <v>0</v>
      </c>
      <c r="I64" s="128"/>
      <c r="J64" s="121">
        <f>IF($E54&gt;0, $E54, $E53)</f>
        <v>750</v>
      </c>
      <c r="K64" s="122">
        <v>0</v>
      </c>
      <c r="L64" s="125">
        <f>K64-H64</f>
        <v>0</v>
      </c>
      <c r="M64" s="126" t="str">
        <f>IF(ISERROR(L64/H64), "", L64/H64)</f>
        <v/>
      </c>
    </row>
    <row r="65" spans="1:13" x14ac:dyDescent="0.25">
      <c r="A65" s="100" t="str">
        <f t="shared" si="15"/>
        <v>RESIDENTIAL SERVICE CLASSIFICATION</v>
      </c>
      <c r="C65" s="117"/>
      <c r="D65" s="129" t="s">
        <v>155</v>
      </c>
      <c r="E65" s="119"/>
      <c r="F65" s="120">
        <v>0</v>
      </c>
      <c r="G65" s="121">
        <v>1</v>
      </c>
      <c r="H65" s="122">
        <f t="shared" si="13"/>
        <v>0</v>
      </c>
      <c r="I65" s="123">
        <v>0</v>
      </c>
      <c r="J65" s="124">
        <f>G65</f>
        <v>1</v>
      </c>
      <c r="K65" s="122">
        <f t="shared" ref="K65:K72" si="16">J65*I65</f>
        <v>0</v>
      </c>
      <c r="L65" s="125">
        <f t="shared" si="12"/>
        <v>0</v>
      </c>
      <c r="M65" s="126" t="str">
        <f t="shared" si="14"/>
        <v/>
      </c>
    </row>
    <row r="66" spans="1:13" x14ac:dyDescent="0.25">
      <c r="A66" s="100" t="str">
        <f t="shared" si="15"/>
        <v>RESIDENTIAL SERVICE CLASSIFICATION</v>
      </c>
      <c r="C66" s="117"/>
      <c r="D66" s="118" t="s">
        <v>156</v>
      </c>
      <c r="E66" s="119"/>
      <c r="F66" s="127">
        <v>0</v>
      </c>
      <c r="G66" s="121">
        <f>IF($E54&gt;0, $E54, $E53)</f>
        <v>750</v>
      </c>
      <c r="H66" s="122">
        <f t="shared" si="13"/>
        <v>0</v>
      </c>
      <c r="I66" s="128">
        <v>0</v>
      </c>
      <c r="J66" s="124">
        <f>IF($E54&gt;0, $E54, $E53)</f>
        <v>750</v>
      </c>
      <c r="K66" s="122">
        <f t="shared" si="16"/>
        <v>0</v>
      </c>
      <c r="L66" s="125">
        <f t="shared" si="12"/>
        <v>0</v>
      </c>
      <c r="M66" s="126" t="str">
        <f t="shared" si="14"/>
        <v/>
      </c>
    </row>
    <row r="67" spans="1:13" x14ac:dyDescent="0.25">
      <c r="A67" s="100" t="str">
        <f t="shared" si="15"/>
        <v>RESIDENTIAL SERVICE CLASSIFICATION</v>
      </c>
      <c r="B67" s="130" t="s">
        <v>157</v>
      </c>
      <c r="C67" s="117">
        <f>B3</f>
        <v>1</v>
      </c>
      <c r="D67" s="131" t="s">
        <v>158</v>
      </c>
      <c r="E67" s="132"/>
      <c r="F67" s="133"/>
      <c r="G67" s="134"/>
      <c r="H67" s="135">
        <f>SUM(H61:H66)</f>
        <v>26.03</v>
      </c>
      <c r="I67" s="136"/>
      <c r="J67" s="137"/>
      <c r="K67" s="135">
        <f>SUM(K61:K66)</f>
        <v>26.72</v>
      </c>
      <c r="L67" s="138">
        <f t="shared" si="12"/>
        <v>0.68999999999999773</v>
      </c>
      <c r="M67" s="139">
        <f>IF((H67)=0,"",(L67/H67))</f>
        <v>2.6507875528236562E-2</v>
      </c>
    </row>
    <row r="68" spans="1:13" x14ac:dyDescent="0.25">
      <c r="A68" s="100" t="str">
        <f t="shared" si="15"/>
        <v>RESIDENTIAL SERVICE CLASSIFICATION</v>
      </c>
      <c r="C68" s="117"/>
      <c r="D68" s="140" t="s">
        <v>159</v>
      </c>
      <c r="E68" s="119"/>
      <c r="F68" s="127">
        <f>IF((E53*12&gt;=150000), 0, IF(E52="RPP",(F84*0.65+F85*0.17+F86*0.18),IF(E52="Non-RPP (Retailer)",F87,F88)))</f>
        <v>8.1990000000000007E-2</v>
      </c>
      <c r="G68" s="141">
        <f>IF(F68=0, 0, $E53*E55-E53)</f>
        <v>42</v>
      </c>
      <c r="H68" s="122">
        <f>G68*F68</f>
        <v>3.4435800000000003</v>
      </c>
      <c r="I68" s="128">
        <f>IF((E53*12&gt;=150000), 0, IF(E52="RPP",(I84*0.65+I85*0.17+I86*0.18),IF(E52="Non-RPP (Retailer)",I87,I88)))</f>
        <v>8.1990000000000007E-2</v>
      </c>
      <c r="J68" s="141">
        <f>IF(I68=0, 0, E53*E56-E53)</f>
        <v>42</v>
      </c>
      <c r="K68" s="122">
        <f>J68*I68</f>
        <v>3.4435800000000003</v>
      </c>
      <c r="L68" s="125">
        <f>K68-H68</f>
        <v>0</v>
      </c>
      <c r="M68" s="126">
        <f>IF(ISERROR(L68/H68), "", L68/H68)</f>
        <v>0</v>
      </c>
    </row>
    <row r="69" spans="1:13" ht="25.5" x14ac:dyDescent="0.25">
      <c r="A69" s="100" t="str">
        <f t="shared" si="15"/>
        <v>RESIDENTIAL SERVICE CLASSIFICATION</v>
      </c>
      <c r="C69" s="117"/>
      <c r="D69" s="140" t="s">
        <v>160</v>
      </c>
      <c r="E69" s="119"/>
      <c r="F69" s="127">
        <v>-1.4E-3</v>
      </c>
      <c r="G69" s="142">
        <f>IF($E54&gt;0, $E54, $E53)</f>
        <v>750</v>
      </c>
      <c r="H69" s="122">
        <f t="shared" si="13"/>
        <v>-1.05</v>
      </c>
      <c r="I69" s="128">
        <v>-5.3E-3</v>
      </c>
      <c r="J69" s="142">
        <f>IF($E54&gt;0, $E54, $E53)</f>
        <v>750</v>
      </c>
      <c r="K69" s="122">
        <f t="shared" si="16"/>
        <v>-3.9750000000000001</v>
      </c>
      <c r="L69" s="125">
        <f t="shared" si="12"/>
        <v>-2.9249999999999998</v>
      </c>
      <c r="M69" s="126">
        <f t="shared" si="14"/>
        <v>2.7857142857142856</v>
      </c>
    </row>
    <row r="70" spans="1:13" x14ac:dyDescent="0.25">
      <c r="A70" s="100" t="str">
        <f t="shared" si="15"/>
        <v>RESIDENTIAL SERVICE CLASSIFICATION</v>
      </c>
      <c r="C70" s="117"/>
      <c r="D70" s="140" t="s">
        <v>161</v>
      </c>
      <c r="E70" s="119"/>
      <c r="F70" s="127">
        <v>-1E-4</v>
      </c>
      <c r="G70" s="142">
        <f>IF($E54&gt;0, $E54, $E53)</f>
        <v>750</v>
      </c>
      <c r="H70" s="122">
        <f>G70*F70</f>
        <v>-7.4999999999999997E-2</v>
      </c>
      <c r="I70" s="128">
        <v>0</v>
      </c>
      <c r="J70" s="142">
        <f>IF($E54&gt;0, $E54, $E53)</f>
        <v>750</v>
      </c>
      <c r="K70" s="122">
        <f>J70*I70</f>
        <v>0</v>
      </c>
      <c r="L70" s="125">
        <f t="shared" si="12"/>
        <v>7.4999999999999997E-2</v>
      </c>
      <c r="M70" s="126">
        <f t="shared" si="14"/>
        <v>-1</v>
      </c>
    </row>
    <row r="71" spans="1:13" x14ac:dyDescent="0.25">
      <c r="A71" s="100" t="str">
        <f t="shared" si="15"/>
        <v>RESIDENTIAL SERVICE CLASSIFICATION</v>
      </c>
      <c r="C71" s="117"/>
      <c r="D71" s="140" t="s">
        <v>162</v>
      </c>
      <c r="E71" s="119"/>
      <c r="F71" s="127">
        <v>0</v>
      </c>
      <c r="G71" s="142">
        <f>E53</f>
        <v>750</v>
      </c>
      <c r="H71" s="122">
        <f>G71*F71</f>
        <v>0</v>
      </c>
      <c r="I71" s="128">
        <v>0</v>
      </c>
      <c r="J71" s="142">
        <f>E53</f>
        <v>750</v>
      </c>
      <c r="K71" s="122">
        <f t="shared" si="16"/>
        <v>0</v>
      </c>
      <c r="L71" s="125">
        <f t="shared" si="12"/>
        <v>0</v>
      </c>
      <c r="M71" s="126" t="str">
        <f t="shared" si="14"/>
        <v/>
      </c>
    </row>
    <row r="72" spans="1:13" x14ac:dyDescent="0.25">
      <c r="A72" s="100" t="str">
        <f t="shared" si="15"/>
        <v>RESIDENTIAL SERVICE CLASSIFICATION</v>
      </c>
      <c r="C72" s="117"/>
      <c r="D72" s="143" t="s">
        <v>163</v>
      </c>
      <c r="E72" s="119"/>
      <c r="F72" s="127">
        <v>2.5999999999999999E-3</v>
      </c>
      <c r="G72" s="142">
        <f>IF($E54&gt;0, $E54, $E53)</f>
        <v>750</v>
      </c>
      <c r="H72" s="122">
        <f t="shared" si="13"/>
        <v>1.95</v>
      </c>
      <c r="I72" s="128">
        <v>2.5999999999999999E-3</v>
      </c>
      <c r="J72" s="142">
        <f>IF($E54&gt;0, $E54, $E53)</f>
        <v>750</v>
      </c>
      <c r="K72" s="122">
        <f t="shared" si="16"/>
        <v>1.95</v>
      </c>
      <c r="L72" s="125">
        <f t="shared" si="12"/>
        <v>0</v>
      </c>
      <c r="M72" s="126">
        <f t="shared" si="14"/>
        <v>0</v>
      </c>
    </row>
    <row r="73" spans="1:13" ht="25.5" x14ac:dyDescent="0.25">
      <c r="A73" s="100" t="str">
        <f t="shared" si="15"/>
        <v>RESIDENTIAL SERVICE CLASSIFICATION</v>
      </c>
      <c r="C73" s="117"/>
      <c r="D73" s="144" t="s">
        <v>164</v>
      </c>
      <c r="E73" s="119"/>
      <c r="F73" s="145">
        <f>IF(OR(ISNUMBER(SEARCH("RESIDENTIAL", E51))=TRUE, ISNUMBER(SEARCH("GENERAL SERVICE LESS THAN 50", E51))=TRUE), SME, 0)</f>
        <v>0.56999999999999995</v>
      </c>
      <c r="G73" s="121">
        <v>1</v>
      </c>
      <c r="H73" s="122">
        <f>G73*F73</f>
        <v>0.56999999999999995</v>
      </c>
      <c r="I73" s="146">
        <f>IF(OR(ISNUMBER(SEARCH("RESIDENTIAL", E51))=TRUE, ISNUMBER(SEARCH("GENERAL SERVICE LESS THAN 50", E51))=TRUE), SME, 0)</f>
        <v>0.56999999999999995</v>
      </c>
      <c r="J73" s="121">
        <v>1</v>
      </c>
      <c r="K73" s="122">
        <f>J73*I73</f>
        <v>0.56999999999999995</v>
      </c>
      <c r="L73" s="125">
        <f t="shared" si="12"/>
        <v>0</v>
      </c>
      <c r="M73" s="126">
        <f>IF(ISERROR(L73/H73), "", L73/H73)</f>
        <v>0</v>
      </c>
    </row>
    <row r="74" spans="1:13" x14ac:dyDescent="0.25">
      <c r="A74" s="100" t="str">
        <f t="shared" si="15"/>
        <v>RESIDENTIAL SERVICE CLASSIFICATION</v>
      </c>
      <c r="C74" s="117"/>
      <c r="D74" s="143" t="s">
        <v>165</v>
      </c>
      <c r="E74" s="119"/>
      <c r="F74" s="120">
        <v>0</v>
      </c>
      <c r="G74" s="121">
        <v>1</v>
      </c>
      <c r="H74" s="122">
        <f t="shared" si="13"/>
        <v>0</v>
      </c>
      <c r="I74" s="123">
        <v>0</v>
      </c>
      <c r="J74" s="121">
        <v>1</v>
      </c>
      <c r="K74" s="122">
        <f>J74*I74</f>
        <v>0</v>
      </c>
      <c r="L74" s="125">
        <f>K74-H74</f>
        <v>0</v>
      </c>
      <c r="M74" s="126" t="str">
        <f>IF(ISERROR(L74/H74), "", L74/H74)</f>
        <v/>
      </c>
    </row>
    <row r="75" spans="1:13" x14ac:dyDescent="0.25">
      <c r="A75" s="100" t="str">
        <f t="shared" si="15"/>
        <v>RESIDENTIAL SERVICE CLASSIFICATION</v>
      </c>
      <c r="C75" s="117"/>
      <c r="D75" s="143" t="s">
        <v>166</v>
      </c>
      <c r="E75" s="119"/>
      <c r="F75" s="127"/>
      <c r="G75" s="142">
        <f>IF($E54&gt;0, $E54, $E53)</f>
        <v>750</v>
      </c>
      <c r="H75" s="122">
        <f>G75*F75</f>
        <v>0</v>
      </c>
      <c r="I75" s="128">
        <v>0</v>
      </c>
      <c r="J75" s="142">
        <f>IF($E54&gt;0, $E54, $E53)</f>
        <v>750</v>
      </c>
      <c r="K75" s="122">
        <f>J75*I75</f>
        <v>0</v>
      </c>
      <c r="L75" s="125">
        <f t="shared" si="12"/>
        <v>0</v>
      </c>
      <c r="M75" s="126" t="str">
        <f>IF(ISERROR(L75/H75), "", L75/H75)</f>
        <v/>
      </c>
    </row>
    <row r="76" spans="1:13" ht="25.5" x14ac:dyDescent="0.25">
      <c r="A76" s="100" t="str">
        <f t="shared" si="15"/>
        <v>RESIDENTIAL SERVICE CLASSIFICATION</v>
      </c>
      <c r="B76" s="105" t="s">
        <v>167</v>
      </c>
      <c r="C76" s="117">
        <f>B3</f>
        <v>1</v>
      </c>
      <c r="D76" s="147" t="s">
        <v>168</v>
      </c>
      <c r="E76" s="148"/>
      <c r="F76" s="149"/>
      <c r="G76" s="150"/>
      <c r="H76" s="151">
        <f>SUM(H67:H75)</f>
        <v>30.868580000000001</v>
      </c>
      <c r="I76" s="152"/>
      <c r="J76" s="153"/>
      <c r="K76" s="151">
        <f>SUM(K67:K75)</f>
        <v>28.708579999999998</v>
      </c>
      <c r="L76" s="138">
        <f t="shared" si="12"/>
        <v>-2.1600000000000037</v>
      </c>
      <c r="M76" s="139">
        <f>IF((H76)=0,"",(L76/H76))</f>
        <v>-6.9974064242670178E-2</v>
      </c>
    </row>
    <row r="77" spans="1:13" x14ac:dyDescent="0.25">
      <c r="A77" s="100" t="str">
        <f t="shared" si="15"/>
        <v>RESIDENTIAL SERVICE CLASSIFICATION</v>
      </c>
      <c r="C77" s="117"/>
      <c r="D77" s="154" t="s">
        <v>169</v>
      </c>
      <c r="E77" s="119"/>
      <c r="F77" s="127">
        <v>6.7999999999999996E-3</v>
      </c>
      <c r="G77" s="141">
        <f>IF($E54&gt;0, $E54, $E53*$E55)</f>
        <v>792</v>
      </c>
      <c r="H77" s="122">
        <f>G77*F77</f>
        <v>5.3855999999999993</v>
      </c>
      <c r="I77" s="128">
        <v>6.4999999999999997E-3</v>
      </c>
      <c r="J77" s="141">
        <f>IF($E54&gt;0, $E54, $E53*$E56)</f>
        <v>792</v>
      </c>
      <c r="K77" s="122">
        <f>J77*I77</f>
        <v>5.1479999999999997</v>
      </c>
      <c r="L77" s="125">
        <f t="shared" si="12"/>
        <v>-0.23759999999999959</v>
      </c>
      <c r="M77" s="126">
        <f>IF(ISERROR(L77/H77), "", L77/H77)</f>
        <v>-4.4117647058823456E-2</v>
      </c>
    </row>
    <row r="78" spans="1:13" ht="25.5" x14ac:dyDescent="0.25">
      <c r="A78" s="100" t="str">
        <f t="shared" si="15"/>
        <v>RESIDENTIAL SERVICE CLASSIFICATION</v>
      </c>
      <c r="C78" s="117"/>
      <c r="D78" s="155" t="s">
        <v>170</v>
      </c>
      <c r="E78" s="119"/>
      <c r="F78" s="127">
        <v>5.5999999999999999E-3</v>
      </c>
      <c r="G78" s="141">
        <f>IF($E54&gt;0, $E54, $E53*$E55)</f>
        <v>792</v>
      </c>
      <c r="H78" s="122">
        <f>G78*F78</f>
        <v>4.4352</v>
      </c>
      <c r="I78" s="128">
        <v>5.3E-3</v>
      </c>
      <c r="J78" s="141">
        <f>IF($E54&gt;0, $E54, $E53*$E56)</f>
        <v>792</v>
      </c>
      <c r="K78" s="122">
        <f>J78*I78</f>
        <v>4.1976000000000004</v>
      </c>
      <c r="L78" s="125">
        <f t="shared" si="12"/>
        <v>-0.23759999999999959</v>
      </c>
      <c r="M78" s="126">
        <f>IF(ISERROR(L78/H78), "", L78/H78)</f>
        <v>-5.3571428571428478E-2</v>
      </c>
    </row>
    <row r="79" spans="1:13" ht="25.5" x14ac:dyDescent="0.25">
      <c r="A79" s="100" t="str">
        <f t="shared" si="15"/>
        <v>RESIDENTIAL SERVICE CLASSIFICATION</v>
      </c>
      <c r="B79" s="105" t="s">
        <v>171</v>
      </c>
      <c r="C79" s="117">
        <f>B3</f>
        <v>1</v>
      </c>
      <c r="D79" s="147" t="s">
        <v>172</v>
      </c>
      <c r="E79" s="132"/>
      <c r="F79" s="149"/>
      <c r="G79" s="150"/>
      <c r="H79" s="151">
        <f>SUM(H76:H78)</f>
        <v>40.68938</v>
      </c>
      <c r="I79" s="152"/>
      <c r="J79" s="137"/>
      <c r="K79" s="151">
        <f>SUM(K76:K78)</f>
        <v>38.054179999999995</v>
      </c>
      <c r="L79" s="138">
        <f t="shared" si="12"/>
        <v>-2.6352000000000046</v>
      </c>
      <c r="M79" s="139">
        <f>IF((H79)=0,"",(L79/H79))</f>
        <v>-6.4763827809615301E-2</v>
      </c>
    </row>
    <row r="80" spans="1:13" ht="25.5" x14ac:dyDescent="0.25">
      <c r="A80" s="100" t="str">
        <f t="shared" si="15"/>
        <v>RESIDENTIAL SERVICE CLASSIFICATION</v>
      </c>
      <c r="C80" s="117"/>
      <c r="D80" s="156" t="s">
        <v>173</v>
      </c>
      <c r="E80" s="119"/>
      <c r="F80" s="127">
        <v>3.6000000000000003E-3</v>
      </c>
      <c r="G80" s="141">
        <f>E53*E55</f>
        <v>792</v>
      </c>
      <c r="H80" s="157">
        <f t="shared" ref="H80:H86" si="17">G80*F80</f>
        <v>2.8512000000000004</v>
      </c>
      <c r="I80" s="128">
        <v>3.6000000000000003E-3</v>
      </c>
      <c r="J80" s="141">
        <f>E53*E56</f>
        <v>792</v>
      </c>
      <c r="K80" s="157">
        <f t="shared" ref="K80:K86" si="18">J80*I80</f>
        <v>2.8512000000000004</v>
      </c>
      <c r="L80" s="125">
        <f t="shared" si="12"/>
        <v>0</v>
      </c>
      <c r="M80" s="126">
        <f t="shared" ref="M80:M88" si="19">IF(ISERROR(L80/H80), "", L80/H80)</f>
        <v>0</v>
      </c>
    </row>
    <row r="81" spans="1:13" ht="25.5" x14ac:dyDescent="0.25">
      <c r="A81" s="100" t="str">
        <f t="shared" si="15"/>
        <v>RESIDENTIAL SERVICE CLASSIFICATION</v>
      </c>
      <c r="C81" s="117"/>
      <c r="D81" s="156" t="s">
        <v>174</v>
      </c>
      <c r="E81" s="119"/>
      <c r="F81" s="127">
        <f>'[1]17. Regulatory Charges'!$D$16</f>
        <v>2.9999999999999997E-4</v>
      </c>
      <c r="G81" s="141">
        <f>E53*E55</f>
        <v>792</v>
      </c>
      <c r="H81" s="157">
        <f t="shared" si="17"/>
        <v>0.23759999999999998</v>
      </c>
      <c r="I81" s="128">
        <v>2.9999999999999997E-4</v>
      </c>
      <c r="J81" s="141">
        <f>E53*E56</f>
        <v>792</v>
      </c>
      <c r="K81" s="157">
        <f t="shared" si="18"/>
        <v>0.23759999999999998</v>
      </c>
      <c r="L81" s="125">
        <f t="shared" si="12"/>
        <v>0</v>
      </c>
      <c r="M81" s="126">
        <f t="shared" si="19"/>
        <v>0</v>
      </c>
    </row>
    <row r="82" spans="1:13" x14ac:dyDescent="0.25">
      <c r="A82" s="100" t="str">
        <f t="shared" si="15"/>
        <v>RESIDENTIAL SERVICE CLASSIFICATION</v>
      </c>
      <c r="C82" s="117"/>
      <c r="D82" s="158" t="s">
        <v>175</v>
      </c>
      <c r="E82" s="119"/>
      <c r="F82" s="145">
        <v>0.25</v>
      </c>
      <c r="G82" s="121">
        <v>1</v>
      </c>
      <c r="H82" s="157">
        <f t="shared" si="17"/>
        <v>0.25</v>
      </c>
      <c r="I82" s="146">
        <f>'[1]17. Regulatory Charges'!$D$17</f>
        <v>0.25</v>
      </c>
      <c r="J82" s="124">
        <v>1</v>
      </c>
      <c r="K82" s="157">
        <f t="shared" si="18"/>
        <v>0.25</v>
      </c>
      <c r="L82" s="125">
        <f t="shared" si="12"/>
        <v>0</v>
      </c>
      <c r="M82" s="126">
        <f t="shared" si="19"/>
        <v>0</v>
      </c>
    </row>
    <row r="83" spans="1:13" ht="25.5" x14ac:dyDescent="0.25">
      <c r="A83" s="100" t="str">
        <f t="shared" si="15"/>
        <v>RESIDENTIAL SERVICE CLASSIFICATION</v>
      </c>
      <c r="C83" s="117"/>
      <c r="D83" s="156" t="s">
        <v>176</v>
      </c>
      <c r="E83" s="119"/>
      <c r="F83" s="127"/>
      <c r="G83" s="141"/>
      <c r="H83" s="157"/>
      <c r="I83" s="128"/>
      <c r="J83" s="141"/>
      <c r="K83" s="157"/>
      <c r="L83" s="125"/>
      <c r="M83" s="126"/>
    </row>
    <row r="84" spans="1:13" x14ac:dyDescent="0.25">
      <c r="A84" s="100" t="str">
        <f t="shared" si="15"/>
        <v>RESIDENTIAL SERVICE CLASSIFICATION</v>
      </c>
      <c r="B84" s="105" t="s">
        <v>117</v>
      </c>
      <c r="C84" s="117"/>
      <c r="D84" s="159" t="s">
        <v>177</v>
      </c>
      <c r="E84" s="119"/>
      <c r="F84" s="160">
        <f>OffPeak</f>
        <v>6.5000000000000002E-2</v>
      </c>
      <c r="G84" s="161">
        <f>IF(AND(E53*12&gt;=150000),0.65*E53*E55,0.65*E53)</f>
        <v>487.5</v>
      </c>
      <c r="H84" s="157">
        <f t="shared" si="17"/>
        <v>31.6875</v>
      </c>
      <c r="I84" s="162">
        <f>OffPeak</f>
        <v>6.5000000000000002E-2</v>
      </c>
      <c r="J84" s="161">
        <f>IF(AND(E53*12&gt;=150000),0.65*E53*E56,0.65*E53)</f>
        <v>487.5</v>
      </c>
      <c r="K84" s="157">
        <f t="shared" si="18"/>
        <v>31.6875</v>
      </c>
      <c r="L84" s="125">
        <f>K84-H84</f>
        <v>0</v>
      </c>
      <c r="M84" s="126">
        <f t="shared" si="19"/>
        <v>0</v>
      </c>
    </row>
    <row r="85" spans="1:13" x14ac:dyDescent="0.25">
      <c r="A85" s="100" t="str">
        <f t="shared" si="15"/>
        <v>RESIDENTIAL SERVICE CLASSIFICATION</v>
      </c>
      <c r="B85" s="105" t="s">
        <v>117</v>
      </c>
      <c r="C85" s="117"/>
      <c r="D85" s="159" t="s">
        <v>178</v>
      </c>
      <c r="E85" s="119"/>
      <c r="F85" s="160">
        <f>MidPeak</f>
        <v>9.4E-2</v>
      </c>
      <c r="G85" s="161">
        <f>IF(AND(E53*12&gt;=150000),0.17*E53*E55,0.17*E53)</f>
        <v>127.50000000000001</v>
      </c>
      <c r="H85" s="157">
        <f t="shared" si="17"/>
        <v>11.985000000000001</v>
      </c>
      <c r="I85" s="162">
        <f>MidPeak</f>
        <v>9.4E-2</v>
      </c>
      <c r="J85" s="161">
        <f>IF(AND(E53*12&gt;=150000),0.17*E53*E56,0.17*E53)</f>
        <v>127.50000000000001</v>
      </c>
      <c r="K85" s="157">
        <f t="shared" si="18"/>
        <v>11.985000000000001</v>
      </c>
      <c r="L85" s="125">
        <f>K85-H85</f>
        <v>0</v>
      </c>
      <c r="M85" s="126">
        <f t="shared" si="19"/>
        <v>0</v>
      </c>
    </row>
    <row r="86" spans="1:13" ht="15.75" thickBot="1" x14ac:dyDescent="0.3">
      <c r="A86" s="100" t="str">
        <f t="shared" si="15"/>
        <v>RESIDENTIAL SERVICE CLASSIFICATION</v>
      </c>
      <c r="B86" s="105" t="s">
        <v>117</v>
      </c>
      <c r="C86" s="117"/>
      <c r="D86" s="105" t="s">
        <v>179</v>
      </c>
      <c r="E86" s="119"/>
      <c r="F86" s="160">
        <f>OnPeak</f>
        <v>0.13200000000000001</v>
      </c>
      <c r="G86" s="161">
        <f>IF(AND(E53*12&gt;=150000),0.18*E53*E55,0.18*E53)</f>
        <v>135</v>
      </c>
      <c r="H86" s="157">
        <f t="shared" si="17"/>
        <v>17.82</v>
      </c>
      <c r="I86" s="162">
        <f>OnPeak</f>
        <v>0.13200000000000001</v>
      </c>
      <c r="J86" s="161">
        <f>IF(AND(E53*12&gt;=150000),0.18*E53*E56,0.18*E53)</f>
        <v>135</v>
      </c>
      <c r="K86" s="157">
        <f t="shared" si="18"/>
        <v>17.82</v>
      </c>
      <c r="L86" s="125">
        <f>K86-H86</f>
        <v>0</v>
      </c>
      <c r="M86" s="126">
        <f t="shared" si="19"/>
        <v>0</v>
      </c>
    </row>
    <row r="87" spans="1:13" ht="15.75" hidden="1" thickBot="1" x14ac:dyDescent="0.3">
      <c r="A87" s="100" t="str">
        <f t="shared" si="15"/>
        <v>RESIDENTIAL SERVICE CLASSIFICATION</v>
      </c>
      <c r="B87" s="100" t="s">
        <v>180</v>
      </c>
      <c r="C87" s="117"/>
      <c r="D87" s="159" t="s">
        <v>181</v>
      </c>
      <c r="E87" s="119"/>
      <c r="F87" s="163">
        <v>0.1101</v>
      </c>
      <c r="G87" s="161">
        <f>IF(AND(E53*12&gt;=150000),E53*E55,E53)</f>
        <v>750</v>
      </c>
      <c r="H87" s="157">
        <f>G87*F87</f>
        <v>82.575000000000003</v>
      </c>
      <c r="I87" s="164">
        <f>F87</f>
        <v>0.1101</v>
      </c>
      <c r="J87" s="161">
        <f>IF(AND(E53*12&gt;=150000),E53*E56,E53)</f>
        <v>750</v>
      </c>
      <c r="K87" s="157">
        <f>J87*I87</f>
        <v>82.575000000000003</v>
      </c>
      <c r="L87" s="125">
        <f>K87-H87</f>
        <v>0</v>
      </c>
      <c r="M87" s="126">
        <f t="shared" si="19"/>
        <v>0</v>
      </c>
    </row>
    <row r="88" spans="1:13" ht="15.75" hidden="1" thickBot="1" x14ac:dyDescent="0.3">
      <c r="A88" s="100" t="str">
        <f t="shared" si="15"/>
        <v>RESIDENTIAL SERVICE CLASSIFICATION</v>
      </c>
      <c r="B88" s="100" t="s">
        <v>121</v>
      </c>
      <c r="C88" s="117"/>
      <c r="D88" s="159" t="s">
        <v>182</v>
      </c>
      <c r="E88" s="119"/>
      <c r="F88" s="163">
        <v>0.1101</v>
      </c>
      <c r="G88" s="161">
        <f>IF(AND(E53*12&gt;=150000),E53*E55,E53)</f>
        <v>750</v>
      </c>
      <c r="H88" s="157">
        <f>G88*F88</f>
        <v>82.575000000000003</v>
      </c>
      <c r="I88" s="164">
        <f>F88</f>
        <v>0.1101</v>
      </c>
      <c r="J88" s="161">
        <f>IF(AND(E53*12&gt;=150000),E53*E56,E53)</f>
        <v>750</v>
      </c>
      <c r="K88" s="157">
        <f>J88*I88</f>
        <v>82.575000000000003</v>
      </c>
      <c r="L88" s="125">
        <f>K88-H88</f>
        <v>0</v>
      </c>
      <c r="M88" s="126">
        <f t="shared" si="19"/>
        <v>0</v>
      </c>
    </row>
    <row r="89" spans="1:13" ht="15.75" thickBot="1" x14ac:dyDescent="0.3">
      <c r="A89" s="100" t="str">
        <f t="shared" si="15"/>
        <v>RESIDENTIAL SERVICE CLASSIFICATION</v>
      </c>
      <c r="B89" s="105"/>
      <c r="C89" s="117"/>
      <c r="D89" s="165"/>
      <c r="E89" s="166"/>
      <c r="F89" s="167"/>
      <c r="G89" s="168"/>
      <c r="H89" s="169"/>
      <c r="I89" s="167"/>
      <c r="J89" s="170"/>
      <c r="K89" s="169"/>
      <c r="L89" s="171"/>
      <c r="M89" s="172"/>
    </row>
    <row r="90" spans="1:13" x14ac:dyDescent="0.25">
      <c r="A90" s="100" t="str">
        <f t="shared" si="15"/>
        <v>RESIDENTIAL SERVICE CLASSIFICATION</v>
      </c>
      <c r="B90" s="105" t="s">
        <v>117</v>
      </c>
      <c r="C90" s="117"/>
      <c r="D90" s="173" t="s">
        <v>183</v>
      </c>
      <c r="E90" s="158"/>
      <c r="F90" s="174"/>
      <c r="G90" s="175"/>
      <c r="H90" s="176">
        <f>SUM(H80:H86,H79)</f>
        <v>105.52068</v>
      </c>
      <c r="I90" s="177"/>
      <c r="J90" s="177"/>
      <c r="K90" s="176">
        <f>SUM(K80:K86,K79)</f>
        <v>102.88548</v>
      </c>
      <c r="L90" s="178">
        <f>K90-H90</f>
        <v>-2.6351999999999975</v>
      </c>
      <c r="M90" s="179">
        <f>IF((H90)=0,"",(L90/H90))</f>
        <v>-2.4973303811158132E-2</v>
      </c>
    </row>
    <row r="91" spans="1:13" x14ac:dyDescent="0.25">
      <c r="A91" s="100" t="str">
        <f t="shared" si="15"/>
        <v>RESIDENTIAL SERVICE CLASSIFICATION</v>
      </c>
      <c r="B91" s="105" t="s">
        <v>117</v>
      </c>
      <c r="C91" s="117"/>
      <c r="D91" s="180" t="s">
        <v>184</v>
      </c>
      <c r="E91" s="158"/>
      <c r="F91" s="174">
        <v>0.13</v>
      </c>
      <c r="G91" s="181"/>
      <c r="H91" s="182">
        <f>H90*F91</f>
        <v>13.7176884</v>
      </c>
      <c r="I91" s="183">
        <v>0.13</v>
      </c>
      <c r="J91" s="121"/>
      <c r="K91" s="182">
        <f>K90*I91</f>
        <v>13.375112400000001</v>
      </c>
      <c r="L91" s="184">
        <f>K91-H91</f>
        <v>-0.34257599999999933</v>
      </c>
      <c r="M91" s="185">
        <f>IF((H91)=0,"",(L91/H91))</f>
        <v>-2.4973303811158105E-2</v>
      </c>
    </row>
    <row r="92" spans="1:13" x14ac:dyDescent="0.25">
      <c r="A92" s="100" t="str">
        <f t="shared" si="15"/>
        <v>RESIDENTIAL SERVICE CLASSIFICATION</v>
      </c>
      <c r="B92" s="105" t="s">
        <v>117</v>
      </c>
      <c r="C92" s="117"/>
      <c r="D92" s="180" t="s">
        <v>185</v>
      </c>
      <c r="E92" s="158"/>
      <c r="F92" s="174">
        <v>0.08</v>
      </c>
      <c r="G92" s="181"/>
      <c r="H92" s="182">
        <f>H90*-F92</f>
        <v>-8.4416544000000009</v>
      </c>
      <c r="I92" s="174">
        <v>0.08</v>
      </c>
      <c r="J92" s="121"/>
      <c r="K92" s="182">
        <f>K90*-I92</f>
        <v>-8.2308383999999997</v>
      </c>
      <c r="L92" s="184">
        <f>K92-H92</f>
        <v>0.21081600000000122</v>
      </c>
      <c r="M92" s="185"/>
    </row>
    <row r="93" spans="1:13" ht="15.75" thickBot="1" x14ac:dyDescent="0.3">
      <c r="A93" s="100" t="str">
        <f t="shared" si="15"/>
        <v>RESIDENTIAL SERVICE CLASSIFICATION</v>
      </c>
      <c r="B93" s="105" t="s">
        <v>186</v>
      </c>
      <c r="C93" s="117">
        <f>B3</f>
        <v>1</v>
      </c>
      <c r="D93" s="301" t="s">
        <v>187</v>
      </c>
      <c r="E93" s="301"/>
      <c r="F93" s="186"/>
      <c r="G93" s="187"/>
      <c r="H93" s="188">
        <f>H90+H91+H92</f>
        <v>110.79671399999999</v>
      </c>
      <c r="I93" s="189"/>
      <c r="J93" s="189"/>
      <c r="K93" s="190">
        <f>K90+K91+K92</f>
        <v>108.02975400000001</v>
      </c>
      <c r="L93" s="191">
        <f>K93-H93</f>
        <v>-2.7669599999999832</v>
      </c>
      <c r="M93" s="192">
        <f>IF((H93)=0,"",(L93/H93))</f>
        <v>-2.4973303811158004E-2</v>
      </c>
    </row>
    <row r="94" spans="1:13" ht="15.75" thickBot="1" x14ac:dyDescent="0.3">
      <c r="A94" s="100" t="str">
        <f t="shared" si="15"/>
        <v>RESIDENTIAL SERVICE CLASSIFICATION</v>
      </c>
      <c r="B94" s="100" t="s">
        <v>117</v>
      </c>
      <c r="C94" s="117"/>
      <c r="D94" s="165"/>
      <c r="E94" s="166"/>
      <c r="F94" s="167"/>
      <c r="G94" s="168"/>
      <c r="H94" s="169"/>
      <c r="I94" s="167"/>
      <c r="J94" s="170"/>
      <c r="K94" s="169"/>
      <c r="L94" s="171"/>
      <c r="M94" s="172"/>
    </row>
    <row r="95" spans="1:13" hidden="1" x14ac:dyDescent="0.25">
      <c r="A95" s="100" t="str">
        <f t="shared" si="15"/>
        <v>RESIDENTIAL SERVICE CLASSIFICATION</v>
      </c>
      <c r="B95" s="100" t="s">
        <v>180</v>
      </c>
      <c r="C95" s="117"/>
      <c r="D95" s="173" t="s">
        <v>188</v>
      </c>
      <c r="E95" s="158"/>
      <c r="F95" s="174"/>
      <c r="G95" s="175"/>
      <c r="H95" s="176">
        <f>SUM(H87,H80:H83,H79)</f>
        <v>126.60318000000001</v>
      </c>
      <c r="I95" s="177"/>
      <c r="J95" s="177"/>
      <c r="K95" s="176">
        <f>SUM(K87,K80:K83,K79)</f>
        <v>123.96798000000001</v>
      </c>
      <c r="L95" s="178">
        <f>K95-H95</f>
        <v>-2.6351999999999975</v>
      </c>
      <c r="M95" s="179">
        <f>IF((H95)=0,"",(L95/H95))</f>
        <v>-2.0814643044511184E-2</v>
      </c>
    </row>
    <row r="96" spans="1:13" hidden="1" x14ac:dyDescent="0.25">
      <c r="A96" s="100" t="str">
        <f t="shared" si="15"/>
        <v>RESIDENTIAL SERVICE CLASSIFICATION</v>
      </c>
      <c r="B96" s="100" t="s">
        <v>180</v>
      </c>
      <c r="C96" s="117"/>
      <c r="D96" s="180" t="s">
        <v>184</v>
      </c>
      <c r="E96" s="158"/>
      <c r="F96" s="174">
        <v>0.13</v>
      </c>
      <c r="G96" s="175"/>
      <c r="H96" s="182">
        <f>H95*F96</f>
        <v>16.458413400000001</v>
      </c>
      <c r="I96" s="174">
        <v>0.13</v>
      </c>
      <c r="J96" s="183"/>
      <c r="K96" s="182">
        <f>K95*I96</f>
        <v>16.115837400000004</v>
      </c>
      <c r="L96" s="184">
        <f>K96-H96</f>
        <v>-0.34257599999999755</v>
      </c>
      <c r="M96" s="185">
        <f>IF((H96)=0,"",(L96/H96))</f>
        <v>-2.0814643044511055E-2</v>
      </c>
    </row>
    <row r="97" spans="1:13" hidden="1" x14ac:dyDescent="0.25">
      <c r="A97" s="100" t="str">
        <f t="shared" si="15"/>
        <v>RESIDENTIAL SERVICE CLASSIFICATION</v>
      </c>
      <c r="B97" s="100" t="s">
        <v>180</v>
      </c>
      <c r="C97" s="117"/>
      <c r="D97" s="180" t="s">
        <v>185</v>
      </c>
      <c r="E97" s="158"/>
      <c r="F97" s="174">
        <v>0.08</v>
      </c>
      <c r="G97" s="175"/>
      <c r="H97" s="182"/>
      <c r="I97" s="174">
        <v>0.08</v>
      </c>
      <c r="J97" s="183"/>
      <c r="K97" s="182"/>
      <c r="L97" s="184"/>
      <c r="M97" s="185"/>
    </row>
    <row r="98" spans="1:13" hidden="1" x14ac:dyDescent="0.25">
      <c r="A98" s="100" t="str">
        <f t="shared" si="15"/>
        <v>RESIDENTIAL SERVICE CLASSIFICATION</v>
      </c>
      <c r="B98" s="100" t="s">
        <v>189</v>
      </c>
      <c r="C98" s="117"/>
      <c r="D98" s="301" t="s">
        <v>188</v>
      </c>
      <c r="E98" s="301"/>
      <c r="F98" s="193"/>
      <c r="G98" s="194"/>
      <c r="H98" s="188">
        <f>SUM(H95,H96)</f>
        <v>143.06159340000002</v>
      </c>
      <c r="I98" s="195"/>
      <c r="J98" s="195"/>
      <c r="K98" s="188">
        <f>SUM(K95,K96)</f>
        <v>140.08381740000002</v>
      </c>
      <c r="L98" s="196">
        <f>K98-H98</f>
        <v>-2.9777760000000058</v>
      </c>
      <c r="M98" s="197">
        <f>IF((H98)=0,"",(L98/H98))</f>
        <v>-2.0814643044511243E-2</v>
      </c>
    </row>
    <row r="99" spans="1:13" ht="15.75" hidden="1" thickBot="1" x14ac:dyDescent="0.3">
      <c r="A99" s="100" t="str">
        <f t="shared" si="15"/>
        <v>RESIDENTIAL SERVICE CLASSIFICATION</v>
      </c>
      <c r="B99" s="100" t="s">
        <v>180</v>
      </c>
      <c r="C99" s="117"/>
      <c r="D99" s="165"/>
      <c r="E99" s="166"/>
      <c r="F99" s="198"/>
      <c r="G99" s="199"/>
      <c r="H99" s="200"/>
      <c r="I99" s="198"/>
      <c r="J99" s="168"/>
      <c r="K99" s="200"/>
      <c r="L99" s="201"/>
      <c r="M99" s="172"/>
    </row>
    <row r="100" spans="1:13" hidden="1" x14ac:dyDescent="0.25">
      <c r="A100" s="100" t="str">
        <f t="shared" si="15"/>
        <v>RESIDENTIAL SERVICE CLASSIFICATION</v>
      </c>
      <c r="B100" s="100" t="s">
        <v>121</v>
      </c>
      <c r="C100" s="117"/>
      <c r="D100" s="173" t="s">
        <v>190</v>
      </c>
      <c r="E100" s="158"/>
      <c r="F100" s="174"/>
      <c r="G100" s="175"/>
      <c r="H100" s="176">
        <f>SUM(H88,H80:H83,H79)</f>
        <v>126.60318000000001</v>
      </c>
      <c r="I100" s="177"/>
      <c r="J100" s="177"/>
      <c r="K100" s="176">
        <f>SUM(K88,K80:K83,K79)</f>
        <v>123.96798000000001</v>
      </c>
      <c r="L100" s="178">
        <f>K100-H100</f>
        <v>-2.6351999999999975</v>
      </c>
      <c r="M100" s="179">
        <f>IF((H100)=0,"",(L100/H100))</f>
        <v>-2.0814643044511184E-2</v>
      </c>
    </row>
    <row r="101" spans="1:13" hidden="1" x14ac:dyDescent="0.25">
      <c r="A101" s="100" t="str">
        <f t="shared" si="15"/>
        <v>RESIDENTIAL SERVICE CLASSIFICATION</v>
      </c>
      <c r="B101" s="100" t="s">
        <v>121</v>
      </c>
      <c r="C101" s="117"/>
      <c r="D101" s="180" t="s">
        <v>184</v>
      </c>
      <c r="E101" s="158"/>
      <c r="F101" s="174">
        <v>0.13</v>
      </c>
      <c r="G101" s="175"/>
      <c r="H101" s="182">
        <f>H100*F101</f>
        <v>16.458413400000001</v>
      </c>
      <c r="I101" s="174">
        <v>0.13</v>
      </c>
      <c r="J101" s="183"/>
      <c r="K101" s="182">
        <f>K100*I101</f>
        <v>16.115837400000004</v>
      </c>
      <c r="L101" s="184">
        <f>K101-H101</f>
        <v>-0.34257599999999755</v>
      </c>
      <c r="M101" s="185">
        <f>IF((H101)=0,"",(L101/H101))</f>
        <v>-2.0814643044511055E-2</v>
      </c>
    </row>
    <row r="102" spans="1:13" hidden="1" x14ac:dyDescent="0.25">
      <c r="A102" s="100" t="str">
        <f t="shared" si="15"/>
        <v>RESIDENTIAL SERVICE CLASSIFICATION</v>
      </c>
      <c r="B102" s="100" t="s">
        <v>121</v>
      </c>
      <c r="C102" s="117"/>
      <c r="D102" s="180" t="s">
        <v>185</v>
      </c>
      <c r="E102" s="158"/>
      <c r="F102" s="174">
        <v>0.08</v>
      </c>
      <c r="G102" s="175"/>
      <c r="H102" s="182"/>
      <c r="I102" s="174">
        <v>0.08</v>
      </c>
      <c r="J102" s="183"/>
      <c r="K102" s="182"/>
      <c r="L102" s="184"/>
      <c r="M102" s="185"/>
    </row>
    <row r="103" spans="1:13" hidden="1" x14ac:dyDescent="0.25">
      <c r="A103" s="100" t="str">
        <f t="shared" si="15"/>
        <v>RESIDENTIAL SERVICE CLASSIFICATION</v>
      </c>
      <c r="B103" s="100" t="s">
        <v>191</v>
      </c>
      <c r="C103" s="117"/>
      <c r="D103" s="301" t="s">
        <v>190</v>
      </c>
      <c r="E103" s="301"/>
      <c r="F103" s="193"/>
      <c r="G103" s="194"/>
      <c r="H103" s="188">
        <f>SUM(H100,H101)</f>
        <v>143.06159340000002</v>
      </c>
      <c r="I103" s="195"/>
      <c r="J103" s="195"/>
      <c r="K103" s="188">
        <f>SUM(K100,K101)</f>
        <v>140.08381740000002</v>
      </c>
      <c r="L103" s="196">
        <f>K103-H103</f>
        <v>-2.9777760000000058</v>
      </c>
      <c r="M103" s="197">
        <f>IF((H103)=0,"",(L103/H103))</f>
        <v>-2.0814643044511243E-2</v>
      </c>
    </row>
    <row r="104" spans="1:13" ht="15.75" hidden="1" thickBot="1" x14ac:dyDescent="0.3">
      <c r="A104" s="100" t="str">
        <f t="shared" si="15"/>
        <v>RESIDENTIAL SERVICE CLASSIFICATION</v>
      </c>
      <c r="B104" s="100" t="s">
        <v>121</v>
      </c>
      <c r="C104" s="117"/>
      <c r="D104" s="165"/>
      <c r="E104" s="166"/>
      <c r="F104" s="202"/>
      <c r="G104" s="203"/>
      <c r="H104" s="204"/>
      <c r="I104" s="202"/>
      <c r="J104" s="205"/>
      <c r="K104" s="204"/>
      <c r="L104" s="206"/>
      <c r="M104" s="207"/>
    </row>
    <row r="107" spans="1:13" x14ac:dyDescent="0.25">
      <c r="C107" s="100"/>
      <c r="D107" s="101" t="s">
        <v>134</v>
      </c>
      <c r="E107" s="302" t="str">
        <f>D4</f>
        <v>GENERAL SERVICE LESS THAN 50 KW SERVICE CLASSIFICATION</v>
      </c>
      <c r="F107" s="302"/>
      <c r="G107" s="302"/>
      <c r="H107" s="302"/>
      <c r="I107" s="302"/>
      <c r="J107" s="302"/>
      <c r="K107" s="100" t="str">
        <f>IF(N4="DEMAND - INTERVAL","RTSR - INTERVAL METERED","")</f>
        <v/>
      </c>
    </row>
    <row r="108" spans="1:13" x14ac:dyDescent="0.25">
      <c r="C108" s="100"/>
      <c r="D108" s="101" t="s">
        <v>135</v>
      </c>
      <c r="E108" s="303" t="str">
        <f>H4</f>
        <v>RPP</v>
      </c>
      <c r="F108" s="303"/>
      <c r="G108" s="303"/>
      <c r="H108" s="102"/>
      <c r="I108" s="102"/>
    </row>
    <row r="109" spans="1:13" ht="15.75" x14ac:dyDescent="0.25">
      <c r="C109" s="100"/>
      <c r="D109" s="101" t="s">
        <v>136</v>
      </c>
      <c r="E109" s="103">
        <f>K4</f>
        <v>2000</v>
      </c>
      <c r="F109" s="104" t="s">
        <v>137</v>
      </c>
      <c r="G109" s="105"/>
      <c r="J109" s="106"/>
      <c r="K109" s="106"/>
      <c r="L109" s="106"/>
      <c r="M109" s="106"/>
    </row>
    <row r="110" spans="1:13" ht="15.75" x14ac:dyDescent="0.25">
      <c r="C110" s="100"/>
      <c r="D110" s="101" t="s">
        <v>138</v>
      </c>
      <c r="E110" s="103">
        <f>L4</f>
        <v>0</v>
      </c>
      <c r="F110" s="107" t="s">
        <v>139</v>
      </c>
      <c r="G110" s="108"/>
      <c r="H110" s="109"/>
      <c r="I110" s="109"/>
      <c r="J110" s="109"/>
    </row>
    <row r="111" spans="1:13" x14ac:dyDescent="0.25">
      <c r="C111" s="100"/>
      <c r="D111" s="101" t="s">
        <v>140</v>
      </c>
      <c r="E111" s="110">
        <f>I4</f>
        <v>1.056</v>
      </c>
    </row>
    <row r="112" spans="1:13" x14ac:dyDescent="0.25">
      <c r="C112" s="100"/>
      <c r="D112" s="101" t="s">
        <v>141</v>
      </c>
      <c r="E112" s="110">
        <f>J4</f>
        <v>1.056</v>
      </c>
    </row>
    <row r="113" spans="1:13" x14ac:dyDescent="0.25">
      <c r="C113" s="100"/>
      <c r="D113" s="105"/>
    </row>
    <row r="114" spans="1:13" x14ac:dyDescent="0.25">
      <c r="C114" s="100"/>
      <c r="D114" s="105"/>
      <c r="E114" s="111"/>
      <c r="F114" s="304" t="s">
        <v>142</v>
      </c>
      <c r="G114" s="305"/>
      <c r="H114" s="306"/>
      <c r="I114" s="304" t="s">
        <v>143</v>
      </c>
      <c r="J114" s="305"/>
      <c r="K114" s="306"/>
      <c r="L114" s="304" t="s">
        <v>144</v>
      </c>
      <c r="M114" s="306"/>
    </row>
    <row r="115" spans="1:13" x14ac:dyDescent="0.25">
      <c r="C115" s="100"/>
      <c r="D115" s="105"/>
      <c r="E115" s="295"/>
      <c r="F115" s="112" t="s">
        <v>145</v>
      </c>
      <c r="G115" s="112" t="s">
        <v>146</v>
      </c>
      <c r="H115" s="113" t="s">
        <v>147</v>
      </c>
      <c r="I115" s="112" t="s">
        <v>145</v>
      </c>
      <c r="J115" s="114" t="s">
        <v>146</v>
      </c>
      <c r="K115" s="113" t="s">
        <v>147</v>
      </c>
      <c r="L115" s="297" t="s">
        <v>148</v>
      </c>
      <c r="M115" s="299" t="s">
        <v>149</v>
      </c>
    </row>
    <row r="116" spans="1:13" x14ac:dyDescent="0.25">
      <c r="C116" s="100"/>
      <c r="D116" s="105"/>
      <c r="E116" s="296"/>
      <c r="F116" s="115" t="s">
        <v>150</v>
      </c>
      <c r="G116" s="115"/>
      <c r="H116" s="116" t="s">
        <v>150</v>
      </c>
      <c r="I116" s="115" t="s">
        <v>150</v>
      </c>
      <c r="J116" s="116"/>
      <c r="K116" s="116" t="s">
        <v>150</v>
      </c>
      <c r="L116" s="298"/>
      <c r="M116" s="300"/>
    </row>
    <row r="117" spans="1:13" x14ac:dyDescent="0.25">
      <c r="A117" s="100" t="str">
        <f>$E107</f>
        <v>GENERAL SERVICE LESS THAN 50 KW SERVICE CLASSIFICATION</v>
      </c>
      <c r="C117" s="117"/>
      <c r="D117" s="118" t="s">
        <v>151</v>
      </c>
      <c r="E117" s="119"/>
      <c r="F117" s="120">
        <v>28.37</v>
      </c>
      <c r="G117" s="121">
        <v>1</v>
      </c>
      <c r="H117" s="122">
        <f>G117*F117</f>
        <v>28.37</v>
      </c>
      <c r="I117" s="123">
        <v>28.71</v>
      </c>
      <c r="J117" s="124">
        <f>G117</f>
        <v>1</v>
      </c>
      <c r="K117" s="122">
        <f>J117*I117</f>
        <v>28.71</v>
      </c>
      <c r="L117" s="125">
        <f t="shared" ref="L117:L138" si="20">K117-H117</f>
        <v>0.33999999999999986</v>
      </c>
      <c r="M117" s="126">
        <f>IF(ISERROR(L117/H117), "", L117/H117)</f>
        <v>1.198449065914698E-2</v>
      </c>
    </row>
    <row r="118" spans="1:13" x14ac:dyDescent="0.25">
      <c r="A118" s="100" t="str">
        <f>A117</f>
        <v>GENERAL SERVICE LESS THAN 50 KW SERVICE CLASSIFICATION</v>
      </c>
      <c r="C118" s="117"/>
      <c r="D118" s="118" t="s">
        <v>152</v>
      </c>
      <c r="E118" s="119"/>
      <c r="F118" s="127">
        <v>1.0200000000000001E-2</v>
      </c>
      <c r="G118" s="121">
        <f>IF($E110&gt;0, $E110, $E109)</f>
        <v>2000</v>
      </c>
      <c r="H118" s="122">
        <f t="shared" ref="H118:H130" si="21">G118*F118</f>
        <v>20.400000000000002</v>
      </c>
      <c r="I118" s="128">
        <v>1.03E-2</v>
      </c>
      <c r="J118" s="124">
        <f>IF($E110&gt;0, $E110, $E109)</f>
        <v>2000</v>
      </c>
      <c r="K118" s="122">
        <f>J118*I118</f>
        <v>20.6</v>
      </c>
      <c r="L118" s="125">
        <f t="shared" si="20"/>
        <v>0.19999999999999929</v>
      </c>
      <c r="M118" s="126">
        <f t="shared" ref="M118:M128" si="22">IF(ISERROR(L118/H118), "", L118/H118)</f>
        <v>9.8039215686274144E-3</v>
      </c>
    </row>
    <row r="119" spans="1:13" x14ac:dyDescent="0.25">
      <c r="A119" s="100" t="str">
        <f t="shared" ref="A119:A160" si="23">A118</f>
        <v>GENERAL SERVICE LESS THAN 50 KW SERVICE CLASSIFICATION</v>
      </c>
      <c r="C119" s="117"/>
      <c r="D119" s="118" t="s">
        <v>153</v>
      </c>
      <c r="E119" s="119"/>
      <c r="F119" s="127"/>
      <c r="G119" s="121">
        <f>IF($E110&gt;0, $E110, $E109)</f>
        <v>2000</v>
      </c>
      <c r="H119" s="122">
        <v>0</v>
      </c>
      <c r="I119" s="128"/>
      <c r="J119" s="124">
        <f>IF($E110&gt;0, $E110, $E109)</f>
        <v>2000</v>
      </c>
      <c r="K119" s="122">
        <v>0</v>
      </c>
      <c r="L119" s="125"/>
      <c r="M119" s="126"/>
    </row>
    <row r="120" spans="1:13" x14ac:dyDescent="0.25">
      <c r="A120" s="100" t="str">
        <f t="shared" si="23"/>
        <v>GENERAL SERVICE LESS THAN 50 KW SERVICE CLASSIFICATION</v>
      </c>
      <c r="C120" s="117"/>
      <c r="D120" s="118" t="s">
        <v>154</v>
      </c>
      <c r="E120" s="119"/>
      <c r="F120" s="127"/>
      <c r="G120" s="121">
        <f>IF($E110&gt;0, $E110, $E109)</f>
        <v>2000</v>
      </c>
      <c r="H120" s="122">
        <v>0</v>
      </c>
      <c r="I120" s="128"/>
      <c r="J120" s="121">
        <f>IF($E110&gt;0, $E110, $E109)</f>
        <v>2000</v>
      </c>
      <c r="K120" s="122">
        <v>0</v>
      </c>
      <c r="L120" s="125">
        <f>K120-H120</f>
        <v>0</v>
      </c>
      <c r="M120" s="126" t="str">
        <f>IF(ISERROR(L120/H120), "", L120/H120)</f>
        <v/>
      </c>
    </row>
    <row r="121" spans="1:13" x14ac:dyDescent="0.25">
      <c r="A121" s="100" t="str">
        <f t="shared" si="23"/>
        <v>GENERAL SERVICE LESS THAN 50 KW SERVICE CLASSIFICATION</v>
      </c>
      <c r="C121" s="117"/>
      <c r="D121" s="129" t="s">
        <v>155</v>
      </c>
      <c r="E121" s="119"/>
      <c r="F121" s="120">
        <v>0</v>
      </c>
      <c r="G121" s="121">
        <v>1</v>
      </c>
      <c r="H121" s="122">
        <f t="shared" si="21"/>
        <v>0</v>
      </c>
      <c r="I121" s="123">
        <v>0</v>
      </c>
      <c r="J121" s="124">
        <f>G121</f>
        <v>1</v>
      </c>
      <c r="K121" s="122">
        <f t="shared" ref="K121:K128" si="24">J121*I121</f>
        <v>0</v>
      </c>
      <c r="L121" s="125">
        <f t="shared" si="20"/>
        <v>0</v>
      </c>
      <c r="M121" s="126" t="str">
        <f t="shared" si="22"/>
        <v/>
      </c>
    </row>
    <row r="122" spans="1:13" x14ac:dyDescent="0.25">
      <c r="A122" s="100" t="str">
        <f t="shared" si="23"/>
        <v>GENERAL SERVICE LESS THAN 50 KW SERVICE CLASSIFICATION</v>
      </c>
      <c r="C122" s="117"/>
      <c r="D122" s="118" t="s">
        <v>156</v>
      </c>
      <c r="E122" s="119"/>
      <c r="F122" s="127">
        <v>0</v>
      </c>
      <c r="G122" s="121">
        <f>IF($E110&gt;0, $E110, $E109)</f>
        <v>2000</v>
      </c>
      <c r="H122" s="122">
        <f t="shared" si="21"/>
        <v>0</v>
      </c>
      <c r="I122" s="128">
        <v>0</v>
      </c>
      <c r="J122" s="124">
        <f>IF($E110&gt;0, $E110, $E109)</f>
        <v>2000</v>
      </c>
      <c r="K122" s="122">
        <f t="shared" si="24"/>
        <v>0</v>
      </c>
      <c r="L122" s="125">
        <f t="shared" si="20"/>
        <v>0</v>
      </c>
      <c r="M122" s="126" t="str">
        <f t="shared" si="22"/>
        <v/>
      </c>
    </row>
    <row r="123" spans="1:13" x14ac:dyDescent="0.25">
      <c r="A123" s="100" t="str">
        <f t="shared" si="23"/>
        <v>GENERAL SERVICE LESS THAN 50 KW SERVICE CLASSIFICATION</v>
      </c>
      <c r="B123" s="130" t="s">
        <v>157</v>
      </c>
      <c r="C123" s="117">
        <f>B4</f>
        <v>2</v>
      </c>
      <c r="D123" s="131" t="s">
        <v>158</v>
      </c>
      <c r="E123" s="132"/>
      <c r="F123" s="133"/>
      <c r="G123" s="134"/>
      <c r="H123" s="135">
        <f>SUM(H117:H122)</f>
        <v>48.77</v>
      </c>
      <c r="I123" s="136"/>
      <c r="J123" s="137"/>
      <c r="K123" s="135">
        <f>SUM(K117:K122)</f>
        <v>49.31</v>
      </c>
      <c r="L123" s="138">
        <f t="shared" si="20"/>
        <v>0.53999999999999915</v>
      </c>
      <c r="M123" s="139">
        <f>IF((H123)=0,"",(L123/H123))</f>
        <v>1.1072380561820774E-2</v>
      </c>
    </row>
    <row r="124" spans="1:13" x14ac:dyDescent="0.25">
      <c r="A124" s="100" t="str">
        <f t="shared" si="23"/>
        <v>GENERAL SERVICE LESS THAN 50 KW SERVICE CLASSIFICATION</v>
      </c>
      <c r="C124" s="117"/>
      <c r="D124" s="140" t="s">
        <v>159</v>
      </c>
      <c r="E124" s="119"/>
      <c r="F124" s="127">
        <f>IF((E109*12&gt;=150000), 0, IF(E108="RPP",(F140*0.65+F141*0.17+F142*0.18),IF(E108="Non-RPP (Retailer)",F143,F144)))</f>
        <v>8.1990000000000007E-2</v>
      </c>
      <c r="G124" s="141">
        <f>IF(F124=0, 0, $E109*E111-E109)</f>
        <v>112</v>
      </c>
      <c r="H124" s="122">
        <f>G124*F124</f>
        <v>9.1828800000000008</v>
      </c>
      <c r="I124" s="128">
        <f>IF((E109*12&gt;=150000), 0, IF(E108="RPP",(I140*0.65+I141*0.17+I142*0.18),IF(E108="Non-RPP (Retailer)",I143,I144)))</f>
        <v>8.1990000000000007E-2</v>
      </c>
      <c r="J124" s="141">
        <f>IF(I124=0, 0, E109*E112-E109)</f>
        <v>112</v>
      </c>
      <c r="K124" s="122">
        <f>J124*I124</f>
        <v>9.1828800000000008</v>
      </c>
      <c r="L124" s="125">
        <f>K124-H124</f>
        <v>0</v>
      </c>
      <c r="M124" s="126">
        <f>IF(ISERROR(L124/H124), "", L124/H124)</f>
        <v>0</v>
      </c>
    </row>
    <row r="125" spans="1:13" ht="25.5" x14ac:dyDescent="0.25">
      <c r="A125" s="100" t="str">
        <f t="shared" si="23"/>
        <v>GENERAL SERVICE LESS THAN 50 KW SERVICE CLASSIFICATION</v>
      </c>
      <c r="C125" s="117"/>
      <c r="D125" s="140" t="s">
        <v>160</v>
      </c>
      <c r="E125" s="119"/>
      <c r="F125" s="127">
        <v>-1.4E-3</v>
      </c>
      <c r="G125" s="142">
        <f>IF($E110&gt;0, $E110, $E109)</f>
        <v>2000</v>
      </c>
      <c r="H125" s="122">
        <f t="shared" si="21"/>
        <v>-2.8</v>
      </c>
      <c r="I125" s="128">
        <v>-5.3E-3</v>
      </c>
      <c r="J125" s="142">
        <f>IF($E110&gt;0, $E110, $E109)</f>
        <v>2000</v>
      </c>
      <c r="K125" s="122">
        <f t="shared" si="24"/>
        <v>-10.6</v>
      </c>
      <c r="L125" s="125">
        <f t="shared" si="20"/>
        <v>-7.8</v>
      </c>
      <c r="M125" s="126">
        <f t="shared" si="22"/>
        <v>2.785714285714286</v>
      </c>
    </row>
    <row r="126" spans="1:13" x14ac:dyDescent="0.25">
      <c r="A126" s="100" t="str">
        <f t="shared" si="23"/>
        <v>GENERAL SERVICE LESS THAN 50 KW SERVICE CLASSIFICATION</v>
      </c>
      <c r="C126" s="117"/>
      <c r="D126" s="140" t="s">
        <v>161</v>
      </c>
      <c r="E126" s="119"/>
      <c r="F126" s="127">
        <v>-1E-4</v>
      </c>
      <c r="G126" s="142">
        <f>IF($E110&gt;0, $E110, $E109)</f>
        <v>2000</v>
      </c>
      <c r="H126" s="122">
        <f>G126*F126</f>
        <v>-0.2</v>
      </c>
      <c r="I126" s="128">
        <v>0</v>
      </c>
      <c r="J126" s="142">
        <f>IF($E110&gt;0, $E110, $E109)</f>
        <v>2000</v>
      </c>
      <c r="K126" s="122">
        <f>J126*I126</f>
        <v>0</v>
      </c>
      <c r="L126" s="125">
        <f t="shared" si="20"/>
        <v>0.2</v>
      </c>
      <c r="M126" s="126">
        <f t="shared" si="22"/>
        <v>-1</v>
      </c>
    </row>
    <row r="127" spans="1:13" x14ac:dyDescent="0.25">
      <c r="A127" s="100" t="str">
        <f t="shared" si="23"/>
        <v>GENERAL SERVICE LESS THAN 50 KW SERVICE CLASSIFICATION</v>
      </c>
      <c r="C127" s="117"/>
      <c r="D127" s="140" t="s">
        <v>162</v>
      </c>
      <c r="E127" s="119"/>
      <c r="F127" s="127">
        <v>0</v>
      </c>
      <c r="G127" s="142">
        <f>E109</f>
        <v>2000</v>
      </c>
      <c r="H127" s="122">
        <f>G127*F127</f>
        <v>0</v>
      </c>
      <c r="I127" s="128">
        <v>0</v>
      </c>
      <c r="J127" s="142">
        <f>E109</f>
        <v>2000</v>
      </c>
      <c r="K127" s="122">
        <f t="shared" si="24"/>
        <v>0</v>
      </c>
      <c r="L127" s="125">
        <f t="shared" si="20"/>
        <v>0</v>
      </c>
      <c r="M127" s="126" t="str">
        <f t="shared" si="22"/>
        <v/>
      </c>
    </row>
    <row r="128" spans="1:13" x14ac:dyDescent="0.25">
      <c r="A128" s="100" t="str">
        <f t="shared" si="23"/>
        <v>GENERAL SERVICE LESS THAN 50 KW SERVICE CLASSIFICATION</v>
      </c>
      <c r="C128" s="117"/>
      <c r="D128" s="143" t="s">
        <v>163</v>
      </c>
      <c r="E128" s="119"/>
      <c r="F128" s="127">
        <v>2.3999999999999998E-3</v>
      </c>
      <c r="G128" s="142">
        <f>IF($E110&gt;0, $E110, $E109)</f>
        <v>2000</v>
      </c>
      <c r="H128" s="122">
        <f t="shared" si="21"/>
        <v>4.8</v>
      </c>
      <c r="I128" s="128">
        <v>2.3999999999999998E-3</v>
      </c>
      <c r="J128" s="142">
        <f>IF($E110&gt;0, $E110, $E109)</f>
        <v>2000</v>
      </c>
      <c r="K128" s="122">
        <f t="shared" si="24"/>
        <v>4.8</v>
      </c>
      <c r="L128" s="125">
        <f t="shared" si="20"/>
        <v>0</v>
      </c>
      <c r="M128" s="126">
        <f t="shared" si="22"/>
        <v>0</v>
      </c>
    </row>
    <row r="129" spans="1:13" ht="25.5" x14ac:dyDescent="0.25">
      <c r="A129" s="100" t="str">
        <f t="shared" si="23"/>
        <v>GENERAL SERVICE LESS THAN 50 KW SERVICE CLASSIFICATION</v>
      </c>
      <c r="C129" s="117"/>
      <c r="D129" s="144" t="s">
        <v>164</v>
      </c>
      <c r="E129" s="119"/>
      <c r="F129" s="145">
        <f>IF(OR(ISNUMBER(SEARCH("RESIDENTIAL", E107))=TRUE, ISNUMBER(SEARCH("GENERAL SERVICE LESS THAN 50", E107))=TRUE), SME, 0)</f>
        <v>0.56999999999999995</v>
      </c>
      <c r="G129" s="121">
        <v>1</v>
      </c>
      <c r="H129" s="122">
        <f>G129*F129</f>
        <v>0.56999999999999995</v>
      </c>
      <c r="I129" s="146">
        <f>IF(OR(ISNUMBER(SEARCH("RESIDENTIAL", E107))=TRUE, ISNUMBER(SEARCH("GENERAL SERVICE LESS THAN 50", E107))=TRUE), SME, 0)</f>
        <v>0.56999999999999995</v>
      </c>
      <c r="J129" s="121">
        <v>1</v>
      </c>
      <c r="K129" s="122">
        <f>J129*I129</f>
        <v>0.56999999999999995</v>
      </c>
      <c r="L129" s="125">
        <f t="shared" si="20"/>
        <v>0</v>
      </c>
      <c r="M129" s="126">
        <f>IF(ISERROR(L129/H129), "", L129/H129)</f>
        <v>0</v>
      </c>
    </row>
    <row r="130" spans="1:13" x14ac:dyDescent="0.25">
      <c r="A130" s="100" t="str">
        <f t="shared" si="23"/>
        <v>GENERAL SERVICE LESS THAN 50 KW SERVICE CLASSIFICATION</v>
      </c>
      <c r="C130" s="117"/>
      <c r="D130" s="143" t="s">
        <v>165</v>
      </c>
      <c r="E130" s="119"/>
      <c r="F130" s="120">
        <v>0</v>
      </c>
      <c r="G130" s="121">
        <v>1</v>
      </c>
      <c r="H130" s="122">
        <f t="shared" si="21"/>
        <v>0</v>
      </c>
      <c r="I130" s="123">
        <v>0</v>
      </c>
      <c r="J130" s="121">
        <v>1</v>
      </c>
      <c r="K130" s="122">
        <f>J130*I130</f>
        <v>0</v>
      </c>
      <c r="L130" s="125">
        <f>K130-H130</f>
        <v>0</v>
      </c>
      <c r="M130" s="126" t="str">
        <f>IF(ISERROR(L130/H130), "", L130/H130)</f>
        <v/>
      </c>
    </row>
    <row r="131" spans="1:13" x14ac:dyDescent="0.25">
      <c r="A131" s="100" t="str">
        <f t="shared" si="23"/>
        <v>GENERAL SERVICE LESS THAN 50 KW SERVICE CLASSIFICATION</v>
      </c>
      <c r="C131" s="117"/>
      <c r="D131" s="143" t="s">
        <v>166</v>
      </c>
      <c r="E131" s="119"/>
      <c r="F131" s="127"/>
      <c r="G131" s="142">
        <f>IF($E110&gt;0, $E110, $E109)</f>
        <v>2000</v>
      </c>
      <c r="H131" s="122">
        <f>G131*F131</f>
        <v>0</v>
      </c>
      <c r="I131" s="128">
        <v>0</v>
      </c>
      <c r="J131" s="142">
        <f>IF($E110&gt;0, $E110, $E109)</f>
        <v>2000</v>
      </c>
      <c r="K131" s="122">
        <f>J131*I131</f>
        <v>0</v>
      </c>
      <c r="L131" s="125">
        <f t="shared" si="20"/>
        <v>0</v>
      </c>
      <c r="M131" s="126" t="str">
        <f>IF(ISERROR(L131/H131), "", L131/H131)</f>
        <v/>
      </c>
    </row>
    <row r="132" spans="1:13" ht="25.5" x14ac:dyDescent="0.25">
      <c r="A132" s="100" t="str">
        <f t="shared" si="23"/>
        <v>GENERAL SERVICE LESS THAN 50 KW SERVICE CLASSIFICATION</v>
      </c>
      <c r="B132" s="105" t="s">
        <v>167</v>
      </c>
      <c r="C132" s="117">
        <f>B4</f>
        <v>2</v>
      </c>
      <c r="D132" s="147" t="s">
        <v>168</v>
      </c>
      <c r="E132" s="148"/>
      <c r="F132" s="149"/>
      <c r="G132" s="150"/>
      <c r="H132" s="151">
        <f>SUM(H123:H131)</f>
        <v>60.322880000000005</v>
      </c>
      <c r="I132" s="152"/>
      <c r="J132" s="153"/>
      <c r="K132" s="151">
        <f>SUM(K123:K131)</f>
        <v>53.262879999999996</v>
      </c>
      <c r="L132" s="138">
        <f t="shared" si="20"/>
        <v>-7.0600000000000094</v>
      </c>
      <c r="M132" s="139">
        <f>IF((H132)=0,"",(L132/H132))</f>
        <v>-0.11703685235187725</v>
      </c>
    </row>
    <row r="133" spans="1:13" x14ac:dyDescent="0.25">
      <c r="A133" s="100" t="str">
        <f t="shared" si="23"/>
        <v>GENERAL SERVICE LESS THAN 50 KW SERVICE CLASSIFICATION</v>
      </c>
      <c r="C133" s="117"/>
      <c r="D133" s="154" t="s">
        <v>169</v>
      </c>
      <c r="E133" s="119"/>
      <c r="F133" s="127">
        <v>6.0000000000000001E-3</v>
      </c>
      <c r="G133" s="141">
        <f>IF($E110&gt;0, $E110, $E109*$E111)</f>
        <v>2112</v>
      </c>
      <c r="H133" s="122">
        <f>G133*F133</f>
        <v>12.672000000000001</v>
      </c>
      <c r="I133" s="128">
        <v>5.7000000000000002E-3</v>
      </c>
      <c r="J133" s="141">
        <f>IF($E110&gt;0, $E110, $E109*$E112)</f>
        <v>2112</v>
      </c>
      <c r="K133" s="122">
        <f>J133*I133</f>
        <v>12.038400000000001</v>
      </c>
      <c r="L133" s="125">
        <f t="shared" si="20"/>
        <v>-0.6335999999999995</v>
      </c>
      <c r="M133" s="126">
        <f>IF(ISERROR(L133/H133), "", L133/H133)</f>
        <v>-4.9999999999999961E-2</v>
      </c>
    </row>
    <row r="134" spans="1:13" ht="25.5" x14ac:dyDescent="0.25">
      <c r="A134" s="100" t="str">
        <f t="shared" si="23"/>
        <v>GENERAL SERVICE LESS THAN 50 KW SERVICE CLASSIFICATION</v>
      </c>
      <c r="C134" s="117"/>
      <c r="D134" s="155" t="s">
        <v>170</v>
      </c>
      <c r="E134" s="119"/>
      <c r="F134" s="127">
        <v>5.3E-3</v>
      </c>
      <c r="G134" s="141">
        <f>IF($E110&gt;0, $E110, $E109*$E111)</f>
        <v>2112</v>
      </c>
      <c r="H134" s="122">
        <f>G134*F134</f>
        <v>11.1936</v>
      </c>
      <c r="I134" s="128">
        <v>5.0000000000000001E-3</v>
      </c>
      <c r="J134" s="141">
        <f>IF($E110&gt;0, $E110, $E109*$E112)</f>
        <v>2112</v>
      </c>
      <c r="K134" s="122">
        <f>J134*I134</f>
        <v>10.56</v>
      </c>
      <c r="L134" s="125">
        <f t="shared" si="20"/>
        <v>-0.6335999999999995</v>
      </c>
      <c r="M134" s="126">
        <f>IF(ISERROR(L134/H134), "", L134/H134)</f>
        <v>-5.6603773584905613E-2</v>
      </c>
    </row>
    <row r="135" spans="1:13" ht="25.5" x14ac:dyDescent="0.25">
      <c r="A135" s="100" t="str">
        <f t="shared" si="23"/>
        <v>GENERAL SERVICE LESS THAN 50 KW SERVICE CLASSIFICATION</v>
      </c>
      <c r="B135" s="105" t="s">
        <v>171</v>
      </c>
      <c r="C135" s="117">
        <f>B4</f>
        <v>2</v>
      </c>
      <c r="D135" s="147" t="s">
        <v>172</v>
      </c>
      <c r="E135" s="132"/>
      <c r="F135" s="149"/>
      <c r="G135" s="150"/>
      <c r="H135" s="151">
        <f>SUM(H132:H134)</f>
        <v>84.188480000000013</v>
      </c>
      <c r="I135" s="152"/>
      <c r="J135" s="137"/>
      <c r="K135" s="151">
        <f>SUM(K132:K134)</f>
        <v>75.861279999999994</v>
      </c>
      <c r="L135" s="138">
        <f t="shared" si="20"/>
        <v>-8.327200000000019</v>
      </c>
      <c r="M135" s="139">
        <f>IF((H135)=0,"",(L135/H135))</f>
        <v>-9.8911395003212055E-2</v>
      </c>
    </row>
    <row r="136" spans="1:13" ht="25.5" x14ac:dyDescent="0.25">
      <c r="A136" s="100" t="str">
        <f t="shared" si="23"/>
        <v>GENERAL SERVICE LESS THAN 50 KW SERVICE CLASSIFICATION</v>
      </c>
      <c r="C136" s="117"/>
      <c r="D136" s="156" t="s">
        <v>173</v>
      </c>
      <c r="E136" s="119"/>
      <c r="F136" s="127">
        <v>3.6000000000000003E-3</v>
      </c>
      <c r="G136" s="141">
        <f>E109*E111</f>
        <v>2112</v>
      </c>
      <c r="H136" s="157">
        <f t="shared" ref="H136:H142" si="25">G136*F136</f>
        <v>7.6032000000000011</v>
      </c>
      <c r="I136" s="128">
        <v>3.6000000000000003E-3</v>
      </c>
      <c r="J136" s="141">
        <f>E109*E112</f>
        <v>2112</v>
      </c>
      <c r="K136" s="157">
        <f t="shared" ref="K136:K142" si="26">J136*I136</f>
        <v>7.6032000000000011</v>
      </c>
      <c r="L136" s="125">
        <f t="shared" si="20"/>
        <v>0</v>
      </c>
      <c r="M136" s="126">
        <f t="shared" ref="M136:M144" si="27">IF(ISERROR(L136/H136), "", L136/H136)</f>
        <v>0</v>
      </c>
    </row>
    <row r="137" spans="1:13" ht="25.5" x14ac:dyDescent="0.25">
      <c r="A137" s="100" t="str">
        <f t="shared" si="23"/>
        <v>GENERAL SERVICE LESS THAN 50 KW SERVICE CLASSIFICATION</v>
      </c>
      <c r="C137" s="117"/>
      <c r="D137" s="156" t="s">
        <v>174</v>
      </c>
      <c r="E137" s="119"/>
      <c r="F137" s="127">
        <f>'[1]17. Regulatory Charges'!$D$16</f>
        <v>2.9999999999999997E-4</v>
      </c>
      <c r="G137" s="141">
        <f>E109*E111</f>
        <v>2112</v>
      </c>
      <c r="H137" s="157">
        <f t="shared" si="25"/>
        <v>0.63359999999999994</v>
      </c>
      <c r="I137" s="128">
        <v>2.9999999999999997E-4</v>
      </c>
      <c r="J137" s="141">
        <f>E109*E112</f>
        <v>2112</v>
      </c>
      <c r="K137" s="157">
        <f t="shared" si="26"/>
        <v>0.63359999999999994</v>
      </c>
      <c r="L137" s="125">
        <f t="shared" si="20"/>
        <v>0</v>
      </c>
      <c r="M137" s="126">
        <f t="shared" si="27"/>
        <v>0</v>
      </c>
    </row>
    <row r="138" spans="1:13" x14ac:dyDescent="0.25">
      <c r="A138" s="100" t="str">
        <f t="shared" si="23"/>
        <v>GENERAL SERVICE LESS THAN 50 KW SERVICE CLASSIFICATION</v>
      </c>
      <c r="C138" s="117"/>
      <c r="D138" s="158" t="s">
        <v>175</v>
      </c>
      <c r="E138" s="119"/>
      <c r="F138" s="145">
        <v>0.25</v>
      </c>
      <c r="G138" s="121">
        <v>1</v>
      </c>
      <c r="H138" s="157">
        <f t="shared" si="25"/>
        <v>0.25</v>
      </c>
      <c r="I138" s="146">
        <f>'[1]17. Regulatory Charges'!$D$17</f>
        <v>0.25</v>
      </c>
      <c r="J138" s="124">
        <v>1</v>
      </c>
      <c r="K138" s="157">
        <f t="shared" si="26"/>
        <v>0.25</v>
      </c>
      <c r="L138" s="125">
        <f t="shared" si="20"/>
        <v>0</v>
      </c>
      <c r="M138" s="126">
        <f t="shared" si="27"/>
        <v>0</v>
      </c>
    </row>
    <row r="139" spans="1:13" ht="25.5" x14ac:dyDescent="0.25">
      <c r="A139" s="100" t="str">
        <f t="shared" si="23"/>
        <v>GENERAL SERVICE LESS THAN 50 KW SERVICE CLASSIFICATION</v>
      </c>
      <c r="C139" s="117"/>
      <c r="D139" s="156" t="s">
        <v>176</v>
      </c>
      <c r="E139" s="119"/>
      <c r="F139" s="127"/>
      <c r="G139" s="141"/>
      <c r="H139" s="157"/>
      <c r="I139" s="128"/>
      <c r="J139" s="141"/>
      <c r="K139" s="157"/>
      <c r="L139" s="125"/>
      <c r="M139" s="126"/>
    </row>
    <row r="140" spans="1:13" x14ac:dyDescent="0.25">
      <c r="A140" s="100" t="str">
        <f t="shared" si="23"/>
        <v>GENERAL SERVICE LESS THAN 50 KW SERVICE CLASSIFICATION</v>
      </c>
      <c r="B140" s="105" t="s">
        <v>117</v>
      </c>
      <c r="C140" s="117"/>
      <c r="D140" s="159" t="s">
        <v>177</v>
      </c>
      <c r="E140" s="119"/>
      <c r="F140" s="160">
        <f>OffPeak</f>
        <v>6.5000000000000002E-2</v>
      </c>
      <c r="G140" s="161">
        <f>IF(AND(E109*12&gt;=150000),0.65*E109*E111,0.65*E109)</f>
        <v>1300</v>
      </c>
      <c r="H140" s="157">
        <f t="shared" si="25"/>
        <v>84.5</v>
      </c>
      <c r="I140" s="162">
        <f>OffPeak</f>
        <v>6.5000000000000002E-2</v>
      </c>
      <c r="J140" s="161">
        <f>IF(AND(E109*12&gt;=150000),0.65*E109*E112,0.65*E109)</f>
        <v>1300</v>
      </c>
      <c r="K140" s="157">
        <f t="shared" si="26"/>
        <v>84.5</v>
      </c>
      <c r="L140" s="125">
        <f>K140-H140</f>
        <v>0</v>
      </c>
      <c r="M140" s="126">
        <f t="shared" si="27"/>
        <v>0</v>
      </c>
    </row>
    <row r="141" spans="1:13" x14ac:dyDescent="0.25">
      <c r="A141" s="100" t="str">
        <f t="shared" si="23"/>
        <v>GENERAL SERVICE LESS THAN 50 KW SERVICE CLASSIFICATION</v>
      </c>
      <c r="B141" s="105" t="s">
        <v>117</v>
      </c>
      <c r="C141" s="117"/>
      <c r="D141" s="159" t="s">
        <v>178</v>
      </c>
      <c r="E141" s="119"/>
      <c r="F141" s="160">
        <f>MidPeak</f>
        <v>9.4E-2</v>
      </c>
      <c r="G141" s="161">
        <f>IF(AND(E109*12&gt;=150000),0.17*E109*E111,0.17*E109)</f>
        <v>340</v>
      </c>
      <c r="H141" s="157">
        <f t="shared" si="25"/>
        <v>31.96</v>
      </c>
      <c r="I141" s="162">
        <f>MidPeak</f>
        <v>9.4E-2</v>
      </c>
      <c r="J141" s="161">
        <f>IF(AND(E109*12&gt;=150000),0.17*E109*E112,0.17*E109)</f>
        <v>340</v>
      </c>
      <c r="K141" s="157">
        <f t="shared" si="26"/>
        <v>31.96</v>
      </c>
      <c r="L141" s="125">
        <f>K141-H141</f>
        <v>0</v>
      </c>
      <c r="M141" s="126">
        <f t="shared" si="27"/>
        <v>0</v>
      </c>
    </row>
    <row r="142" spans="1:13" ht="15.75" thickBot="1" x14ac:dyDescent="0.3">
      <c r="A142" s="100" t="str">
        <f t="shared" si="23"/>
        <v>GENERAL SERVICE LESS THAN 50 KW SERVICE CLASSIFICATION</v>
      </c>
      <c r="B142" s="105" t="s">
        <v>117</v>
      </c>
      <c r="C142" s="117"/>
      <c r="D142" s="105" t="s">
        <v>179</v>
      </c>
      <c r="E142" s="119"/>
      <c r="F142" s="160">
        <f>OnPeak</f>
        <v>0.13200000000000001</v>
      </c>
      <c r="G142" s="161">
        <f>IF(AND(E109*12&gt;=150000),0.18*E109*E111,0.18*E109)</f>
        <v>360</v>
      </c>
      <c r="H142" s="157">
        <f t="shared" si="25"/>
        <v>47.52</v>
      </c>
      <c r="I142" s="162">
        <f>OnPeak</f>
        <v>0.13200000000000001</v>
      </c>
      <c r="J142" s="161">
        <f>IF(AND(E109*12&gt;=150000),0.18*E109*E112,0.18*E109)</f>
        <v>360</v>
      </c>
      <c r="K142" s="157">
        <f t="shared" si="26"/>
        <v>47.52</v>
      </c>
      <c r="L142" s="125">
        <f>K142-H142</f>
        <v>0</v>
      </c>
      <c r="M142" s="126">
        <f t="shared" si="27"/>
        <v>0</v>
      </c>
    </row>
    <row r="143" spans="1:13" ht="15.75" hidden="1" thickBot="1" x14ac:dyDescent="0.3">
      <c r="A143" s="100" t="str">
        <f t="shared" si="23"/>
        <v>GENERAL SERVICE LESS THAN 50 KW SERVICE CLASSIFICATION</v>
      </c>
      <c r="B143" s="100" t="s">
        <v>180</v>
      </c>
      <c r="C143" s="117"/>
      <c r="D143" s="159" t="s">
        <v>181</v>
      </c>
      <c r="E143" s="119"/>
      <c r="F143" s="163">
        <v>0.1101</v>
      </c>
      <c r="G143" s="161">
        <f>IF(AND(E109*12&gt;=150000),E109*E111,E109)</f>
        <v>2000</v>
      </c>
      <c r="H143" s="157">
        <f>G143*F143</f>
        <v>220.20000000000002</v>
      </c>
      <c r="I143" s="164">
        <f>F143</f>
        <v>0.1101</v>
      </c>
      <c r="J143" s="161">
        <f>IF(AND(E109*12&gt;=150000),E109*E112,E109)</f>
        <v>2000</v>
      </c>
      <c r="K143" s="157">
        <f>J143*I143</f>
        <v>220.20000000000002</v>
      </c>
      <c r="L143" s="125">
        <f>K143-H143</f>
        <v>0</v>
      </c>
      <c r="M143" s="126">
        <f t="shared" si="27"/>
        <v>0</v>
      </c>
    </row>
    <row r="144" spans="1:13" ht="15.75" hidden="1" thickBot="1" x14ac:dyDescent="0.3">
      <c r="A144" s="100" t="str">
        <f t="shared" si="23"/>
        <v>GENERAL SERVICE LESS THAN 50 KW SERVICE CLASSIFICATION</v>
      </c>
      <c r="B144" s="100" t="s">
        <v>121</v>
      </c>
      <c r="C144" s="117"/>
      <c r="D144" s="159" t="s">
        <v>182</v>
      </c>
      <c r="E144" s="119"/>
      <c r="F144" s="163">
        <v>0.1101</v>
      </c>
      <c r="G144" s="161">
        <f>IF(AND(E109*12&gt;=150000),E109*E111,E109)</f>
        <v>2000</v>
      </c>
      <c r="H144" s="157">
        <f>G144*F144</f>
        <v>220.20000000000002</v>
      </c>
      <c r="I144" s="164">
        <f>F144</f>
        <v>0.1101</v>
      </c>
      <c r="J144" s="161">
        <f>IF(AND(E109*12&gt;=150000),E109*E112,E109)</f>
        <v>2000</v>
      </c>
      <c r="K144" s="157">
        <f>J144*I144</f>
        <v>220.20000000000002</v>
      </c>
      <c r="L144" s="125">
        <f>K144-H144</f>
        <v>0</v>
      </c>
      <c r="M144" s="126">
        <f t="shared" si="27"/>
        <v>0</v>
      </c>
    </row>
    <row r="145" spans="1:13" ht="15.75" thickBot="1" x14ac:dyDescent="0.3">
      <c r="A145" s="100" t="str">
        <f t="shared" si="23"/>
        <v>GENERAL SERVICE LESS THAN 50 KW SERVICE CLASSIFICATION</v>
      </c>
      <c r="B145" s="105"/>
      <c r="C145" s="117"/>
      <c r="D145" s="165"/>
      <c r="E145" s="166"/>
      <c r="F145" s="167"/>
      <c r="G145" s="168"/>
      <c r="H145" s="169"/>
      <c r="I145" s="167"/>
      <c r="J145" s="170"/>
      <c r="K145" s="169"/>
      <c r="L145" s="171"/>
      <c r="M145" s="172"/>
    </row>
    <row r="146" spans="1:13" x14ac:dyDescent="0.25">
      <c r="A146" s="100" t="str">
        <f t="shared" si="23"/>
        <v>GENERAL SERVICE LESS THAN 50 KW SERVICE CLASSIFICATION</v>
      </c>
      <c r="B146" s="105" t="s">
        <v>117</v>
      </c>
      <c r="C146" s="117"/>
      <c r="D146" s="173" t="s">
        <v>183</v>
      </c>
      <c r="E146" s="158"/>
      <c r="F146" s="174"/>
      <c r="G146" s="175"/>
      <c r="H146" s="176">
        <f>SUM(H136:H142,H135)</f>
        <v>256.65528</v>
      </c>
      <c r="I146" s="177"/>
      <c r="J146" s="177"/>
      <c r="K146" s="176">
        <f>SUM(K136:K142,K135)</f>
        <v>248.32808</v>
      </c>
      <c r="L146" s="178">
        <f>K146-H146</f>
        <v>-8.3272000000000048</v>
      </c>
      <c r="M146" s="179">
        <f>IF((H146)=0,"",(L146/H146))</f>
        <v>-3.2445075745178534E-2</v>
      </c>
    </row>
    <row r="147" spans="1:13" x14ac:dyDescent="0.25">
      <c r="A147" s="100" t="str">
        <f t="shared" si="23"/>
        <v>GENERAL SERVICE LESS THAN 50 KW SERVICE CLASSIFICATION</v>
      </c>
      <c r="B147" s="105" t="s">
        <v>117</v>
      </c>
      <c r="C147" s="117"/>
      <c r="D147" s="180" t="s">
        <v>184</v>
      </c>
      <c r="E147" s="158"/>
      <c r="F147" s="174">
        <v>0.13</v>
      </c>
      <c r="G147" s="181"/>
      <c r="H147" s="182">
        <f>H146*F147</f>
        <v>33.365186399999999</v>
      </c>
      <c r="I147" s="183">
        <v>0.13</v>
      </c>
      <c r="J147" s="121"/>
      <c r="K147" s="182">
        <f>K146*I147</f>
        <v>32.282650400000001</v>
      </c>
      <c r="L147" s="184">
        <f>K147-H147</f>
        <v>-1.0825359999999975</v>
      </c>
      <c r="M147" s="185">
        <f>IF((H147)=0,"",(L147/H147))</f>
        <v>-3.2445075745178437E-2</v>
      </c>
    </row>
    <row r="148" spans="1:13" x14ac:dyDescent="0.25">
      <c r="A148" s="100" t="str">
        <f t="shared" si="23"/>
        <v>GENERAL SERVICE LESS THAN 50 KW SERVICE CLASSIFICATION</v>
      </c>
      <c r="B148" s="105" t="s">
        <v>117</v>
      </c>
      <c r="C148" s="117"/>
      <c r="D148" s="180" t="s">
        <v>185</v>
      </c>
      <c r="E148" s="158"/>
      <c r="F148" s="174">
        <v>0.08</v>
      </c>
      <c r="G148" s="181"/>
      <c r="H148" s="182">
        <f>H146*-F148</f>
        <v>-20.532422400000002</v>
      </c>
      <c r="I148" s="174">
        <v>0.08</v>
      </c>
      <c r="J148" s="121"/>
      <c r="K148" s="182">
        <f>K146*-I148</f>
        <v>-19.866246400000001</v>
      </c>
      <c r="L148" s="184">
        <f>K148-H148</f>
        <v>0.6661760000000001</v>
      </c>
      <c r="M148" s="185"/>
    </row>
    <row r="149" spans="1:13" ht="15.75" thickBot="1" x14ac:dyDescent="0.3">
      <c r="A149" s="100" t="str">
        <f t="shared" si="23"/>
        <v>GENERAL SERVICE LESS THAN 50 KW SERVICE CLASSIFICATION</v>
      </c>
      <c r="B149" s="105" t="s">
        <v>186</v>
      </c>
      <c r="C149" s="117">
        <f>B4</f>
        <v>2</v>
      </c>
      <c r="D149" s="301" t="s">
        <v>187</v>
      </c>
      <c r="E149" s="301"/>
      <c r="F149" s="186"/>
      <c r="G149" s="187"/>
      <c r="H149" s="188">
        <f>H146+H147+H148</f>
        <v>269.48804400000006</v>
      </c>
      <c r="I149" s="189"/>
      <c r="J149" s="189"/>
      <c r="K149" s="190">
        <f>K146+K147+K148</f>
        <v>260.744484</v>
      </c>
      <c r="L149" s="191">
        <f>K149-H149</f>
        <v>-8.7435600000000591</v>
      </c>
      <c r="M149" s="192">
        <f>IF((H149)=0,"",(L149/H149))</f>
        <v>-3.2445075745178728E-2</v>
      </c>
    </row>
    <row r="150" spans="1:13" ht="15.75" thickBot="1" x14ac:dyDescent="0.3">
      <c r="A150" s="100" t="str">
        <f t="shared" si="23"/>
        <v>GENERAL SERVICE LESS THAN 50 KW SERVICE CLASSIFICATION</v>
      </c>
      <c r="B150" s="100" t="s">
        <v>117</v>
      </c>
      <c r="C150" s="117"/>
      <c r="D150" s="165"/>
      <c r="E150" s="166"/>
      <c r="F150" s="167"/>
      <c r="G150" s="168"/>
      <c r="H150" s="169"/>
      <c r="I150" s="167"/>
      <c r="J150" s="170"/>
      <c r="K150" s="169"/>
      <c r="L150" s="171"/>
      <c r="M150" s="172"/>
    </row>
    <row r="151" spans="1:13" hidden="1" x14ac:dyDescent="0.25">
      <c r="A151" s="100" t="str">
        <f t="shared" si="23"/>
        <v>GENERAL SERVICE LESS THAN 50 KW SERVICE CLASSIFICATION</v>
      </c>
      <c r="B151" s="100" t="s">
        <v>180</v>
      </c>
      <c r="C151" s="117"/>
      <c r="D151" s="173" t="s">
        <v>188</v>
      </c>
      <c r="E151" s="158"/>
      <c r="F151" s="174"/>
      <c r="G151" s="175"/>
      <c r="H151" s="176">
        <f>SUM(H143,H136:H139,H135)</f>
        <v>312.87528000000003</v>
      </c>
      <c r="I151" s="177"/>
      <c r="J151" s="177"/>
      <c r="K151" s="176">
        <f>SUM(K143,K136:K139,K135)</f>
        <v>304.54808000000003</v>
      </c>
      <c r="L151" s="178">
        <f>K151-H151</f>
        <v>-8.3272000000000048</v>
      </c>
      <c r="M151" s="179">
        <f>IF((H151)=0,"",(L151/H151))</f>
        <v>-2.6615078059219009E-2</v>
      </c>
    </row>
    <row r="152" spans="1:13" hidden="1" x14ac:dyDescent="0.25">
      <c r="A152" s="100" t="str">
        <f t="shared" si="23"/>
        <v>GENERAL SERVICE LESS THAN 50 KW SERVICE CLASSIFICATION</v>
      </c>
      <c r="B152" s="100" t="s">
        <v>180</v>
      </c>
      <c r="C152" s="117"/>
      <c r="D152" s="180" t="s">
        <v>184</v>
      </c>
      <c r="E152" s="158"/>
      <c r="F152" s="174">
        <v>0.13</v>
      </c>
      <c r="G152" s="175"/>
      <c r="H152" s="182">
        <f>H151*F152</f>
        <v>40.673786400000004</v>
      </c>
      <c r="I152" s="174">
        <v>0.13</v>
      </c>
      <c r="J152" s="183"/>
      <c r="K152" s="182">
        <f>K151*I152</f>
        <v>39.591250400000007</v>
      </c>
      <c r="L152" s="184">
        <f>K152-H152</f>
        <v>-1.0825359999999975</v>
      </c>
      <c r="M152" s="185">
        <f>IF((H152)=0,"",(L152/H152))</f>
        <v>-2.6615078059218932E-2</v>
      </c>
    </row>
    <row r="153" spans="1:13" hidden="1" x14ac:dyDescent="0.25">
      <c r="A153" s="100" t="str">
        <f t="shared" si="23"/>
        <v>GENERAL SERVICE LESS THAN 50 KW SERVICE CLASSIFICATION</v>
      </c>
      <c r="B153" s="100" t="s">
        <v>180</v>
      </c>
      <c r="C153" s="117"/>
      <c r="D153" s="180" t="s">
        <v>185</v>
      </c>
      <c r="E153" s="158"/>
      <c r="F153" s="174">
        <v>0.08</v>
      </c>
      <c r="G153" s="175"/>
      <c r="H153" s="182"/>
      <c r="I153" s="174">
        <v>0.08</v>
      </c>
      <c r="J153" s="183"/>
      <c r="K153" s="182"/>
      <c r="L153" s="184"/>
      <c r="M153" s="185"/>
    </row>
    <row r="154" spans="1:13" hidden="1" x14ac:dyDescent="0.25">
      <c r="A154" s="100" t="str">
        <f t="shared" si="23"/>
        <v>GENERAL SERVICE LESS THAN 50 KW SERVICE CLASSIFICATION</v>
      </c>
      <c r="B154" s="100" t="s">
        <v>189</v>
      </c>
      <c r="C154" s="117"/>
      <c r="D154" s="301" t="s">
        <v>188</v>
      </c>
      <c r="E154" s="301"/>
      <c r="F154" s="193"/>
      <c r="G154" s="194"/>
      <c r="H154" s="188">
        <f>SUM(H151,H152)</f>
        <v>353.54906640000002</v>
      </c>
      <c r="I154" s="195"/>
      <c r="J154" s="195"/>
      <c r="K154" s="188">
        <f>SUM(K151,K152)</f>
        <v>344.13933040000006</v>
      </c>
      <c r="L154" s="196">
        <f>K154-H154</f>
        <v>-9.4097359999999526</v>
      </c>
      <c r="M154" s="197">
        <f>IF((H154)=0,"",(L154/H154))</f>
        <v>-2.6615078059218859E-2</v>
      </c>
    </row>
    <row r="155" spans="1:13" ht="15.75" hidden="1" thickBot="1" x14ac:dyDescent="0.3">
      <c r="A155" s="100" t="str">
        <f t="shared" si="23"/>
        <v>GENERAL SERVICE LESS THAN 50 KW SERVICE CLASSIFICATION</v>
      </c>
      <c r="B155" s="100" t="s">
        <v>180</v>
      </c>
      <c r="C155" s="117"/>
      <c r="D155" s="165"/>
      <c r="E155" s="166"/>
      <c r="F155" s="198"/>
      <c r="G155" s="199"/>
      <c r="H155" s="200"/>
      <c r="I155" s="198"/>
      <c r="J155" s="168"/>
      <c r="K155" s="200"/>
      <c r="L155" s="201"/>
      <c r="M155" s="172"/>
    </row>
    <row r="156" spans="1:13" hidden="1" x14ac:dyDescent="0.25">
      <c r="A156" s="100" t="str">
        <f t="shared" si="23"/>
        <v>GENERAL SERVICE LESS THAN 50 KW SERVICE CLASSIFICATION</v>
      </c>
      <c r="B156" s="100" t="s">
        <v>121</v>
      </c>
      <c r="C156" s="117"/>
      <c r="D156" s="173" t="s">
        <v>190</v>
      </c>
      <c r="E156" s="158"/>
      <c r="F156" s="174"/>
      <c r="G156" s="175"/>
      <c r="H156" s="176">
        <f>SUM(H144,H136:H139,H135)</f>
        <v>312.87528000000003</v>
      </c>
      <c r="I156" s="177"/>
      <c r="J156" s="177"/>
      <c r="K156" s="176">
        <f>SUM(K144,K136:K139,K135)</f>
        <v>304.54808000000003</v>
      </c>
      <c r="L156" s="178">
        <f>K156-H156</f>
        <v>-8.3272000000000048</v>
      </c>
      <c r="M156" s="179">
        <f>IF((H156)=0,"",(L156/H156))</f>
        <v>-2.6615078059219009E-2</v>
      </c>
    </row>
    <row r="157" spans="1:13" hidden="1" x14ac:dyDescent="0.25">
      <c r="A157" s="100" t="str">
        <f t="shared" si="23"/>
        <v>GENERAL SERVICE LESS THAN 50 KW SERVICE CLASSIFICATION</v>
      </c>
      <c r="B157" s="100" t="s">
        <v>121</v>
      </c>
      <c r="C157" s="117"/>
      <c r="D157" s="180" t="s">
        <v>184</v>
      </c>
      <c r="E157" s="158"/>
      <c r="F157" s="174">
        <v>0.13</v>
      </c>
      <c r="G157" s="175"/>
      <c r="H157" s="182">
        <f>H156*F157</f>
        <v>40.673786400000004</v>
      </c>
      <c r="I157" s="174">
        <v>0.13</v>
      </c>
      <c r="J157" s="183"/>
      <c r="K157" s="182">
        <f>K156*I157</f>
        <v>39.591250400000007</v>
      </c>
      <c r="L157" s="184">
        <f>K157-H157</f>
        <v>-1.0825359999999975</v>
      </c>
      <c r="M157" s="185">
        <f>IF((H157)=0,"",(L157/H157))</f>
        <v>-2.6615078059218932E-2</v>
      </c>
    </row>
    <row r="158" spans="1:13" hidden="1" x14ac:dyDescent="0.25">
      <c r="A158" s="100" t="str">
        <f t="shared" si="23"/>
        <v>GENERAL SERVICE LESS THAN 50 KW SERVICE CLASSIFICATION</v>
      </c>
      <c r="B158" s="100" t="s">
        <v>121</v>
      </c>
      <c r="C158" s="117"/>
      <c r="D158" s="180" t="s">
        <v>185</v>
      </c>
      <c r="E158" s="158"/>
      <c r="F158" s="174">
        <v>0.08</v>
      </c>
      <c r="G158" s="175"/>
      <c r="H158" s="182"/>
      <c r="I158" s="174">
        <v>0.08</v>
      </c>
      <c r="J158" s="183"/>
      <c r="K158" s="182"/>
      <c r="L158" s="184"/>
      <c r="M158" s="185"/>
    </row>
    <row r="159" spans="1:13" hidden="1" x14ac:dyDescent="0.25">
      <c r="A159" s="100" t="str">
        <f t="shared" si="23"/>
        <v>GENERAL SERVICE LESS THAN 50 KW SERVICE CLASSIFICATION</v>
      </c>
      <c r="B159" s="100" t="s">
        <v>191</v>
      </c>
      <c r="C159" s="117"/>
      <c r="D159" s="301" t="s">
        <v>190</v>
      </c>
      <c r="E159" s="301"/>
      <c r="F159" s="193"/>
      <c r="G159" s="194"/>
      <c r="H159" s="188">
        <f>SUM(H156,H157)</f>
        <v>353.54906640000002</v>
      </c>
      <c r="I159" s="195"/>
      <c r="J159" s="195"/>
      <c r="K159" s="188">
        <f>SUM(K156,K157)</f>
        <v>344.13933040000006</v>
      </c>
      <c r="L159" s="196">
        <f>K159-H159</f>
        <v>-9.4097359999999526</v>
      </c>
      <c r="M159" s="197">
        <f>IF((H159)=0,"",(L159/H159))</f>
        <v>-2.6615078059218859E-2</v>
      </c>
    </row>
    <row r="160" spans="1:13" ht="15.75" hidden="1" thickBot="1" x14ac:dyDescent="0.3">
      <c r="A160" s="100" t="str">
        <f t="shared" si="23"/>
        <v>GENERAL SERVICE LESS THAN 50 KW SERVICE CLASSIFICATION</v>
      </c>
      <c r="B160" s="100" t="s">
        <v>121</v>
      </c>
      <c r="C160" s="117"/>
      <c r="D160" s="165"/>
      <c r="E160" s="166"/>
      <c r="F160" s="202"/>
      <c r="G160" s="203"/>
      <c r="H160" s="204"/>
      <c r="I160" s="202"/>
      <c r="J160" s="205"/>
      <c r="K160" s="204"/>
      <c r="L160" s="206"/>
      <c r="M160" s="207"/>
    </row>
    <row r="163" spans="1:13" x14ac:dyDescent="0.25">
      <c r="C163" s="100"/>
      <c r="D163" s="101" t="s">
        <v>134</v>
      </c>
      <c r="E163" s="302" t="str">
        <f>D5</f>
        <v>GENERAL SERVICE 50 TO 999 KW SERVICE CLASSIFICATION</v>
      </c>
      <c r="F163" s="302"/>
      <c r="G163" s="302"/>
      <c r="H163" s="302"/>
      <c r="I163" s="302"/>
      <c r="J163" s="302"/>
      <c r="K163" s="100" t="str">
        <f>IF(N5="DEMAND - INTERVAL","RTSR - INTERVAL METERED","")</f>
        <v/>
      </c>
    </row>
    <row r="164" spans="1:13" x14ac:dyDescent="0.25">
      <c r="C164" s="100"/>
      <c r="D164" s="101" t="s">
        <v>135</v>
      </c>
      <c r="E164" s="303" t="str">
        <f>H5</f>
        <v>Non-RPP (Other)</v>
      </c>
      <c r="F164" s="303"/>
      <c r="G164" s="303"/>
      <c r="H164" s="102"/>
      <c r="I164" s="102"/>
    </row>
    <row r="165" spans="1:13" ht="15.75" x14ac:dyDescent="0.25">
      <c r="C165" s="100"/>
      <c r="D165" s="101" t="s">
        <v>136</v>
      </c>
      <c r="E165" s="103">
        <f>K5</f>
        <v>328500</v>
      </c>
      <c r="F165" s="104" t="s">
        <v>137</v>
      </c>
      <c r="G165" s="105"/>
      <c r="J165" s="106"/>
      <c r="K165" s="106"/>
      <c r="L165" s="106"/>
      <c r="M165" s="106"/>
    </row>
    <row r="166" spans="1:13" ht="15.75" x14ac:dyDescent="0.25">
      <c r="C166" s="100"/>
      <c r="D166" s="101" t="s">
        <v>138</v>
      </c>
      <c r="E166" s="103">
        <f>L5</f>
        <v>500</v>
      </c>
      <c r="F166" s="107" t="s">
        <v>139</v>
      </c>
      <c r="G166" s="108"/>
      <c r="H166" s="109"/>
      <c r="I166" s="109"/>
      <c r="J166" s="109"/>
    </row>
    <row r="167" spans="1:13" x14ac:dyDescent="0.25">
      <c r="C167" s="100"/>
      <c r="D167" s="101" t="s">
        <v>140</v>
      </c>
      <c r="E167" s="110">
        <f>I5</f>
        <v>1.056</v>
      </c>
    </row>
    <row r="168" spans="1:13" x14ac:dyDescent="0.25">
      <c r="C168" s="100"/>
      <c r="D168" s="101" t="s">
        <v>141</v>
      </c>
      <c r="E168" s="110">
        <f>J5</f>
        <v>1.056</v>
      </c>
    </row>
    <row r="169" spans="1:13" x14ac:dyDescent="0.25">
      <c r="C169" s="100"/>
      <c r="D169" s="105"/>
    </row>
    <row r="170" spans="1:13" x14ac:dyDescent="0.25">
      <c r="C170" s="100"/>
      <c r="D170" s="105"/>
      <c r="E170" s="111"/>
      <c r="F170" s="304" t="s">
        <v>142</v>
      </c>
      <c r="G170" s="305"/>
      <c r="H170" s="306"/>
      <c r="I170" s="304" t="s">
        <v>143</v>
      </c>
      <c r="J170" s="305"/>
      <c r="K170" s="306"/>
      <c r="L170" s="304" t="s">
        <v>144</v>
      </c>
      <c r="M170" s="306"/>
    </row>
    <row r="171" spans="1:13" x14ac:dyDescent="0.25">
      <c r="C171" s="100"/>
      <c r="D171" s="105"/>
      <c r="E171" s="295"/>
      <c r="F171" s="112" t="s">
        <v>145</v>
      </c>
      <c r="G171" s="112" t="s">
        <v>146</v>
      </c>
      <c r="H171" s="113" t="s">
        <v>147</v>
      </c>
      <c r="I171" s="112" t="s">
        <v>145</v>
      </c>
      <c r="J171" s="114" t="s">
        <v>146</v>
      </c>
      <c r="K171" s="113" t="s">
        <v>147</v>
      </c>
      <c r="L171" s="297" t="s">
        <v>148</v>
      </c>
      <c r="M171" s="299" t="s">
        <v>149</v>
      </c>
    </row>
    <row r="172" spans="1:13" x14ac:dyDescent="0.25">
      <c r="C172" s="100"/>
      <c r="D172" s="105"/>
      <c r="E172" s="296"/>
      <c r="F172" s="115" t="s">
        <v>150</v>
      </c>
      <c r="G172" s="115"/>
      <c r="H172" s="116" t="s">
        <v>150</v>
      </c>
      <c r="I172" s="115" t="s">
        <v>150</v>
      </c>
      <c r="J172" s="116"/>
      <c r="K172" s="116" t="s">
        <v>150</v>
      </c>
      <c r="L172" s="298"/>
      <c r="M172" s="300"/>
    </row>
    <row r="173" spans="1:13" x14ac:dyDescent="0.25">
      <c r="A173" s="100" t="str">
        <f>$E163</f>
        <v>GENERAL SERVICE 50 TO 999 KW SERVICE CLASSIFICATION</v>
      </c>
      <c r="C173" s="117"/>
      <c r="D173" s="118" t="s">
        <v>151</v>
      </c>
      <c r="E173" s="119"/>
      <c r="F173" s="120">
        <v>86.83</v>
      </c>
      <c r="G173" s="121">
        <v>1</v>
      </c>
      <c r="H173" s="122">
        <f>G173*F173</f>
        <v>86.83</v>
      </c>
      <c r="I173" s="123">
        <v>87.87</v>
      </c>
      <c r="J173" s="124">
        <f>G173</f>
        <v>1</v>
      </c>
      <c r="K173" s="122">
        <f>J173*I173</f>
        <v>87.87</v>
      </c>
      <c r="L173" s="125">
        <f t="shared" ref="L173:L194" si="28">K173-H173</f>
        <v>1.0400000000000063</v>
      </c>
      <c r="M173" s="126">
        <f>IF(ISERROR(L173/H173), "", L173/H173)</f>
        <v>1.1977427156512798E-2</v>
      </c>
    </row>
    <row r="174" spans="1:13" x14ac:dyDescent="0.25">
      <c r="A174" s="100" t="str">
        <f>A173</f>
        <v>GENERAL SERVICE 50 TO 999 KW SERVICE CLASSIFICATION</v>
      </c>
      <c r="C174" s="117"/>
      <c r="D174" s="118" t="s">
        <v>152</v>
      </c>
      <c r="E174" s="119"/>
      <c r="F174" s="127">
        <v>3.8580000000000001</v>
      </c>
      <c r="G174" s="121">
        <f>IF($E166&gt;0, $E166, $E165)</f>
        <v>500</v>
      </c>
      <c r="H174" s="122">
        <f t="shared" ref="H174:H186" si="29">G174*F174</f>
        <v>1929</v>
      </c>
      <c r="I174" s="128">
        <v>3.9043000000000001</v>
      </c>
      <c r="J174" s="124">
        <f>IF($E166&gt;0, $E166, $E165)</f>
        <v>500</v>
      </c>
      <c r="K174" s="122">
        <f>J174*I174</f>
        <v>1952.15</v>
      </c>
      <c r="L174" s="125">
        <f t="shared" si="28"/>
        <v>23.150000000000091</v>
      </c>
      <c r="M174" s="126">
        <f t="shared" ref="M174:M184" si="30">IF(ISERROR(L174/H174), "", L174/H174)</f>
        <v>1.200103680663561E-2</v>
      </c>
    </row>
    <row r="175" spans="1:13" x14ac:dyDescent="0.25">
      <c r="A175" s="100" t="str">
        <f t="shared" ref="A175:A216" si="31">A174</f>
        <v>GENERAL SERVICE 50 TO 999 KW SERVICE CLASSIFICATION</v>
      </c>
      <c r="C175" s="117"/>
      <c r="D175" s="118" t="s">
        <v>153</v>
      </c>
      <c r="E175" s="119"/>
      <c r="F175" s="127"/>
      <c r="G175" s="121">
        <f>IF($E166&gt;0, $E166, $E165)</f>
        <v>500</v>
      </c>
      <c r="H175" s="122">
        <v>0</v>
      </c>
      <c r="I175" s="128"/>
      <c r="J175" s="124">
        <f>IF($E166&gt;0, $E166, $E165)</f>
        <v>500</v>
      </c>
      <c r="K175" s="122">
        <v>0</v>
      </c>
      <c r="L175" s="125"/>
      <c r="M175" s="126"/>
    </row>
    <row r="176" spans="1:13" x14ac:dyDescent="0.25">
      <c r="A176" s="100" t="str">
        <f t="shared" si="31"/>
        <v>GENERAL SERVICE 50 TO 999 KW SERVICE CLASSIFICATION</v>
      </c>
      <c r="C176" s="117"/>
      <c r="D176" s="118" t="s">
        <v>154</v>
      </c>
      <c r="E176" s="119"/>
      <c r="F176" s="127"/>
      <c r="G176" s="121">
        <f>IF($E166&gt;0, $E166, $E165)</f>
        <v>500</v>
      </c>
      <c r="H176" s="122">
        <v>0</v>
      </c>
      <c r="I176" s="128"/>
      <c r="J176" s="121">
        <f>IF($E166&gt;0, $E166, $E165)</f>
        <v>500</v>
      </c>
      <c r="K176" s="122">
        <v>0</v>
      </c>
      <c r="L176" s="125">
        <f>K176-H176</f>
        <v>0</v>
      </c>
      <c r="M176" s="126" t="str">
        <f>IF(ISERROR(L176/H176), "", L176/H176)</f>
        <v/>
      </c>
    </row>
    <row r="177" spans="1:13" x14ac:dyDescent="0.25">
      <c r="A177" s="100" t="str">
        <f t="shared" si="31"/>
        <v>GENERAL SERVICE 50 TO 999 KW SERVICE CLASSIFICATION</v>
      </c>
      <c r="C177" s="117"/>
      <c r="D177" s="129" t="s">
        <v>155</v>
      </c>
      <c r="E177" s="119"/>
      <c r="F177" s="120">
        <v>0</v>
      </c>
      <c r="G177" s="121">
        <v>1</v>
      </c>
      <c r="H177" s="122">
        <f t="shared" si="29"/>
        <v>0</v>
      </c>
      <c r="I177" s="123">
        <v>0</v>
      </c>
      <c r="J177" s="124">
        <f>G177</f>
        <v>1</v>
      </c>
      <c r="K177" s="122">
        <f t="shared" ref="K177:K184" si="32">J177*I177</f>
        <v>0</v>
      </c>
      <c r="L177" s="125">
        <f t="shared" si="28"/>
        <v>0</v>
      </c>
      <c r="M177" s="126" t="str">
        <f t="shared" si="30"/>
        <v/>
      </c>
    </row>
    <row r="178" spans="1:13" x14ac:dyDescent="0.25">
      <c r="A178" s="100" t="str">
        <f t="shared" si="31"/>
        <v>GENERAL SERVICE 50 TO 999 KW SERVICE CLASSIFICATION</v>
      </c>
      <c r="C178" s="117"/>
      <c r="D178" s="118" t="s">
        <v>156</v>
      </c>
      <c r="E178" s="119"/>
      <c r="F178" s="127">
        <v>0</v>
      </c>
      <c r="G178" s="121">
        <f>IF($E166&gt;0, $E166, $E165)</f>
        <v>500</v>
      </c>
      <c r="H178" s="122">
        <f t="shared" si="29"/>
        <v>0</v>
      </c>
      <c r="I178" s="128">
        <v>0</v>
      </c>
      <c r="J178" s="124">
        <f>IF($E166&gt;0, $E166, $E165)</f>
        <v>500</v>
      </c>
      <c r="K178" s="122">
        <f t="shared" si="32"/>
        <v>0</v>
      </c>
      <c r="L178" s="125">
        <f t="shared" si="28"/>
        <v>0</v>
      </c>
      <c r="M178" s="126" t="str">
        <f t="shared" si="30"/>
        <v/>
      </c>
    </row>
    <row r="179" spans="1:13" x14ac:dyDescent="0.25">
      <c r="A179" s="100" t="str">
        <f t="shared" si="31"/>
        <v>GENERAL SERVICE 50 TO 999 KW SERVICE CLASSIFICATION</v>
      </c>
      <c r="B179" s="130" t="s">
        <v>157</v>
      </c>
      <c r="C179" s="117">
        <f>B5</f>
        <v>3</v>
      </c>
      <c r="D179" s="131" t="s">
        <v>158</v>
      </c>
      <c r="E179" s="132"/>
      <c r="F179" s="133"/>
      <c r="G179" s="134"/>
      <c r="H179" s="135">
        <f>SUM(H173:H178)</f>
        <v>2015.83</v>
      </c>
      <c r="I179" s="136"/>
      <c r="J179" s="137"/>
      <c r="K179" s="135">
        <f>SUM(K173:K178)</f>
        <v>2040.02</v>
      </c>
      <c r="L179" s="138">
        <f t="shared" si="28"/>
        <v>24.190000000000055</v>
      </c>
      <c r="M179" s="139">
        <f>IF((H179)=0,"",(L179/H179))</f>
        <v>1.2000019842943133E-2</v>
      </c>
    </row>
    <row r="180" spans="1:13" x14ac:dyDescent="0.25">
      <c r="A180" s="100" t="str">
        <f t="shared" si="31"/>
        <v>GENERAL SERVICE 50 TO 999 KW SERVICE CLASSIFICATION</v>
      </c>
      <c r="C180" s="117"/>
      <c r="D180" s="140" t="s">
        <v>159</v>
      </c>
      <c r="E180" s="119"/>
      <c r="F180" s="127">
        <f>IF((E165*12&gt;=150000), 0, IF(E164="RPP",(F196*0.65+F197*0.17+F198*0.18),IF(E164="Non-RPP (Retailer)",F199,F200)))</f>
        <v>0</v>
      </c>
      <c r="G180" s="141">
        <f>IF(F180=0, 0, $E165*E167-E165)</f>
        <v>0</v>
      </c>
      <c r="H180" s="122">
        <f>G180*F180</f>
        <v>0</v>
      </c>
      <c r="I180" s="128">
        <f>IF((E165*12&gt;=150000), 0, IF(E164="RPP",(I196*0.65+I197*0.17+I198*0.18),IF(E164="Non-RPP (Retailer)",I199,I200)))</f>
        <v>0</v>
      </c>
      <c r="J180" s="141">
        <f>IF(I180=0, 0, E165*E168-E165)</f>
        <v>0</v>
      </c>
      <c r="K180" s="122">
        <f>J180*I180</f>
        <v>0</v>
      </c>
      <c r="L180" s="125">
        <f>K180-H180</f>
        <v>0</v>
      </c>
      <c r="M180" s="126" t="str">
        <f>IF(ISERROR(L180/H180), "", L180/H180)</f>
        <v/>
      </c>
    </row>
    <row r="181" spans="1:13" ht="25.5" x14ac:dyDescent="0.25">
      <c r="A181" s="100" t="str">
        <f t="shared" si="31"/>
        <v>GENERAL SERVICE 50 TO 999 KW SERVICE CLASSIFICATION</v>
      </c>
      <c r="C181" s="117"/>
      <c r="D181" s="140" t="s">
        <v>160</v>
      </c>
      <c r="E181" s="119"/>
      <c r="F181" s="127">
        <v>-0.70650000000000002</v>
      </c>
      <c r="G181" s="142">
        <f>IF($E166&gt;0, $E166, $E165)</f>
        <v>500</v>
      </c>
      <c r="H181" s="122">
        <f t="shared" si="29"/>
        <v>-353.25</v>
      </c>
      <c r="I181" s="128">
        <v>-1.7801</v>
      </c>
      <c r="J181" s="142">
        <f>IF($E166&gt;0, $E166, $E165)</f>
        <v>500</v>
      </c>
      <c r="K181" s="122">
        <f t="shared" si="32"/>
        <v>-890.05</v>
      </c>
      <c r="L181" s="125">
        <f t="shared" si="28"/>
        <v>-536.79999999999995</v>
      </c>
      <c r="M181" s="126">
        <f t="shared" si="30"/>
        <v>1.5196036801132342</v>
      </c>
    </row>
    <row r="182" spans="1:13" x14ac:dyDescent="0.25">
      <c r="A182" s="100" t="str">
        <f t="shared" si="31"/>
        <v>GENERAL SERVICE 50 TO 999 KW SERVICE CLASSIFICATION</v>
      </c>
      <c r="C182" s="117"/>
      <c r="D182" s="140" t="s">
        <v>161</v>
      </c>
      <c r="E182" s="119"/>
      <c r="F182" s="127">
        <v>-2.76E-2</v>
      </c>
      <c r="G182" s="142">
        <f>IF($E166&gt;0, $E166, $E165)</f>
        <v>500</v>
      </c>
      <c r="H182" s="122">
        <f>G182*F182</f>
        <v>-13.799999999999999</v>
      </c>
      <c r="I182" s="128">
        <v>0</v>
      </c>
      <c r="J182" s="142">
        <f>IF($E166&gt;0, $E166, $E165)</f>
        <v>500</v>
      </c>
      <c r="K182" s="122">
        <f>J182*I182</f>
        <v>0</v>
      </c>
      <c r="L182" s="125">
        <f t="shared" si="28"/>
        <v>13.799999999999999</v>
      </c>
      <c r="M182" s="126">
        <f t="shared" si="30"/>
        <v>-1</v>
      </c>
    </row>
    <row r="183" spans="1:13" x14ac:dyDescent="0.25">
      <c r="A183" s="100" t="str">
        <f t="shared" si="31"/>
        <v>GENERAL SERVICE 50 TO 999 KW SERVICE CLASSIFICATION</v>
      </c>
      <c r="C183" s="117"/>
      <c r="D183" s="140" t="s">
        <v>162</v>
      </c>
      <c r="E183" s="119"/>
      <c r="F183" s="127"/>
      <c r="G183" s="142">
        <f>E165</f>
        <v>328500</v>
      </c>
      <c r="H183" s="122">
        <f>G183*F183</f>
        <v>0</v>
      </c>
      <c r="I183" s="128"/>
      <c r="J183" s="142">
        <f>E165</f>
        <v>328500</v>
      </c>
      <c r="K183" s="122">
        <f t="shared" si="32"/>
        <v>0</v>
      </c>
      <c r="L183" s="125">
        <f t="shared" si="28"/>
        <v>0</v>
      </c>
      <c r="M183" s="126" t="str">
        <f t="shared" si="30"/>
        <v/>
      </c>
    </row>
    <row r="184" spans="1:13" x14ac:dyDescent="0.25">
      <c r="A184" s="100" t="str">
        <f t="shared" si="31"/>
        <v>GENERAL SERVICE 50 TO 999 KW SERVICE CLASSIFICATION</v>
      </c>
      <c r="C184" s="117"/>
      <c r="D184" s="143" t="s">
        <v>163</v>
      </c>
      <c r="E184" s="119"/>
      <c r="F184" s="127">
        <v>1.0483</v>
      </c>
      <c r="G184" s="142">
        <f>IF($E166&gt;0, $E166, $E165)</f>
        <v>500</v>
      </c>
      <c r="H184" s="122">
        <f t="shared" si="29"/>
        <v>524.15</v>
      </c>
      <c r="I184" s="128">
        <v>1.0483</v>
      </c>
      <c r="J184" s="142">
        <f>IF($E166&gt;0, $E166, $E165)</f>
        <v>500</v>
      </c>
      <c r="K184" s="122">
        <f t="shared" si="32"/>
        <v>524.15</v>
      </c>
      <c r="L184" s="125">
        <f t="shared" si="28"/>
        <v>0</v>
      </c>
      <c r="M184" s="126">
        <f t="shared" si="30"/>
        <v>0</v>
      </c>
    </row>
    <row r="185" spans="1:13" ht="25.5" x14ac:dyDescent="0.25">
      <c r="A185" s="100" t="str">
        <f t="shared" si="31"/>
        <v>GENERAL SERVICE 50 TO 999 KW SERVICE CLASSIFICATION</v>
      </c>
      <c r="C185" s="117"/>
      <c r="D185" s="144" t="s">
        <v>164</v>
      </c>
      <c r="E185" s="119"/>
      <c r="F185" s="145">
        <f>IF(OR(ISNUMBER(SEARCH("RESIDENTIAL", E163))=TRUE, ISNUMBER(SEARCH("GENERAL SERVICE LESS THAN 50", E163))=TRUE), SME, 0)</f>
        <v>0</v>
      </c>
      <c r="G185" s="121">
        <v>1</v>
      </c>
      <c r="H185" s="122">
        <f>G185*F185</f>
        <v>0</v>
      </c>
      <c r="I185" s="146">
        <f>IF(OR(ISNUMBER(SEARCH("RESIDENTIAL", E163))=TRUE, ISNUMBER(SEARCH("GENERAL SERVICE LESS THAN 50", E163))=TRUE), SME, 0)</f>
        <v>0</v>
      </c>
      <c r="J185" s="121">
        <v>1</v>
      </c>
      <c r="K185" s="122">
        <f>J185*I185</f>
        <v>0</v>
      </c>
      <c r="L185" s="125">
        <f t="shared" si="28"/>
        <v>0</v>
      </c>
      <c r="M185" s="126" t="str">
        <f>IF(ISERROR(L185/H185), "", L185/H185)</f>
        <v/>
      </c>
    </row>
    <row r="186" spans="1:13" x14ac:dyDescent="0.25">
      <c r="A186" s="100" t="str">
        <f t="shared" si="31"/>
        <v>GENERAL SERVICE 50 TO 999 KW SERVICE CLASSIFICATION</v>
      </c>
      <c r="C186" s="117"/>
      <c r="D186" s="143" t="s">
        <v>165</v>
      </c>
      <c r="E186" s="119"/>
      <c r="F186" s="120">
        <v>0</v>
      </c>
      <c r="G186" s="121">
        <v>1</v>
      </c>
      <c r="H186" s="122">
        <f t="shared" si="29"/>
        <v>0</v>
      </c>
      <c r="I186" s="123">
        <v>0</v>
      </c>
      <c r="J186" s="121">
        <v>1</v>
      </c>
      <c r="K186" s="122">
        <f>J186*I186</f>
        <v>0</v>
      </c>
      <c r="L186" s="125">
        <f>K186-H186</f>
        <v>0</v>
      </c>
      <c r="M186" s="126" t="str">
        <f>IF(ISERROR(L186/H186), "", L186/H186)</f>
        <v/>
      </c>
    </row>
    <row r="187" spans="1:13" x14ac:dyDescent="0.25">
      <c r="A187" s="100" t="str">
        <f t="shared" si="31"/>
        <v>GENERAL SERVICE 50 TO 999 KW SERVICE CLASSIFICATION</v>
      </c>
      <c r="C187" s="117"/>
      <c r="D187" s="143" t="s">
        <v>166</v>
      </c>
      <c r="E187" s="119"/>
      <c r="F187" s="127"/>
      <c r="G187" s="142">
        <f>IF($E166&gt;0, $E166, $E165)</f>
        <v>500</v>
      </c>
      <c r="H187" s="122">
        <f>G187*F187</f>
        <v>0</v>
      </c>
      <c r="I187" s="128">
        <v>0</v>
      </c>
      <c r="J187" s="142">
        <f>IF($E166&gt;0, $E166, $E165)</f>
        <v>500</v>
      </c>
      <c r="K187" s="122">
        <f>J187*I187</f>
        <v>0</v>
      </c>
      <c r="L187" s="125">
        <f t="shared" si="28"/>
        <v>0</v>
      </c>
      <c r="M187" s="126" t="str">
        <f>IF(ISERROR(L187/H187), "", L187/H187)</f>
        <v/>
      </c>
    </row>
    <row r="188" spans="1:13" ht="25.5" x14ac:dyDescent="0.25">
      <c r="A188" s="100" t="str">
        <f t="shared" si="31"/>
        <v>GENERAL SERVICE 50 TO 999 KW SERVICE CLASSIFICATION</v>
      </c>
      <c r="B188" s="105" t="s">
        <v>167</v>
      </c>
      <c r="C188" s="117">
        <f>B5</f>
        <v>3</v>
      </c>
      <c r="D188" s="147" t="s">
        <v>168</v>
      </c>
      <c r="E188" s="148"/>
      <c r="F188" s="149"/>
      <c r="G188" s="150"/>
      <c r="H188" s="151">
        <f>SUM(H179:H187)</f>
        <v>2172.9299999999998</v>
      </c>
      <c r="I188" s="152"/>
      <c r="J188" s="153"/>
      <c r="K188" s="151">
        <f>SUM(K179:K187)</f>
        <v>1674.12</v>
      </c>
      <c r="L188" s="138">
        <f t="shared" si="28"/>
        <v>-498.80999999999995</v>
      </c>
      <c r="M188" s="139">
        <f>IF((H188)=0,"",(L188/H188))</f>
        <v>-0.22955640540652483</v>
      </c>
    </row>
    <row r="189" spans="1:13" x14ac:dyDescent="0.25">
      <c r="A189" s="100" t="str">
        <f t="shared" si="31"/>
        <v>GENERAL SERVICE 50 TO 999 KW SERVICE CLASSIFICATION</v>
      </c>
      <c r="C189" s="117"/>
      <c r="D189" s="154" t="s">
        <v>169</v>
      </c>
      <c r="E189" s="119"/>
      <c r="F189" s="127">
        <v>2.6217000000000001</v>
      </c>
      <c r="G189" s="141">
        <f>IF($E166&gt;0, $E166, $E165*$E167)</f>
        <v>500</v>
      </c>
      <c r="H189" s="122">
        <f>G189*F189</f>
        <v>1310.8500000000001</v>
      </c>
      <c r="I189" s="128">
        <v>2.4868999999999999</v>
      </c>
      <c r="J189" s="141">
        <f>IF($E166&gt;0, $E166, $E165*$E168)</f>
        <v>500</v>
      </c>
      <c r="K189" s="122">
        <f>J189*I189</f>
        <v>1243.45</v>
      </c>
      <c r="L189" s="125">
        <f t="shared" si="28"/>
        <v>-67.400000000000091</v>
      </c>
      <c r="M189" s="126">
        <f>IF(ISERROR(L189/H189), "", L189/H189)</f>
        <v>-5.1417019491169919E-2</v>
      </c>
    </row>
    <row r="190" spans="1:13" ht="25.5" x14ac:dyDescent="0.25">
      <c r="A190" s="100" t="str">
        <f t="shared" si="31"/>
        <v>GENERAL SERVICE 50 TO 999 KW SERVICE CLASSIFICATION</v>
      </c>
      <c r="C190" s="117"/>
      <c r="D190" s="155" t="s">
        <v>170</v>
      </c>
      <c r="E190" s="119"/>
      <c r="F190" s="127">
        <v>2.2145999999999999</v>
      </c>
      <c r="G190" s="141">
        <f>IF($E166&gt;0, $E166, $E165*$E167)</f>
        <v>500</v>
      </c>
      <c r="H190" s="122">
        <f>G190*F190</f>
        <v>1107.3</v>
      </c>
      <c r="I190" s="128">
        <v>2.0933000000000002</v>
      </c>
      <c r="J190" s="141">
        <f>IF($E166&gt;0, $E166, $E165*$E168)</f>
        <v>500</v>
      </c>
      <c r="K190" s="122">
        <f>J190*I190</f>
        <v>1046.6500000000001</v>
      </c>
      <c r="L190" s="125">
        <f t="shared" si="28"/>
        <v>-60.649999999999864</v>
      </c>
      <c r="M190" s="126">
        <f>IF(ISERROR(L190/H190), "", L190/H190)</f>
        <v>-5.4772870947349291E-2</v>
      </c>
    </row>
    <row r="191" spans="1:13" ht="25.5" x14ac:dyDescent="0.25">
      <c r="A191" s="100" t="str">
        <f t="shared" si="31"/>
        <v>GENERAL SERVICE 50 TO 999 KW SERVICE CLASSIFICATION</v>
      </c>
      <c r="B191" s="105" t="s">
        <v>171</v>
      </c>
      <c r="C191" s="117">
        <f>B5</f>
        <v>3</v>
      </c>
      <c r="D191" s="147" t="s">
        <v>172</v>
      </c>
      <c r="E191" s="132"/>
      <c r="F191" s="149"/>
      <c r="G191" s="150"/>
      <c r="H191" s="151">
        <f>SUM(H188:H190)</f>
        <v>4591.08</v>
      </c>
      <c r="I191" s="152"/>
      <c r="J191" s="137"/>
      <c r="K191" s="151">
        <f>SUM(K188:K190)</f>
        <v>3964.22</v>
      </c>
      <c r="L191" s="138">
        <f t="shared" si="28"/>
        <v>-626.86000000000013</v>
      </c>
      <c r="M191" s="139">
        <f>IF((H191)=0,"",(L191/H191))</f>
        <v>-0.13653867935213504</v>
      </c>
    </row>
    <row r="192" spans="1:13" ht="25.5" x14ac:dyDescent="0.25">
      <c r="A192" s="100" t="str">
        <f t="shared" si="31"/>
        <v>GENERAL SERVICE 50 TO 999 KW SERVICE CLASSIFICATION</v>
      </c>
      <c r="C192" s="117"/>
      <c r="D192" s="156" t="s">
        <v>173</v>
      </c>
      <c r="E192" s="119"/>
      <c r="F192" s="127">
        <v>3.6000000000000003E-3</v>
      </c>
      <c r="G192" s="141">
        <f>E165*E167</f>
        <v>346896</v>
      </c>
      <c r="H192" s="157">
        <f t="shared" ref="H192:H198" si="33">G192*F192</f>
        <v>1248.8256000000001</v>
      </c>
      <c r="I192" s="128">
        <v>3.6000000000000003E-3</v>
      </c>
      <c r="J192" s="141">
        <f>E165*E168</f>
        <v>346896</v>
      </c>
      <c r="K192" s="157">
        <f t="shared" ref="K192:K198" si="34">J192*I192</f>
        <v>1248.8256000000001</v>
      </c>
      <c r="L192" s="125">
        <f t="shared" si="28"/>
        <v>0</v>
      </c>
      <c r="M192" s="126">
        <f t="shared" ref="M192:M200" si="35">IF(ISERROR(L192/H192), "", L192/H192)</f>
        <v>0</v>
      </c>
    </row>
    <row r="193" spans="1:13" ht="25.5" x14ac:dyDescent="0.25">
      <c r="A193" s="100" t="str">
        <f t="shared" si="31"/>
        <v>GENERAL SERVICE 50 TO 999 KW SERVICE CLASSIFICATION</v>
      </c>
      <c r="C193" s="117"/>
      <c r="D193" s="156" t="s">
        <v>174</v>
      </c>
      <c r="E193" s="119"/>
      <c r="F193" s="127">
        <f>'[1]17. Regulatory Charges'!$D$16</f>
        <v>2.9999999999999997E-4</v>
      </c>
      <c r="G193" s="141">
        <f>E165*E167</f>
        <v>346896</v>
      </c>
      <c r="H193" s="157">
        <f t="shared" si="33"/>
        <v>104.0688</v>
      </c>
      <c r="I193" s="128">
        <v>2.9999999999999997E-4</v>
      </c>
      <c r="J193" s="141">
        <f>E165*E168</f>
        <v>346896</v>
      </c>
      <c r="K193" s="157">
        <f t="shared" si="34"/>
        <v>104.0688</v>
      </c>
      <c r="L193" s="125">
        <f t="shared" si="28"/>
        <v>0</v>
      </c>
      <c r="M193" s="126">
        <f t="shared" si="35"/>
        <v>0</v>
      </c>
    </row>
    <row r="194" spans="1:13" x14ac:dyDescent="0.25">
      <c r="A194" s="100" t="str">
        <f t="shared" si="31"/>
        <v>GENERAL SERVICE 50 TO 999 KW SERVICE CLASSIFICATION</v>
      </c>
      <c r="C194" s="117"/>
      <c r="D194" s="158" t="s">
        <v>175</v>
      </c>
      <c r="E194" s="119"/>
      <c r="F194" s="145">
        <v>0.25</v>
      </c>
      <c r="G194" s="121">
        <v>1</v>
      </c>
      <c r="H194" s="157">
        <f t="shared" si="33"/>
        <v>0.25</v>
      </c>
      <c r="I194" s="146">
        <f>'[1]17. Regulatory Charges'!$D$17</f>
        <v>0.25</v>
      </c>
      <c r="J194" s="124">
        <v>1</v>
      </c>
      <c r="K194" s="157">
        <f t="shared" si="34"/>
        <v>0.25</v>
      </c>
      <c r="L194" s="125">
        <f t="shared" si="28"/>
        <v>0</v>
      </c>
      <c r="M194" s="126">
        <f t="shared" si="35"/>
        <v>0</v>
      </c>
    </row>
    <row r="195" spans="1:13" ht="25.5" x14ac:dyDescent="0.25">
      <c r="A195" s="100" t="str">
        <f t="shared" si="31"/>
        <v>GENERAL SERVICE 50 TO 999 KW SERVICE CLASSIFICATION</v>
      </c>
      <c r="C195" s="117"/>
      <c r="D195" s="156" t="s">
        <v>176</v>
      </c>
      <c r="E195" s="119"/>
      <c r="F195" s="127"/>
      <c r="G195" s="141"/>
      <c r="H195" s="157"/>
      <c r="I195" s="128"/>
      <c r="J195" s="141"/>
      <c r="K195" s="157"/>
      <c r="L195" s="125"/>
      <c r="M195" s="126"/>
    </row>
    <row r="196" spans="1:13" hidden="1" x14ac:dyDescent="0.25">
      <c r="A196" s="100" t="str">
        <f t="shared" si="31"/>
        <v>GENERAL SERVICE 50 TO 999 KW SERVICE CLASSIFICATION</v>
      </c>
      <c r="B196" s="105" t="s">
        <v>117</v>
      </c>
      <c r="C196" s="117"/>
      <c r="D196" s="159" t="s">
        <v>177</v>
      </c>
      <c r="E196" s="119"/>
      <c r="F196" s="160">
        <f>OffPeak</f>
        <v>6.5000000000000002E-2</v>
      </c>
      <c r="G196" s="161">
        <f>IF(AND(E165*12&gt;=150000),0.65*E165*E167,0.65*E165)</f>
        <v>225482.40000000002</v>
      </c>
      <c r="H196" s="157">
        <f t="shared" si="33"/>
        <v>14656.356000000002</v>
      </c>
      <c r="I196" s="162">
        <f>OffPeak</f>
        <v>6.5000000000000002E-2</v>
      </c>
      <c r="J196" s="161">
        <f>IF(AND(E165*12&gt;=150000),0.65*E165*E168,0.65*E165)</f>
        <v>225482.40000000002</v>
      </c>
      <c r="K196" s="157">
        <f t="shared" si="34"/>
        <v>14656.356000000002</v>
      </c>
      <c r="L196" s="125">
        <f>K196-H196</f>
        <v>0</v>
      </c>
      <c r="M196" s="126">
        <f t="shared" si="35"/>
        <v>0</v>
      </c>
    </row>
    <row r="197" spans="1:13" hidden="1" x14ac:dyDescent="0.25">
      <c r="A197" s="100" t="str">
        <f t="shared" si="31"/>
        <v>GENERAL SERVICE 50 TO 999 KW SERVICE CLASSIFICATION</v>
      </c>
      <c r="B197" s="105" t="s">
        <v>117</v>
      </c>
      <c r="C197" s="117"/>
      <c r="D197" s="159" t="s">
        <v>178</v>
      </c>
      <c r="E197" s="119"/>
      <c r="F197" s="160">
        <f>MidPeak</f>
        <v>9.4E-2</v>
      </c>
      <c r="G197" s="161">
        <f>IF(AND(E165*12&gt;=150000),0.17*E165*E167,0.17*E165)</f>
        <v>58972.320000000007</v>
      </c>
      <c r="H197" s="157">
        <f t="shared" si="33"/>
        <v>5543.3980800000008</v>
      </c>
      <c r="I197" s="162">
        <f>MidPeak</f>
        <v>9.4E-2</v>
      </c>
      <c r="J197" s="161">
        <f>IF(AND(E165*12&gt;=150000),0.17*E165*E168,0.17*E165)</f>
        <v>58972.320000000007</v>
      </c>
      <c r="K197" s="157">
        <f t="shared" si="34"/>
        <v>5543.3980800000008</v>
      </c>
      <c r="L197" s="125">
        <f>K197-H197</f>
        <v>0</v>
      </c>
      <c r="M197" s="126">
        <f t="shared" si="35"/>
        <v>0</v>
      </c>
    </row>
    <row r="198" spans="1:13" hidden="1" x14ac:dyDescent="0.25">
      <c r="A198" s="100" t="str">
        <f t="shared" si="31"/>
        <v>GENERAL SERVICE 50 TO 999 KW SERVICE CLASSIFICATION</v>
      </c>
      <c r="B198" s="105" t="s">
        <v>117</v>
      </c>
      <c r="C198" s="117"/>
      <c r="D198" s="105" t="s">
        <v>179</v>
      </c>
      <c r="E198" s="119"/>
      <c r="F198" s="160">
        <f>OnPeak</f>
        <v>0.13200000000000001</v>
      </c>
      <c r="G198" s="161">
        <f>IF(AND(E165*12&gt;=150000),0.18*E165*E167,0.18*E165)</f>
        <v>62441.280000000006</v>
      </c>
      <c r="H198" s="157">
        <f t="shared" si="33"/>
        <v>8242.2489600000008</v>
      </c>
      <c r="I198" s="162">
        <f>OnPeak</f>
        <v>0.13200000000000001</v>
      </c>
      <c r="J198" s="161">
        <f>IF(AND(E165*12&gt;=150000),0.18*E165*E168,0.18*E165)</f>
        <v>62441.280000000006</v>
      </c>
      <c r="K198" s="157">
        <f t="shared" si="34"/>
        <v>8242.2489600000008</v>
      </c>
      <c r="L198" s="125">
        <f>K198-H198</f>
        <v>0</v>
      </c>
      <c r="M198" s="126">
        <f t="shared" si="35"/>
        <v>0</v>
      </c>
    </row>
    <row r="199" spans="1:13" hidden="1" x14ac:dyDescent="0.25">
      <c r="A199" s="100" t="str">
        <f t="shared" si="31"/>
        <v>GENERAL SERVICE 50 TO 999 KW SERVICE CLASSIFICATION</v>
      </c>
      <c r="B199" s="100" t="s">
        <v>180</v>
      </c>
      <c r="C199" s="117"/>
      <c r="D199" s="159" t="s">
        <v>181</v>
      </c>
      <c r="E199" s="119"/>
      <c r="F199" s="163">
        <v>0.1101</v>
      </c>
      <c r="G199" s="161">
        <f>IF(AND(E165*12&gt;=150000),E165*E167,E165)</f>
        <v>346896</v>
      </c>
      <c r="H199" s="157">
        <f>G199*F199</f>
        <v>38193.249600000003</v>
      </c>
      <c r="I199" s="164">
        <f>F199</f>
        <v>0.1101</v>
      </c>
      <c r="J199" s="161">
        <f>IF(AND(E165*12&gt;=150000),E165*E168,E165)</f>
        <v>346896</v>
      </c>
      <c r="K199" s="157">
        <f>J199*I199</f>
        <v>38193.249600000003</v>
      </c>
      <c r="L199" s="125">
        <f>K199-H199</f>
        <v>0</v>
      </c>
      <c r="M199" s="126">
        <f t="shared" si="35"/>
        <v>0</v>
      </c>
    </row>
    <row r="200" spans="1:13" ht="15.75" thickBot="1" x14ac:dyDescent="0.3">
      <c r="A200" s="100" t="str">
        <f t="shared" si="31"/>
        <v>GENERAL SERVICE 50 TO 999 KW SERVICE CLASSIFICATION</v>
      </c>
      <c r="B200" s="100" t="s">
        <v>121</v>
      </c>
      <c r="C200" s="117"/>
      <c r="D200" s="159" t="s">
        <v>182</v>
      </c>
      <c r="E200" s="119"/>
      <c r="F200" s="163">
        <v>0.1101</v>
      </c>
      <c r="G200" s="161">
        <f>IF(AND(E165*12&gt;=150000),E165*E167,E165)</f>
        <v>346896</v>
      </c>
      <c r="H200" s="157">
        <f>G200*F200</f>
        <v>38193.249600000003</v>
      </c>
      <c r="I200" s="164">
        <f>F200</f>
        <v>0.1101</v>
      </c>
      <c r="J200" s="161">
        <f>IF(AND(E165*12&gt;=150000),E165*E168,E165)</f>
        <v>346896</v>
      </c>
      <c r="K200" s="157">
        <f>J200*I200</f>
        <v>38193.249600000003</v>
      </c>
      <c r="L200" s="125">
        <f>K200-H200</f>
        <v>0</v>
      </c>
      <c r="M200" s="126">
        <f t="shared" si="35"/>
        <v>0</v>
      </c>
    </row>
    <row r="201" spans="1:13" ht="15.75" thickBot="1" x14ac:dyDescent="0.3">
      <c r="A201" s="100" t="str">
        <f t="shared" si="31"/>
        <v>GENERAL SERVICE 50 TO 999 KW SERVICE CLASSIFICATION</v>
      </c>
      <c r="B201" s="105"/>
      <c r="C201" s="117"/>
      <c r="D201" s="165"/>
      <c r="E201" s="166"/>
      <c r="F201" s="167"/>
      <c r="G201" s="168"/>
      <c r="H201" s="169"/>
      <c r="I201" s="167"/>
      <c r="J201" s="170"/>
      <c r="K201" s="169"/>
      <c r="L201" s="171"/>
      <c r="M201" s="172"/>
    </row>
    <row r="202" spans="1:13" hidden="1" x14ac:dyDescent="0.25">
      <c r="A202" s="100" t="str">
        <f t="shared" si="31"/>
        <v>GENERAL SERVICE 50 TO 999 KW SERVICE CLASSIFICATION</v>
      </c>
      <c r="B202" s="105" t="s">
        <v>117</v>
      </c>
      <c r="C202" s="117"/>
      <c r="D202" s="173" t="s">
        <v>183</v>
      </c>
      <c r="E202" s="158"/>
      <c r="F202" s="174"/>
      <c r="G202" s="175"/>
      <c r="H202" s="176">
        <f>SUM(H192:H198,H191)</f>
        <v>34386.227440000002</v>
      </c>
      <c r="I202" s="177"/>
      <c r="J202" s="177"/>
      <c r="K202" s="176">
        <f>SUM(K192:K198,K191)</f>
        <v>33759.367440000002</v>
      </c>
      <c r="L202" s="178">
        <f>K202-H202</f>
        <v>-626.86000000000058</v>
      </c>
      <c r="M202" s="179">
        <f>IF((H202)=0,"",(L202/H202))</f>
        <v>-1.8229973063890157E-2</v>
      </c>
    </row>
    <row r="203" spans="1:13" hidden="1" x14ac:dyDescent="0.25">
      <c r="A203" s="100" t="str">
        <f t="shared" si="31"/>
        <v>GENERAL SERVICE 50 TO 999 KW SERVICE CLASSIFICATION</v>
      </c>
      <c r="B203" s="105" t="s">
        <v>117</v>
      </c>
      <c r="C203" s="117"/>
      <c r="D203" s="180" t="s">
        <v>184</v>
      </c>
      <c r="E203" s="158"/>
      <c r="F203" s="174">
        <v>0.13</v>
      </c>
      <c r="G203" s="181"/>
      <c r="H203" s="182">
        <f>H202*F203</f>
        <v>4470.2095672000005</v>
      </c>
      <c r="I203" s="183">
        <v>0.13</v>
      </c>
      <c r="J203" s="121"/>
      <c r="K203" s="182">
        <f>K202*I203</f>
        <v>4388.7177672000007</v>
      </c>
      <c r="L203" s="184">
        <f>K203-H203</f>
        <v>-81.491799999999785</v>
      </c>
      <c r="M203" s="185">
        <f>IF((H203)=0,"",(L203/H203))</f>
        <v>-1.8229973063890091E-2</v>
      </c>
    </row>
    <row r="204" spans="1:13" hidden="1" x14ac:dyDescent="0.25">
      <c r="A204" s="100" t="str">
        <f t="shared" si="31"/>
        <v>GENERAL SERVICE 50 TO 999 KW SERVICE CLASSIFICATION</v>
      </c>
      <c r="B204" s="105" t="s">
        <v>117</v>
      </c>
      <c r="C204" s="117"/>
      <c r="D204" s="180" t="s">
        <v>185</v>
      </c>
      <c r="E204" s="158"/>
      <c r="F204" s="174">
        <v>0.08</v>
      </c>
      <c r="G204" s="181"/>
      <c r="H204" s="182">
        <v>0</v>
      </c>
      <c r="I204" s="174">
        <v>0.08</v>
      </c>
      <c r="J204" s="121"/>
      <c r="K204" s="182">
        <v>0</v>
      </c>
      <c r="L204" s="184">
        <f>K204-H204</f>
        <v>0</v>
      </c>
      <c r="M204" s="185"/>
    </row>
    <row r="205" spans="1:13" hidden="1" x14ac:dyDescent="0.25">
      <c r="A205" s="100" t="str">
        <f t="shared" si="31"/>
        <v>GENERAL SERVICE 50 TO 999 KW SERVICE CLASSIFICATION</v>
      </c>
      <c r="B205" s="105" t="s">
        <v>186</v>
      </c>
      <c r="C205" s="117"/>
      <c r="D205" s="301" t="s">
        <v>187</v>
      </c>
      <c r="E205" s="301"/>
      <c r="F205" s="186"/>
      <c r="G205" s="187"/>
      <c r="H205" s="188">
        <f>H202+H203+H204</f>
        <v>38856.437007200002</v>
      </c>
      <c r="I205" s="189"/>
      <c r="J205" s="189"/>
      <c r="K205" s="190">
        <f>K202+K203+K204</f>
        <v>38148.085207200005</v>
      </c>
      <c r="L205" s="191">
        <f>K205-H205</f>
        <v>-708.35179999999673</v>
      </c>
      <c r="M205" s="192">
        <f>IF((H205)=0,"",(L205/H205))</f>
        <v>-1.8229973063890056E-2</v>
      </c>
    </row>
    <row r="206" spans="1:13" ht="15.75" hidden="1" thickBot="1" x14ac:dyDescent="0.3">
      <c r="A206" s="100" t="str">
        <f t="shared" si="31"/>
        <v>GENERAL SERVICE 50 TO 999 KW SERVICE CLASSIFICATION</v>
      </c>
      <c r="B206" s="100" t="s">
        <v>117</v>
      </c>
      <c r="C206" s="117"/>
      <c r="D206" s="165"/>
      <c r="E206" s="166"/>
      <c r="F206" s="167"/>
      <c r="G206" s="168"/>
      <c r="H206" s="169"/>
      <c r="I206" s="167"/>
      <c r="J206" s="170"/>
      <c r="K206" s="169"/>
      <c r="L206" s="171"/>
      <c r="M206" s="172"/>
    </row>
    <row r="207" spans="1:13" hidden="1" x14ac:dyDescent="0.25">
      <c r="A207" s="100" t="str">
        <f t="shared" si="31"/>
        <v>GENERAL SERVICE 50 TO 999 KW SERVICE CLASSIFICATION</v>
      </c>
      <c r="B207" s="100" t="s">
        <v>180</v>
      </c>
      <c r="C207" s="117"/>
      <c r="D207" s="173" t="s">
        <v>188</v>
      </c>
      <c r="E207" s="158"/>
      <c r="F207" s="174"/>
      <c r="G207" s="175"/>
      <c r="H207" s="176">
        <f>SUM(H199,H192:H195,H191)</f>
        <v>44137.474000000009</v>
      </c>
      <c r="I207" s="177"/>
      <c r="J207" s="177"/>
      <c r="K207" s="176">
        <f>SUM(K199,K192:K195,K191)</f>
        <v>43510.614000000009</v>
      </c>
      <c r="L207" s="178">
        <f>K207-H207</f>
        <v>-626.86000000000058</v>
      </c>
      <c r="M207" s="179">
        <f>IF((H207)=0,"",(L207/H207))</f>
        <v>-1.4202443936868713E-2</v>
      </c>
    </row>
    <row r="208" spans="1:13" hidden="1" x14ac:dyDescent="0.25">
      <c r="A208" s="100" t="str">
        <f t="shared" si="31"/>
        <v>GENERAL SERVICE 50 TO 999 KW SERVICE CLASSIFICATION</v>
      </c>
      <c r="B208" s="100" t="s">
        <v>180</v>
      </c>
      <c r="C208" s="117"/>
      <c r="D208" s="180" t="s">
        <v>184</v>
      </c>
      <c r="E208" s="158"/>
      <c r="F208" s="174">
        <v>0.13</v>
      </c>
      <c r="G208" s="175"/>
      <c r="H208" s="182">
        <f>H207*F208</f>
        <v>5737.8716200000017</v>
      </c>
      <c r="I208" s="174">
        <v>0.13</v>
      </c>
      <c r="J208" s="183"/>
      <c r="K208" s="182">
        <f>K207*I208</f>
        <v>5656.379820000001</v>
      </c>
      <c r="L208" s="184">
        <f>K208-H208</f>
        <v>-81.491800000000694</v>
      </c>
      <c r="M208" s="185">
        <f>IF((H208)=0,"",(L208/H208))</f>
        <v>-1.4202443936868819E-2</v>
      </c>
    </row>
    <row r="209" spans="1:13" hidden="1" x14ac:dyDescent="0.25">
      <c r="A209" s="100" t="str">
        <f t="shared" si="31"/>
        <v>GENERAL SERVICE 50 TO 999 KW SERVICE CLASSIFICATION</v>
      </c>
      <c r="B209" s="100" t="s">
        <v>180</v>
      </c>
      <c r="C209" s="117"/>
      <c r="D209" s="180" t="s">
        <v>185</v>
      </c>
      <c r="E209" s="158"/>
      <c r="F209" s="174">
        <v>0.08</v>
      </c>
      <c r="G209" s="175"/>
      <c r="H209" s="182">
        <v>0</v>
      </c>
      <c r="I209" s="174">
        <v>0.08</v>
      </c>
      <c r="J209" s="183"/>
      <c r="K209" s="182">
        <v>0</v>
      </c>
      <c r="L209" s="184"/>
      <c r="M209" s="185"/>
    </row>
    <row r="210" spans="1:13" hidden="1" x14ac:dyDescent="0.25">
      <c r="A210" s="100" t="str">
        <f t="shared" si="31"/>
        <v>GENERAL SERVICE 50 TO 999 KW SERVICE CLASSIFICATION</v>
      </c>
      <c r="B210" s="100" t="s">
        <v>189</v>
      </c>
      <c r="C210" s="117"/>
      <c r="D210" s="301" t="s">
        <v>188</v>
      </c>
      <c r="E210" s="301"/>
      <c r="F210" s="193"/>
      <c r="G210" s="194"/>
      <c r="H210" s="188">
        <f>SUM(H207,H208)</f>
        <v>49875.345620000007</v>
      </c>
      <c r="I210" s="195"/>
      <c r="J210" s="195"/>
      <c r="K210" s="188">
        <f>SUM(K207,K208)</f>
        <v>49166.993820000011</v>
      </c>
      <c r="L210" s="196">
        <f>K210-H210</f>
        <v>-708.35179999999673</v>
      </c>
      <c r="M210" s="197">
        <f>IF((H210)=0,"",(L210/H210))</f>
        <v>-1.4202443936868635E-2</v>
      </c>
    </row>
    <row r="211" spans="1:13" ht="15.75" hidden="1" thickBot="1" x14ac:dyDescent="0.3">
      <c r="A211" s="100" t="str">
        <f t="shared" si="31"/>
        <v>GENERAL SERVICE 50 TO 999 KW SERVICE CLASSIFICATION</v>
      </c>
      <c r="B211" s="100" t="s">
        <v>180</v>
      </c>
      <c r="C211" s="117"/>
      <c r="D211" s="165"/>
      <c r="E211" s="166"/>
      <c r="F211" s="198"/>
      <c r="G211" s="199"/>
      <c r="H211" s="200"/>
      <c r="I211" s="198"/>
      <c r="J211" s="168"/>
      <c r="K211" s="200"/>
      <c r="L211" s="201"/>
      <c r="M211" s="172"/>
    </row>
    <row r="212" spans="1:13" x14ac:dyDescent="0.25">
      <c r="A212" s="100" t="str">
        <f t="shared" si="31"/>
        <v>GENERAL SERVICE 50 TO 999 KW SERVICE CLASSIFICATION</v>
      </c>
      <c r="B212" s="100" t="s">
        <v>121</v>
      </c>
      <c r="C212" s="117"/>
      <c r="D212" s="173" t="s">
        <v>190</v>
      </c>
      <c r="E212" s="158"/>
      <c r="F212" s="174"/>
      <c r="G212" s="175"/>
      <c r="H212" s="176">
        <f>SUM(H200,H192:H195,H191)</f>
        <v>44137.474000000009</v>
      </c>
      <c r="I212" s="177"/>
      <c r="J212" s="177"/>
      <c r="K212" s="176">
        <f>SUM(K200,K192:K195,K191)</f>
        <v>43510.614000000009</v>
      </c>
      <c r="L212" s="178">
        <f>K212-H212</f>
        <v>-626.86000000000058</v>
      </c>
      <c r="M212" s="179">
        <f>IF((H212)=0,"",(L212/H212))</f>
        <v>-1.4202443936868713E-2</v>
      </c>
    </row>
    <row r="213" spans="1:13" x14ac:dyDescent="0.25">
      <c r="A213" s="100" t="str">
        <f t="shared" si="31"/>
        <v>GENERAL SERVICE 50 TO 999 KW SERVICE CLASSIFICATION</v>
      </c>
      <c r="B213" s="100" t="s">
        <v>121</v>
      </c>
      <c r="C213" s="117"/>
      <c r="D213" s="180" t="s">
        <v>184</v>
      </c>
      <c r="E213" s="158"/>
      <c r="F213" s="174">
        <v>0.13</v>
      </c>
      <c r="G213" s="175"/>
      <c r="H213" s="182">
        <f>H212*F213</f>
        <v>5737.8716200000017</v>
      </c>
      <c r="I213" s="174">
        <v>0.13</v>
      </c>
      <c r="J213" s="183"/>
      <c r="K213" s="182">
        <f>K212*I213</f>
        <v>5656.379820000001</v>
      </c>
      <c r="L213" s="184">
        <f>K213-H213</f>
        <v>-81.491800000000694</v>
      </c>
      <c r="M213" s="185">
        <f>IF((H213)=0,"",(L213/H213))</f>
        <v>-1.4202443936868819E-2</v>
      </c>
    </row>
    <row r="214" spans="1:13" x14ac:dyDescent="0.25">
      <c r="A214" s="100" t="str">
        <f t="shared" si="31"/>
        <v>GENERAL SERVICE 50 TO 999 KW SERVICE CLASSIFICATION</v>
      </c>
      <c r="B214" s="100" t="s">
        <v>121</v>
      </c>
      <c r="C214" s="117"/>
      <c r="D214" s="180" t="s">
        <v>185</v>
      </c>
      <c r="E214" s="158"/>
      <c r="F214" s="174">
        <v>0.08</v>
      </c>
      <c r="G214" s="175"/>
      <c r="H214" s="182">
        <v>0</v>
      </c>
      <c r="I214" s="174">
        <v>0.08</v>
      </c>
      <c r="J214" s="183"/>
      <c r="K214" s="182">
        <v>0</v>
      </c>
      <c r="L214" s="184"/>
      <c r="M214" s="185"/>
    </row>
    <row r="215" spans="1:13" ht="15.75" thickBot="1" x14ac:dyDescent="0.3">
      <c r="A215" s="100" t="str">
        <f t="shared" si="31"/>
        <v>GENERAL SERVICE 50 TO 999 KW SERVICE CLASSIFICATION</v>
      </c>
      <c r="B215" s="100" t="s">
        <v>191</v>
      </c>
      <c r="C215" s="117">
        <f>B5</f>
        <v>3</v>
      </c>
      <c r="D215" s="301" t="s">
        <v>190</v>
      </c>
      <c r="E215" s="301"/>
      <c r="F215" s="193"/>
      <c r="G215" s="194"/>
      <c r="H215" s="188">
        <f>SUM(H212,H213)</f>
        <v>49875.345620000007</v>
      </c>
      <c r="I215" s="195"/>
      <c r="J215" s="195"/>
      <c r="K215" s="188">
        <f>SUM(K212,K213)</f>
        <v>49166.993820000011</v>
      </c>
      <c r="L215" s="196">
        <f>K215-H215</f>
        <v>-708.35179999999673</v>
      </c>
      <c r="M215" s="197">
        <f>IF((H215)=0,"",(L215/H215))</f>
        <v>-1.4202443936868635E-2</v>
      </c>
    </row>
    <row r="216" spans="1:13" ht="15.75" thickBot="1" x14ac:dyDescent="0.3">
      <c r="A216" s="100" t="str">
        <f t="shared" si="31"/>
        <v>GENERAL SERVICE 50 TO 999 KW SERVICE CLASSIFICATION</v>
      </c>
      <c r="B216" s="100" t="s">
        <v>121</v>
      </c>
      <c r="C216" s="117"/>
      <c r="D216" s="165"/>
      <c r="E216" s="166"/>
      <c r="F216" s="202"/>
      <c r="G216" s="203"/>
      <c r="H216" s="204"/>
      <c r="I216" s="202"/>
      <c r="J216" s="205"/>
      <c r="K216" s="204"/>
      <c r="L216" s="206"/>
      <c r="M216" s="207"/>
    </row>
    <row r="219" spans="1:13" x14ac:dyDescent="0.25">
      <c r="C219" s="100"/>
      <c r="D219" s="101" t="s">
        <v>134</v>
      </c>
      <c r="E219" s="302" t="str">
        <f>D6</f>
        <v>GENERAL SERVICE 1,000 TO 4,999 KW SERVICE CLASSIFICATION</v>
      </c>
      <c r="F219" s="302"/>
      <c r="G219" s="302"/>
      <c r="H219" s="302"/>
      <c r="I219" s="302"/>
      <c r="J219" s="302"/>
      <c r="K219" s="100" t="str">
        <f>IF(N6="DEMAND - INTERVAL","RTSR - INTERVAL METERED","")</f>
        <v/>
      </c>
    </row>
    <row r="220" spans="1:13" x14ac:dyDescent="0.25">
      <c r="C220" s="100"/>
      <c r="D220" s="101" t="s">
        <v>135</v>
      </c>
      <c r="E220" s="303" t="str">
        <f>H6</f>
        <v>Non-RPP (Other)</v>
      </c>
      <c r="F220" s="303"/>
      <c r="G220" s="303"/>
      <c r="H220" s="102"/>
      <c r="I220" s="102"/>
    </row>
    <row r="221" spans="1:13" ht="15.75" x14ac:dyDescent="0.25">
      <c r="C221" s="100"/>
      <c r="D221" s="101" t="s">
        <v>136</v>
      </c>
      <c r="E221" s="103">
        <f>K6</f>
        <v>1600000</v>
      </c>
      <c r="F221" s="104" t="s">
        <v>137</v>
      </c>
      <c r="G221" s="105"/>
      <c r="J221" s="106"/>
      <c r="K221" s="106"/>
      <c r="L221" s="106"/>
      <c r="M221" s="106"/>
    </row>
    <row r="222" spans="1:13" ht="15.75" x14ac:dyDescent="0.25">
      <c r="C222" s="100"/>
      <c r="D222" s="101" t="s">
        <v>138</v>
      </c>
      <c r="E222" s="103">
        <f>L6</f>
        <v>2500</v>
      </c>
      <c r="F222" s="107" t="s">
        <v>139</v>
      </c>
      <c r="G222" s="108"/>
      <c r="H222" s="109"/>
      <c r="I222" s="109"/>
      <c r="J222" s="109"/>
    </row>
    <row r="223" spans="1:13" x14ac:dyDescent="0.25">
      <c r="C223" s="100"/>
      <c r="D223" s="101" t="s">
        <v>140</v>
      </c>
      <c r="E223" s="110">
        <f>I6</f>
        <v>1.056</v>
      </c>
    </row>
    <row r="224" spans="1:13" x14ac:dyDescent="0.25">
      <c r="C224" s="100"/>
      <c r="D224" s="101" t="s">
        <v>141</v>
      </c>
      <c r="E224" s="110">
        <f>J6</f>
        <v>1.056</v>
      </c>
    </row>
    <row r="225" spans="1:13" x14ac:dyDescent="0.25">
      <c r="C225" s="100"/>
      <c r="D225" s="105"/>
    </row>
    <row r="226" spans="1:13" x14ac:dyDescent="0.25">
      <c r="C226" s="100"/>
      <c r="D226" s="105"/>
      <c r="E226" s="111"/>
      <c r="F226" s="304" t="s">
        <v>142</v>
      </c>
      <c r="G226" s="305"/>
      <c r="H226" s="306"/>
      <c r="I226" s="304" t="s">
        <v>143</v>
      </c>
      <c r="J226" s="305"/>
      <c r="K226" s="306"/>
      <c r="L226" s="304" t="s">
        <v>144</v>
      </c>
      <c r="M226" s="306"/>
    </row>
    <row r="227" spans="1:13" x14ac:dyDescent="0.25">
      <c r="C227" s="100"/>
      <c r="D227" s="105"/>
      <c r="E227" s="295"/>
      <c r="F227" s="112" t="s">
        <v>145</v>
      </c>
      <c r="G227" s="112" t="s">
        <v>146</v>
      </c>
      <c r="H227" s="113" t="s">
        <v>147</v>
      </c>
      <c r="I227" s="112" t="s">
        <v>145</v>
      </c>
      <c r="J227" s="114" t="s">
        <v>146</v>
      </c>
      <c r="K227" s="113" t="s">
        <v>147</v>
      </c>
      <c r="L227" s="297" t="s">
        <v>148</v>
      </c>
      <c r="M227" s="299" t="s">
        <v>149</v>
      </c>
    </row>
    <row r="228" spans="1:13" x14ac:dyDescent="0.25">
      <c r="C228" s="100"/>
      <c r="D228" s="105"/>
      <c r="E228" s="296"/>
      <c r="F228" s="115" t="s">
        <v>150</v>
      </c>
      <c r="G228" s="115"/>
      <c r="H228" s="116" t="s">
        <v>150</v>
      </c>
      <c r="I228" s="115" t="s">
        <v>150</v>
      </c>
      <c r="J228" s="116"/>
      <c r="K228" s="116" t="s">
        <v>150</v>
      </c>
      <c r="L228" s="298"/>
      <c r="M228" s="300"/>
    </row>
    <row r="229" spans="1:13" x14ac:dyDescent="0.25">
      <c r="A229" s="100" t="str">
        <f>$E219</f>
        <v>GENERAL SERVICE 1,000 TO 4,999 KW SERVICE CLASSIFICATION</v>
      </c>
      <c r="C229" s="117"/>
      <c r="D229" s="118" t="s">
        <v>151</v>
      </c>
      <c r="E229" s="119"/>
      <c r="F229" s="120">
        <v>185.55</v>
      </c>
      <c r="G229" s="121">
        <v>1</v>
      </c>
      <c r="H229" s="122">
        <f>G229*F229</f>
        <v>185.55</v>
      </c>
      <c r="I229" s="123">
        <v>187.78</v>
      </c>
      <c r="J229" s="124">
        <f>G229</f>
        <v>1</v>
      </c>
      <c r="K229" s="122">
        <f>J229*I229</f>
        <v>187.78</v>
      </c>
      <c r="L229" s="125">
        <f t="shared" ref="L229:L250" si="36">K229-H229</f>
        <v>2.2299999999999898</v>
      </c>
      <c r="M229" s="126">
        <f>IF(ISERROR(L229/H229), "", L229/H229)</f>
        <v>1.2018323901913175E-2</v>
      </c>
    </row>
    <row r="230" spans="1:13" x14ac:dyDescent="0.25">
      <c r="A230" s="100" t="str">
        <f>A229</f>
        <v>GENERAL SERVICE 1,000 TO 4,999 KW SERVICE CLASSIFICATION</v>
      </c>
      <c r="C230" s="117"/>
      <c r="D230" s="118" t="s">
        <v>152</v>
      </c>
      <c r="E230" s="119"/>
      <c r="F230" s="127">
        <v>3.4704999999999999</v>
      </c>
      <c r="G230" s="121">
        <f>IF($E222&gt;0, $E222, $E221)</f>
        <v>2500</v>
      </c>
      <c r="H230" s="122">
        <f t="shared" ref="H230:H242" si="37">G230*F230</f>
        <v>8676.25</v>
      </c>
      <c r="I230" s="128">
        <v>3.5121000000000002</v>
      </c>
      <c r="J230" s="124">
        <f>IF($E222&gt;0, $E222, $E221)</f>
        <v>2500</v>
      </c>
      <c r="K230" s="122">
        <f>J230*I230</f>
        <v>8780.25</v>
      </c>
      <c r="L230" s="125">
        <f t="shared" si="36"/>
        <v>104</v>
      </c>
      <c r="M230" s="126">
        <f t="shared" ref="M230:M240" si="38">IF(ISERROR(L230/H230), "", L230/H230)</f>
        <v>1.1986745425731162E-2</v>
      </c>
    </row>
    <row r="231" spans="1:13" x14ac:dyDescent="0.25">
      <c r="A231" s="100" t="str">
        <f t="shared" ref="A231:A272" si="39">A230</f>
        <v>GENERAL SERVICE 1,000 TO 4,999 KW SERVICE CLASSIFICATION</v>
      </c>
      <c r="C231" s="117"/>
      <c r="D231" s="118" t="s">
        <v>153</v>
      </c>
      <c r="E231" s="119"/>
      <c r="F231" s="127"/>
      <c r="G231" s="121">
        <f>IF($E222&gt;0, $E222, $E221)</f>
        <v>2500</v>
      </c>
      <c r="H231" s="122">
        <v>0</v>
      </c>
      <c r="I231" s="128"/>
      <c r="J231" s="124">
        <f>IF($E222&gt;0, $E222, $E221)</f>
        <v>2500</v>
      </c>
      <c r="K231" s="122">
        <v>0</v>
      </c>
      <c r="L231" s="125"/>
      <c r="M231" s="126"/>
    </row>
    <row r="232" spans="1:13" x14ac:dyDescent="0.25">
      <c r="A232" s="100" t="str">
        <f t="shared" si="39"/>
        <v>GENERAL SERVICE 1,000 TO 4,999 KW SERVICE CLASSIFICATION</v>
      </c>
      <c r="C232" s="117"/>
      <c r="D232" s="118" t="s">
        <v>154</v>
      </c>
      <c r="E232" s="119"/>
      <c r="F232" s="127"/>
      <c r="G232" s="121">
        <f>IF($E222&gt;0, $E222, $E221)</f>
        <v>2500</v>
      </c>
      <c r="H232" s="122">
        <v>0</v>
      </c>
      <c r="I232" s="128"/>
      <c r="J232" s="121">
        <f>IF($E222&gt;0, $E222, $E221)</f>
        <v>2500</v>
      </c>
      <c r="K232" s="122">
        <v>0</v>
      </c>
      <c r="L232" s="125">
        <f>K232-H232</f>
        <v>0</v>
      </c>
      <c r="M232" s="126" t="str">
        <f>IF(ISERROR(L232/H232), "", L232/H232)</f>
        <v/>
      </c>
    </row>
    <row r="233" spans="1:13" x14ac:dyDescent="0.25">
      <c r="A233" s="100" t="str">
        <f t="shared" si="39"/>
        <v>GENERAL SERVICE 1,000 TO 4,999 KW SERVICE CLASSIFICATION</v>
      </c>
      <c r="C233" s="117"/>
      <c r="D233" s="129" t="s">
        <v>155</v>
      </c>
      <c r="E233" s="119"/>
      <c r="F233" s="120">
        <v>0</v>
      </c>
      <c r="G233" s="121">
        <v>1</v>
      </c>
      <c r="H233" s="122">
        <f t="shared" si="37"/>
        <v>0</v>
      </c>
      <c r="I233" s="123">
        <v>0</v>
      </c>
      <c r="J233" s="124">
        <f>G233</f>
        <v>1</v>
      </c>
      <c r="K233" s="122">
        <f t="shared" ref="K233:K240" si="40">J233*I233</f>
        <v>0</v>
      </c>
      <c r="L233" s="125">
        <f t="shared" si="36"/>
        <v>0</v>
      </c>
      <c r="M233" s="126" t="str">
        <f t="shared" si="38"/>
        <v/>
      </c>
    </row>
    <row r="234" spans="1:13" x14ac:dyDescent="0.25">
      <c r="A234" s="100" t="str">
        <f t="shared" si="39"/>
        <v>GENERAL SERVICE 1,000 TO 4,999 KW SERVICE CLASSIFICATION</v>
      </c>
      <c r="C234" s="117"/>
      <c r="D234" s="118" t="s">
        <v>156</v>
      </c>
      <c r="E234" s="119"/>
      <c r="F234" s="127">
        <v>0</v>
      </c>
      <c r="G234" s="121">
        <f>IF($E222&gt;0, $E222, $E221)</f>
        <v>2500</v>
      </c>
      <c r="H234" s="122">
        <f t="shared" si="37"/>
        <v>0</v>
      </c>
      <c r="I234" s="128">
        <v>0</v>
      </c>
      <c r="J234" s="124">
        <f>IF($E222&gt;0, $E222, $E221)</f>
        <v>2500</v>
      </c>
      <c r="K234" s="122">
        <f t="shared" si="40"/>
        <v>0</v>
      </c>
      <c r="L234" s="125">
        <f t="shared" si="36"/>
        <v>0</v>
      </c>
      <c r="M234" s="126" t="str">
        <f t="shared" si="38"/>
        <v/>
      </c>
    </row>
    <row r="235" spans="1:13" x14ac:dyDescent="0.25">
      <c r="A235" s="100" t="str">
        <f t="shared" si="39"/>
        <v>GENERAL SERVICE 1,000 TO 4,999 KW SERVICE CLASSIFICATION</v>
      </c>
      <c r="B235" s="130" t="s">
        <v>157</v>
      </c>
      <c r="C235" s="117">
        <f>B6</f>
        <v>4</v>
      </c>
      <c r="D235" s="131" t="s">
        <v>158</v>
      </c>
      <c r="E235" s="132"/>
      <c r="F235" s="133"/>
      <c r="G235" s="134"/>
      <c r="H235" s="135">
        <f>SUM(H229:H234)</f>
        <v>8861.7999999999993</v>
      </c>
      <c r="I235" s="136"/>
      <c r="J235" s="137"/>
      <c r="K235" s="135">
        <f>SUM(K229:K234)</f>
        <v>8968.0300000000007</v>
      </c>
      <c r="L235" s="138">
        <f t="shared" si="36"/>
        <v>106.23000000000138</v>
      </c>
      <c r="M235" s="139">
        <f>IF((H235)=0,"",(L235/H235))</f>
        <v>1.1987406621679726E-2</v>
      </c>
    </row>
    <row r="236" spans="1:13" x14ac:dyDescent="0.25">
      <c r="A236" s="100" t="str">
        <f t="shared" si="39"/>
        <v>GENERAL SERVICE 1,000 TO 4,999 KW SERVICE CLASSIFICATION</v>
      </c>
      <c r="C236" s="117"/>
      <c r="D236" s="140" t="s">
        <v>159</v>
      </c>
      <c r="E236" s="119"/>
      <c r="F236" s="127">
        <f>IF((E221*12&gt;=150000), 0, IF(E220="RPP",(F252*0.65+F253*0.17+F254*0.18),IF(E220="Non-RPP (Retailer)",F255,F256)))</f>
        <v>0</v>
      </c>
      <c r="G236" s="141">
        <f>IF(F236=0, 0, $E221*E223-E221)</f>
        <v>0</v>
      </c>
      <c r="H236" s="122">
        <f>G236*F236</f>
        <v>0</v>
      </c>
      <c r="I236" s="128">
        <f>IF((E221*12&gt;=150000), 0, IF(E220="RPP",(I252*0.65+I253*0.17+I254*0.18),IF(E220="Non-RPP (Retailer)",I255,I256)))</f>
        <v>0</v>
      </c>
      <c r="J236" s="141">
        <f>IF(I236=0, 0, E221*E224-E221)</f>
        <v>0</v>
      </c>
      <c r="K236" s="122">
        <f>J236*I236</f>
        <v>0</v>
      </c>
      <c r="L236" s="125">
        <f>K236-H236</f>
        <v>0</v>
      </c>
      <c r="M236" s="126" t="str">
        <f>IF(ISERROR(L236/H236), "", L236/H236)</f>
        <v/>
      </c>
    </row>
    <row r="237" spans="1:13" ht="25.5" x14ac:dyDescent="0.25">
      <c r="A237" s="100" t="str">
        <f t="shared" si="39"/>
        <v>GENERAL SERVICE 1,000 TO 4,999 KW SERVICE CLASSIFICATION</v>
      </c>
      <c r="C237" s="117"/>
      <c r="D237" s="140" t="s">
        <v>160</v>
      </c>
      <c r="E237" s="119"/>
      <c r="F237" s="127">
        <v>-0.93979999999999997</v>
      </c>
      <c r="G237" s="142">
        <f>IF($E222&gt;0, $E222, $E221)</f>
        <v>2500</v>
      </c>
      <c r="H237" s="122">
        <f t="shared" si="37"/>
        <v>-2349.5</v>
      </c>
      <c r="I237" s="128">
        <v>-1.9907999999999999</v>
      </c>
      <c r="J237" s="142">
        <f>IF($E222&gt;0, $E222, $E221)</f>
        <v>2500</v>
      </c>
      <c r="K237" s="122">
        <f t="shared" si="40"/>
        <v>-4977</v>
      </c>
      <c r="L237" s="125">
        <f t="shared" si="36"/>
        <v>-2627.5</v>
      </c>
      <c r="M237" s="126">
        <f t="shared" si="38"/>
        <v>1.1183230474569057</v>
      </c>
    </row>
    <row r="238" spans="1:13" x14ac:dyDescent="0.25">
      <c r="A238" s="100" t="str">
        <f t="shared" si="39"/>
        <v>GENERAL SERVICE 1,000 TO 4,999 KW SERVICE CLASSIFICATION</v>
      </c>
      <c r="C238" s="117"/>
      <c r="D238" s="140" t="s">
        <v>161</v>
      </c>
      <c r="E238" s="119"/>
      <c r="F238" s="127">
        <v>-3.4099999999999998E-2</v>
      </c>
      <c r="G238" s="142">
        <f>IF($E222&gt;0, $E222, $E221)</f>
        <v>2500</v>
      </c>
      <c r="H238" s="122">
        <f>G238*F238</f>
        <v>-85.25</v>
      </c>
      <c r="I238" s="128">
        <v>0</v>
      </c>
      <c r="J238" s="142">
        <f>IF($E222&gt;0, $E222, $E221)</f>
        <v>2500</v>
      </c>
      <c r="K238" s="122">
        <f>J238*I238</f>
        <v>0</v>
      </c>
      <c r="L238" s="125">
        <f t="shared" si="36"/>
        <v>85.25</v>
      </c>
      <c r="M238" s="126">
        <f t="shared" si="38"/>
        <v>-1</v>
      </c>
    </row>
    <row r="239" spans="1:13" x14ac:dyDescent="0.25">
      <c r="A239" s="100" t="str">
        <f t="shared" si="39"/>
        <v>GENERAL SERVICE 1,000 TO 4,999 KW SERVICE CLASSIFICATION</v>
      </c>
      <c r="C239" s="117"/>
      <c r="D239" s="140" t="s">
        <v>162</v>
      </c>
      <c r="E239" s="119"/>
      <c r="F239" s="127"/>
      <c r="G239" s="142">
        <f>E221</f>
        <v>1600000</v>
      </c>
      <c r="H239" s="122">
        <f>G239*F239</f>
        <v>0</v>
      </c>
      <c r="I239" s="128"/>
      <c r="J239" s="142">
        <f>E221</f>
        <v>1600000</v>
      </c>
      <c r="K239" s="122">
        <f t="shared" si="40"/>
        <v>0</v>
      </c>
      <c r="L239" s="125">
        <f t="shared" si="36"/>
        <v>0</v>
      </c>
      <c r="M239" s="126" t="str">
        <f t="shared" si="38"/>
        <v/>
      </c>
    </row>
    <row r="240" spans="1:13" x14ac:dyDescent="0.25">
      <c r="A240" s="100" t="str">
        <f t="shared" si="39"/>
        <v>GENERAL SERVICE 1,000 TO 4,999 KW SERVICE CLASSIFICATION</v>
      </c>
      <c r="C240" s="117"/>
      <c r="D240" s="143" t="s">
        <v>163</v>
      </c>
      <c r="E240" s="119"/>
      <c r="F240" s="127">
        <v>1.0483</v>
      </c>
      <c r="G240" s="142">
        <f>IF($E222&gt;0, $E222, $E221)</f>
        <v>2500</v>
      </c>
      <c r="H240" s="122">
        <f t="shared" si="37"/>
        <v>2620.75</v>
      </c>
      <c r="I240" s="128">
        <v>1.0483</v>
      </c>
      <c r="J240" s="142">
        <f>IF($E222&gt;0, $E222, $E221)</f>
        <v>2500</v>
      </c>
      <c r="K240" s="122">
        <f t="shared" si="40"/>
        <v>2620.75</v>
      </c>
      <c r="L240" s="125">
        <f t="shared" si="36"/>
        <v>0</v>
      </c>
      <c r="M240" s="126">
        <f t="shared" si="38"/>
        <v>0</v>
      </c>
    </row>
    <row r="241" spans="1:13" ht="25.5" x14ac:dyDescent="0.25">
      <c r="A241" s="100" t="str">
        <f t="shared" si="39"/>
        <v>GENERAL SERVICE 1,000 TO 4,999 KW SERVICE CLASSIFICATION</v>
      </c>
      <c r="C241" s="117"/>
      <c r="D241" s="144" t="s">
        <v>164</v>
      </c>
      <c r="E241" s="119"/>
      <c r="F241" s="145">
        <f>IF(OR(ISNUMBER(SEARCH("RESIDENTIAL", E219))=TRUE, ISNUMBER(SEARCH("GENERAL SERVICE LESS THAN 50", E219))=TRUE), SME, 0)</f>
        <v>0</v>
      </c>
      <c r="G241" s="121">
        <v>1</v>
      </c>
      <c r="H241" s="122">
        <f>G241*F241</f>
        <v>0</v>
      </c>
      <c r="I241" s="146">
        <f>IF(OR(ISNUMBER(SEARCH("RESIDENTIAL", E219))=TRUE, ISNUMBER(SEARCH("GENERAL SERVICE LESS THAN 50", E219))=TRUE), SME, 0)</f>
        <v>0</v>
      </c>
      <c r="J241" s="121">
        <v>1</v>
      </c>
      <c r="K241" s="122">
        <f>J241*I241</f>
        <v>0</v>
      </c>
      <c r="L241" s="125">
        <f t="shared" si="36"/>
        <v>0</v>
      </c>
      <c r="M241" s="126" t="str">
        <f>IF(ISERROR(L241/H241), "", L241/H241)</f>
        <v/>
      </c>
    </row>
    <row r="242" spans="1:13" x14ac:dyDescent="0.25">
      <c r="A242" s="100" t="str">
        <f t="shared" si="39"/>
        <v>GENERAL SERVICE 1,000 TO 4,999 KW SERVICE CLASSIFICATION</v>
      </c>
      <c r="C242" s="117"/>
      <c r="D242" s="143" t="s">
        <v>165</v>
      </c>
      <c r="E242" s="119"/>
      <c r="F242" s="120">
        <v>0</v>
      </c>
      <c r="G242" s="121">
        <v>1</v>
      </c>
      <c r="H242" s="122">
        <f t="shared" si="37"/>
        <v>0</v>
      </c>
      <c r="I242" s="123">
        <v>0</v>
      </c>
      <c r="J242" s="121">
        <v>1</v>
      </c>
      <c r="K242" s="122">
        <f>J242*I242</f>
        <v>0</v>
      </c>
      <c r="L242" s="125">
        <f>K242-H242</f>
        <v>0</v>
      </c>
      <c r="M242" s="126" t="str">
        <f>IF(ISERROR(L242/H242), "", L242/H242)</f>
        <v/>
      </c>
    </row>
    <row r="243" spans="1:13" x14ac:dyDescent="0.25">
      <c r="A243" s="100" t="str">
        <f t="shared" si="39"/>
        <v>GENERAL SERVICE 1,000 TO 4,999 KW SERVICE CLASSIFICATION</v>
      </c>
      <c r="C243" s="117"/>
      <c r="D243" s="143" t="s">
        <v>166</v>
      </c>
      <c r="E243" s="119"/>
      <c r="F243" s="127"/>
      <c r="G243" s="142">
        <f>IF($E222&gt;0, $E222, $E221)</f>
        <v>2500</v>
      </c>
      <c r="H243" s="122">
        <f>G243*F243</f>
        <v>0</v>
      </c>
      <c r="I243" s="128">
        <v>0</v>
      </c>
      <c r="J243" s="142">
        <f>IF($E222&gt;0, $E222, $E221)</f>
        <v>2500</v>
      </c>
      <c r="K243" s="122">
        <f>J243*I243</f>
        <v>0</v>
      </c>
      <c r="L243" s="125">
        <f t="shared" si="36"/>
        <v>0</v>
      </c>
      <c r="M243" s="126" t="str">
        <f>IF(ISERROR(L243/H243), "", L243/H243)</f>
        <v/>
      </c>
    </row>
    <row r="244" spans="1:13" ht="25.5" x14ac:dyDescent="0.25">
      <c r="A244" s="100" t="str">
        <f t="shared" si="39"/>
        <v>GENERAL SERVICE 1,000 TO 4,999 KW SERVICE CLASSIFICATION</v>
      </c>
      <c r="B244" s="105" t="s">
        <v>167</v>
      </c>
      <c r="C244" s="117">
        <f>B6</f>
        <v>4</v>
      </c>
      <c r="D244" s="147" t="s">
        <v>168</v>
      </c>
      <c r="E244" s="148"/>
      <c r="F244" s="149"/>
      <c r="G244" s="150"/>
      <c r="H244" s="151">
        <f>SUM(H235:H243)</f>
        <v>9047.7999999999993</v>
      </c>
      <c r="I244" s="152"/>
      <c r="J244" s="153"/>
      <c r="K244" s="151">
        <f>SUM(K235:K243)</f>
        <v>6611.7800000000007</v>
      </c>
      <c r="L244" s="138">
        <f t="shared" si="36"/>
        <v>-2436.0199999999986</v>
      </c>
      <c r="M244" s="139">
        <f>IF((H244)=0,"",(L244/H244))</f>
        <v>-0.26923893101085333</v>
      </c>
    </row>
    <row r="245" spans="1:13" x14ac:dyDescent="0.25">
      <c r="A245" s="100" t="str">
        <f t="shared" si="39"/>
        <v>GENERAL SERVICE 1,000 TO 4,999 KW SERVICE CLASSIFICATION</v>
      </c>
      <c r="C245" s="117"/>
      <c r="D245" s="154" t="s">
        <v>169</v>
      </c>
      <c r="E245" s="119"/>
      <c r="F245" s="127">
        <v>2.6217000000000001</v>
      </c>
      <c r="G245" s="141">
        <f>IF($E222&gt;0, $E222, $E221*$E223)</f>
        <v>2500</v>
      </c>
      <c r="H245" s="122">
        <f>G245*F245</f>
        <v>6554.25</v>
      </c>
      <c r="I245" s="128">
        <v>2.4868999999999999</v>
      </c>
      <c r="J245" s="141">
        <f>IF($E222&gt;0, $E222, $E221*$E224)</f>
        <v>2500</v>
      </c>
      <c r="K245" s="122">
        <f>J245*I245</f>
        <v>6217.25</v>
      </c>
      <c r="L245" s="125">
        <f t="shared" si="36"/>
        <v>-337</v>
      </c>
      <c r="M245" s="126">
        <f t="shared" ref="M245:M246" si="41">IF(ISERROR(L245/H245), "", L245/H245)</f>
        <v>-5.1417019491169849E-2</v>
      </c>
    </row>
    <row r="246" spans="1:13" ht="25.5" x14ac:dyDescent="0.25">
      <c r="A246" s="100" t="str">
        <f t="shared" si="39"/>
        <v>GENERAL SERVICE 1,000 TO 4,999 KW SERVICE CLASSIFICATION</v>
      </c>
      <c r="C246" s="117"/>
      <c r="D246" s="155" t="s">
        <v>170</v>
      </c>
      <c r="E246" s="119"/>
      <c r="F246" s="127">
        <v>2.2145999999999999</v>
      </c>
      <c r="G246" s="141">
        <f>IF($E222&gt;0, $E222, $E221*$E223)</f>
        <v>2500</v>
      </c>
      <c r="H246" s="122">
        <f>G246*F246</f>
        <v>5536.5</v>
      </c>
      <c r="I246" s="128">
        <v>2.0933000000000002</v>
      </c>
      <c r="J246" s="141">
        <f>IF($E222&gt;0, $E222, $E221*$E224)</f>
        <v>2500</v>
      </c>
      <c r="K246" s="122">
        <f>J246*I246</f>
        <v>5233.25</v>
      </c>
      <c r="L246" s="125">
        <f t="shared" si="36"/>
        <v>-303.25</v>
      </c>
      <c r="M246" s="126">
        <f t="shared" si="41"/>
        <v>-5.4772870947349409E-2</v>
      </c>
    </row>
    <row r="247" spans="1:13" ht="25.5" x14ac:dyDescent="0.25">
      <c r="A247" s="100" t="str">
        <f t="shared" si="39"/>
        <v>GENERAL SERVICE 1,000 TO 4,999 KW SERVICE CLASSIFICATION</v>
      </c>
      <c r="B247" s="105" t="s">
        <v>171</v>
      </c>
      <c r="C247" s="117">
        <f>B6</f>
        <v>4</v>
      </c>
      <c r="D247" s="147" t="s">
        <v>172</v>
      </c>
      <c r="E247" s="132"/>
      <c r="F247" s="149"/>
      <c r="G247" s="150"/>
      <c r="H247" s="151">
        <f>SUM(H244:H246)</f>
        <v>21138.55</v>
      </c>
      <c r="I247" s="152"/>
      <c r="J247" s="137"/>
      <c r="K247" s="151">
        <f>SUM(K244:K246)</f>
        <v>18062.28</v>
      </c>
      <c r="L247" s="138">
        <f t="shared" si="36"/>
        <v>-3076.2700000000004</v>
      </c>
      <c r="M247" s="139">
        <f>IF((H247)=0,"",(L247/H247))</f>
        <v>-0.14552890335429822</v>
      </c>
    </row>
    <row r="248" spans="1:13" ht="25.5" x14ac:dyDescent="0.25">
      <c r="A248" s="100" t="str">
        <f t="shared" si="39"/>
        <v>GENERAL SERVICE 1,000 TO 4,999 KW SERVICE CLASSIFICATION</v>
      </c>
      <c r="C248" s="117"/>
      <c r="D248" s="156" t="s">
        <v>173</v>
      </c>
      <c r="E248" s="119"/>
      <c r="F248" s="127">
        <v>3.6000000000000003E-3</v>
      </c>
      <c r="G248" s="141">
        <f>E221*E223</f>
        <v>1689600</v>
      </c>
      <c r="H248" s="157">
        <f t="shared" ref="H248:H254" si="42">G248*F248</f>
        <v>6082.56</v>
      </c>
      <c r="I248" s="128">
        <v>3.6000000000000003E-3</v>
      </c>
      <c r="J248" s="141">
        <f>E221*E224</f>
        <v>1689600</v>
      </c>
      <c r="K248" s="157">
        <f t="shared" ref="K248:K254" si="43">J248*I248</f>
        <v>6082.56</v>
      </c>
      <c r="L248" s="125">
        <f t="shared" si="36"/>
        <v>0</v>
      </c>
      <c r="M248" s="126">
        <f t="shared" ref="M248:M256" si="44">IF(ISERROR(L248/H248), "", L248/H248)</f>
        <v>0</v>
      </c>
    </row>
    <row r="249" spans="1:13" ht="25.5" x14ac:dyDescent="0.25">
      <c r="A249" s="100" t="str">
        <f t="shared" si="39"/>
        <v>GENERAL SERVICE 1,000 TO 4,999 KW SERVICE CLASSIFICATION</v>
      </c>
      <c r="C249" s="117"/>
      <c r="D249" s="156" t="s">
        <v>174</v>
      </c>
      <c r="E249" s="119"/>
      <c r="F249" s="127">
        <f>'[1]17. Regulatory Charges'!$D$16</f>
        <v>2.9999999999999997E-4</v>
      </c>
      <c r="G249" s="141">
        <f>E221*E223</f>
        <v>1689600</v>
      </c>
      <c r="H249" s="157">
        <f t="shared" si="42"/>
        <v>506.87999999999994</v>
      </c>
      <c r="I249" s="128">
        <v>2.9999999999999997E-4</v>
      </c>
      <c r="J249" s="141">
        <f>E221*E224</f>
        <v>1689600</v>
      </c>
      <c r="K249" s="157">
        <f t="shared" si="43"/>
        <v>506.87999999999994</v>
      </c>
      <c r="L249" s="125">
        <f t="shared" si="36"/>
        <v>0</v>
      </c>
      <c r="M249" s="126">
        <f t="shared" si="44"/>
        <v>0</v>
      </c>
    </row>
    <row r="250" spans="1:13" x14ac:dyDescent="0.25">
      <c r="A250" s="100" t="str">
        <f t="shared" si="39"/>
        <v>GENERAL SERVICE 1,000 TO 4,999 KW SERVICE CLASSIFICATION</v>
      </c>
      <c r="C250" s="117"/>
      <c r="D250" s="158" t="s">
        <v>175</v>
      </c>
      <c r="E250" s="119"/>
      <c r="F250" s="145">
        <v>0.25</v>
      </c>
      <c r="G250" s="121">
        <v>1</v>
      </c>
      <c r="H250" s="157">
        <f t="shared" si="42"/>
        <v>0.25</v>
      </c>
      <c r="I250" s="146">
        <f>'[1]17. Regulatory Charges'!$D$17</f>
        <v>0.25</v>
      </c>
      <c r="J250" s="124">
        <v>1</v>
      </c>
      <c r="K250" s="157">
        <f t="shared" si="43"/>
        <v>0.25</v>
      </c>
      <c r="L250" s="125">
        <f t="shared" si="36"/>
        <v>0</v>
      </c>
      <c r="M250" s="126">
        <f t="shared" si="44"/>
        <v>0</v>
      </c>
    </row>
    <row r="251" spans="1:13" ht="25.5" x14ac:dyDescent="0.25">
      <c r="A251" s="100" t="str">
        <f t="shared" si="39"/>
        <v>GENERAL SERVICE 1,000 TO 4,999 KW SERVICE CLASSIFICATION</v>
      </c>
      <c r="C251" s="117"/>
      <c r="D251" s="156" t="s">
        <v>176</v>
      </c>
      <c r="E251" s="119"/>
      <c r="F251" s="127"/>
      <c r="G251" s="141"/>
      <c r="H251" s="157"/>
      <c r="I251" s="128"/>
      <c r="J251" s="141"/>
      <c r="K251" s="157"/>
      <c r="L251" s="125"/>
      <c r="M251" s="126"/>
    </row>
    <row r="252" spans="1:13" hidden="1" x14ac:dyDescent="0.25">
      <c r="A252" s="100" t="str">
        <f t="shared" si="39"/>
        <v>GENERAL SERVICE 1,000 TO 4,999 KW SERVICE CLASSIFICATION</v>
      </c>
      <c r="B252" s="105" t="s">
        <v>117</v>
      </c>
      <c r="C252" s="117"/>
      <c r="D252" s="159" t="s">
        <v>177</v>
      </c>
      <c r="E252" s="119"/>
      <c r="F252" s="160">
        <f>OffPeak</f>
        <v>6.5000000000000002E-2</v>
      </c>
      <c r="G252" s="161">
        <f>IF(AND(E221*12&gt;=150000),0.65*E221*E223,0.65*E221)</f>
        <v>1098240</v>
      </c>
      <c r="H252" s="157">
        <f t="shared" si="42"/>
        <v>71385.600000000006</v>
      </c>
      <c r="I252" s="162">
        <f>OffPeak</f>
        <v>6.5000000000000002E-2</v>
      </c>
      <c r="J252" s="161">
        <f>IF(AND(E221*12&gt;=150000),0.65*E221*E224,0.65*E221)</f>
        <v>1098240</v>
      </c>
      <c r="K252" s="157">
        <f t="shared" si="43"/>
        <v>71385.600000000006</v>
      </c>
      <c r="L252" s="125">
        <f>K252-H252</f>
        <v>0</v>
      </c>
      <c r="M252" s="126">
        <f t="shared" si="44"/>
        <v>0</v>
      </c>
    </row>
    <row r="253" spans="1:13" hidden="1" x14ac:dyDescent="0.25">
      <c r="A253" s="100" t="str">
        <f t="shared" si="39"/>
        <v>GENERAL SERVICE 1,000 TO 4,999 KW SERVICE CLASSIFICATION</v>
      </c>
      <c r="B253" s="105" t="s">
        <v>117</v>
      </c>
      <c r="C253" s="117"/>
      <c r="D253" s="159" t="s">
        <v>178</v>
      </c>
      <c r="E253" s="119"/>
      <c r="F253" s="160">
        <f>MidPeak</f>
        <v>9.4E-2</v>
      </c>
      <c r="G253" s="161">
        <f>IF(AND(E221*12&gt;=150000),0.17*E221*E223,0.17*E221)</f>
        <v>287232</v>
      </c>
      <c r="H253" s="157">
        <f t="shared" si="42"/>
        <v>26999.808000000001</v>
      </c>
      <c r="I253" s="162">
        <f>MidPeak</f>
        <v>9.4E-2</v>
      </c>
      <c r="J253" s="161">
        <f>IF(AND(E221*12&gt;=150000),0.17*E221*E224,0.17*E221)</f>
        <v>287232</v>
      </c>
      <c r="K253" s="157">
        <f t="shared" si="43"/>
        <v>26999.808000000001</v>
      </c>
      <c r="L253" s="125">
        <f>K253-H253</f>
        <v>0</v>
      </c>
      <c r="M253" s="126">
        <f t="shared" si="44"/>
        <v>0</v>
      </c>
    </row>
    <row r="254" spans="1:13" hidden="1" x14ac:dyDescent="0.25">
      <c r="A254" s="100" t="str">
        <f t="shared" si="39"/>
        <v>GENERAL SERVICE 1,000 TO 4,999 KW SERVICE CLASSIFICATION</v>
      </c>
      <c r="B254" s="105" t="s">
        <v>117</v>
      </c>
      <c r="C254" s="117"/>
      <c r="D254" s="105" t="s">
        <v>179</v>
      </c>
      <c r="E254" s="119"/>
      <c r="F254" s="160">
        <f>OnPeak</f>
        <v>0.13200000000000001</v>
      </c>
      <c r="G254" s="161">
        <f>IF(AND(E221*12&gt;=150000),0.18*E221*E223,0.18*E221)</f>
        <v>304128</v>
      </c>
      <c r="H254" s="157">
        <f t="shared" si="42"/>
        <v>40144.896000000001</v>
      </c>
      <c r="I254" s="162">
        <f>OnPeak</f>
        <v>0.13200000000000001</v>
      </c>
      <c r="J254" s="161">
        <f>IF(AND(E221*12&gt;=150000),0.18*E221*E224,0.18*E221)</f>
        <v>304128</v>
      </c>
      <c r="K254" s="157">
        <f t="shared" si="43"/>
        <v>40144.896000000001</v>
      </c>
      <c r="L254" s="125">
        <f>K254-H254</f>
        <v>0</v>
      </c>
      <c r="M254" s="126">
        <f t="shared" si="44"/>
        <v>0</v>
      </c>
    </row>
    <row r="255" spans="1:13" hidden="1" x14ac:dyDescent="0.25">
      <c r="A255" s="100" t="str">
        <f t="shared" si="39"/>
        <v>GENERAL SERVICE 1,000 TO 4,999 KW SERVICE CLASSIFICATION</v>
      </c>
      <c r="B255" s="100" t="s">
        <v>180</v>
      </c>
      <c r="C255" s="117"/>
      <c r="D255" s="159" t="s">
        <v>181</v>
      </c>
      <c r="E255" s="119"/>
      <c r="F255" s="163">
        <v>0.1101</v>
      </c>
      <c r="G255" s="161">
        <f>IF(AND(E221*12&gt;=150000),E221*E223,E221)</f>
        <v>1689600</v>
      </c>
      <c r="H255" s="157">
        <f>G255*F255</f>
        <v>186024.95999999999</v>
      </c>
      <c r="I255" s="164">
        <f>F255</f>
        <v>0.1101</v>
      </c>
      <c r="J255" s="161">
        <f>IF(AND(E221*12&gt;=150000),E221*E224,E221)</f>
        <v>1689600</v>
      </c>
      <c r="K255" s="157">
        <f>J255*I255</f>
        <v>186024.95999999999</v>
      </c>
      <c r="L255" s="125">
        <f>K255-H255</f>
        <v>0</v>
      </c>
      <c r="M255" s="126">
        <f t="shared" si="44"/>
        <v>0</v>
      </c>
    </row>
    <row r="256" spans="1:13" ht="15.75" thickBot="1" x14ac:dyDescent="0.3">
      <c r="A256" s="100" t="str">
        <f t="shared" si="39"/>
        <v>GENERAL SERVICE 1,000 TO 4,999 KW SERVICE CLASSIFICATION</v>
      </c>
      <c r="B256" s="100" t="s">
        <v>121</v>
      </c>
      <c r="C256" s="117"/>
      <c r="D256" s="159" t="s">
        <v>182</v>
      </c>
      <c r="E256" s="119"/>
      <c r="F256" s="163">
        <v>0.1101</v>
      </c>
      <c r="G256" s="161">
        <f>IF(AND(E221*12&gt;=150000),E221*E223,E221)</f>
        <v>1689600</v>
      </c>
      <c r="H256" s="157">
        <f>G256*F256</f>
        <v>186024.95999999999</v>
      </c>
      <c r="I256" s="164">
        <f>F256</f>
        <v>0.1101</v>
      </c>
      <c r="J256" s="161">
        <f>IF(AND(E221*12&gt;=150000),E221*E224,E221)</f>
        <v>1689600</v>
      </c>
      <c r="K256" s="157">
        <f>J256*I256</f>
        <v>186024.95999999999</v>
      </c>
      <c r="L256" s="125">
        <f>K256-H256</f>
        <v>0</v>
      </c>
      <c r="M256" s="126">
        <f t="shared" si="44"/>
        <v>0</v>
      </c>
    </row>
    <row r="257" spans="1:13" ht="15.75" thickBot="1" x14ac:dyDescent="0.3">
      <c r="A257" s="100" t="str">
        <f t="shared" si="39"/>
        <v>GENERAL SERVICE 1,000 TO 4,999 KW SERVICE CLASSIFICATION</v>
      </c>
      <c r="B257" s="105"/>
      <c r="C257" s="117"/>
      <c r="D257" s="165"/>
      <c r="E257" s="166"/>
      <c r="F257" s="167"/>
      <c r="G257" s="168"/>
      <c r="H257" s="169"/>
      <c r="I257" s="167"/>
      <c r="J257" s="170"/>
      <c r="K257" s="169"/>
      <c r="L257" s="171"/>
      <c r="M257" s="172"/>
    </row>
    <row r="258" spans="1:13" hidden="1" x14ac:dyDescent="0.25">
      <c r="A258" s="100" t="str">
        <f t="shared" si="39"/>
        <v>GENERAL SERVICE 1,000 TO 4,999 KW SERVICE CLASSIFICATION</v>
      </c>
      <c r="B258" s="105" t="s">
        <v>117</v>
      </c>
      <c r="C258" s="117"/>
      <c r="D258" s="173" t="s">
        <v>183</v>
      </c>
      <c r="E258" s="158"/>
      <c r="F258" s="174"/>
      <c r="G258" s="175"/>
      <c r="H258" s="176">
        <f>SUM(H248:H254,H247)</f>
        <v>166258.54399999999</v>
      </c>
      <c r="I258" s="177"/>
      <c r="J258" s="177"/>
      <c r="K258" s="176">
        <f>SUM(K248:K254,K247)</f>
        <v>163182.274</v>
      </c>
      <c r="L258" s="178">
        <f>K258-H258</f>
        <v>-3076.2699999999895</v>
      </c>
      <c r="M258" s="179">
        <f>IF((H258)=0,"",(L258/H258))</f>
        <v>-1.8502928787828127E-2</v>
      </c>
    </row>
    <row r="259" spans="1:13" hidden="1" x14ac:dyDescent="0.25">
      <c r="A259" s="100" t="str">
        <f t="shared" si="39"/>
        <v>GENERAL SERVICE 1,000 TO 4,999 KW SERVICE CLASSIFICATION</v>
      </c>
      <c r="B259" s="105" t="s">
        <v>117</v>
      </c>
      <c r="C259" s="117"/>
      <c r="D259" s="180" t="s">
        <v>184</v>
      </c>
      <c r="E259" s="158"/>
      <c r="F259" s="174">
        <v>0.13</v>
      </c>
      <c r="G259" s="181"/>
      <c r="H259" s="182">
        <f>H258*F259</f>
        <v>21613.610720000001</v>
      </c>
      <c r="I259" s="183">
        <v>0.13</v>
      </c>
      <c r="J259" s="121"/>
      <c r="K259" s="182">
        <f>K258*I259</f>
        <v>21213.695620000002</v>
      </c>
      <c r="L259" s="184">
        <f>K259-H259</f>
        <v>-399.91509999999835</v>
      </c>
      <c r="M259" s="185">
        <f>IF((H259)=0,"",(L259/H259))</f>
        <v>-1.8502928787828114E-2</v>
      </c>
    </row>
    <row r="260" spans="1:13" hidden="1" x14ac:dyDescent="0.25">
      <c r="A260" s="100" t="str">
        <f t="shared" si="39"/>
        <v>GENERAL SERVICE 1,000 TO 4,999 KW SERVICE CLASSIFICATION</v>
      </c>
      <c r="B260" s="105" t="s">
        <v>117</v>
      </c>
      <c r="C260" s="117"/>
      <c r="D260" s="180" t="s">
        <v>185</v>
      </c>
      <c r="E260" s="158"/>
      <c r="F260" s="174">
        <v>0.08</v>
      </c>
      <c r="G260" s="181"/>
      <c r="H260" s="182">
        <v>0</v>
      </c>
      <c r="I260" s="174">
        <v>0.08</v>
      </c>
      <c r="J260" s="121"/>
      <c r="K260" s="182">
        <v>0</v>
      </c>
      <c r="L260" s="184">
        <f>K260-H260</f>
        <v>0</v>
      </c>
      <c r="M260" s="185"/>
    </row>
    <row r="261" spans="1:13" hidden="1" x14ac:dyDescent="0.25">
      <c r="A261" s="100" t="str">
        <f t="shared" si="39"/>
        <v>GENERAL SERVICE 1,000 TO 4,999 KW SERVICE CLASSIFICATION</v>
      </c>
      <c r="B261" s="105" t="s">
        <v>186</v>
      </c>
      <c r="C261" s="117"/>
      <c r="D261" s="301" t="s">
        <v>187</v>
      </c>
      <c r="E261" s="301"/>
      <c r="F261" s="186"/>
      <c r="G261" s="187"/>
      <c r="H261" s="188">
        <f>H258+H259+H260</f>
        <v>187872.15471999999</v>
      </c>
      <c r="I261" s="189"/>
      <c r="J261" s="189"/>
      <c r="K261" s="190">
        <f>K258+K259+K260</f>
        <v>184395.96962000002</v>
      </c>
      <c r="L261" s="191">
        <f>K261-H261</f>
        <v>-3476.1850999999733</v>
      </c>
      <c r="M261" s="192">
        <f>IF((H261)=0,"",(L261/H261))</f>
        <v>-1.8502928787828051E-2</v>
      </c>
    </row>
    <row r="262" spans="1:13" ht="15.75" hidden="1" thickBot="1" x14ac:dyDescent="0.3">
      <c r="A262" s="100" t="str">
        <f t="shared" si="39"/>
        <v>GENERAL SERVICE 1,000 TO 4,999 KW SERVICE CLASSIFICATION</v>
      </c>
      <c r="B262" s="100" t="s">
        <v>117</v>
      </c>
      <c r="C262" s="117"/>
      <c r="D262" s="165"/>
      <c r="E262" s="166"/>
      <c r="F262" s="167"/>
      <c r="G262" s="168"/>
      <c r="H262" s="169"/>
      <c r="I262" s="167"/>
      <c r="J262" s="170"/>
      <c r="K262" s="169"/>
      <c r="L262" s="171"/>
      <c r="M262" s="172"/>
    </row>
    <row r="263" spans="1:13" hidden="1" x14ac:dyDescent="0.25">
      <c r="A263" s="100" t="str">
        <f t="shared" si="39"/>
        <v>GENERAL SERVICE 1,000 TO 4,999 KW SERVICE CLASSIFICATION</v>
      </c>
      <c r="B263" s="100" t="s">
        <v>180</v>
      </c>
      <c r="C263" s="117"/>
      <c r="D263" s="173" t="s">
        <v>188</v>
      </c>
      <c r="E263" s="158"/>
      <c r="F263" s="174"/>
      <c r="G263" s="175"/>
      <c r="H263" s="176">
        <f>SUM(H255,H248:H251,H247)</f>
        <v>213753.19999999998</v>
      </c>
      <c r="I263" s="177"/>
      <c r="J263" s="177"/>
      <c r="K263" s="176">
        <f>SUM(K255,K248:K251,K247)</f>
        <v>210676.93</v>
      </c>
      <c r="L263" s="178">
        <f>K263-H263</f>
        <v>-3076.2699999999895</v>
      </c>
      <c r="M263" s="179">
        <f>IF((H263)=0,"",(L263/H263))</f>
        <v>-1.4391690978193495E-2</v>
      </c>
    </row>
    <row r="264" spans="1:13" hidden="1" x14ac:dyDescent="0.25">
      <c r="A264" s="100" t="str">
        <f t="shared" si="39"/>
        <v>GENERAL SERVICE 1,000 TO 4,999 KW SERVICE CLASSIFICATION</v>
      </c>
      <c r="B264" s="100" t="s">
        <v>180</v>
      </c>
      <c r="C264" s="117"/>
      <c r="D264" s="180" t="s">
        <v>184</v>
      </c>
      <c r="E264" s="158"/>
      <c r="F264" s="174">
        <v>0.13</v>
      </c>
      <c r="G264" s="175"/>
      <c r="H264" s="182">
        <f>H263*F264</f>
        <v>27787.915999999997</v>
      </c>
      <c r="I264" s="174">
        <v>0.13</v>
      </c>
      <c r="J264" s="183"/>
      <c r="K264" s="182">
        <f>K263*I264</f>
        <v>27388.000899999999</v>
      </c>
      <c r="L264" s="184">
        <f>K264-H264</f>
        <v>-399.91509999999835</v>
      </c>
      <c r="M264" s="185">
        <f>IF((H264)=0,"",(L264/H264))</f>
        <v>-1.4391690978193485E-2</v>
      </c>
    </row>
    <row r="265" spans="1:13" hidden="1" x14ac:dyDescent="0.25">
      <c r="A265" s="100" t="str">
        <f t="shared" si="39"/>
        <v>GENERAL SERVICE 1,000 TO 4,999 KW SERVICE CLASSIFICATION</v>
      </c>
      <c r="B265" s="100" t="s">
        <v>180</v>
      </c>
      <c r="C265" s="117"/>
      <c r="D265" s="180" t="s">
        <v>185</v>
      </c>
      <c r="E265" s="158"/>
      <c r="F265" s="174">
        <v>0.08</v>
      </c>
      <c r="G265" s="175"/>
      <c r="H265" s="182">
        <v>0</v>
      </c>
      <c r="I265" s="174">
        <v>0.08</v>
      </c>
      <c r="J265" s="183"/>
      <c r="K265" s="182">
        <v>0</v>
      </c>
      <c r="L265" s="184"/>
      <c r="M265" s="185"/>
    </row>
    <row r="266" spans="1:13" hidden="1" x14ac:dyDescent="0.25">
      <c r="A266" s="100" t="str">
        <f t="shared" si="39"/>
        <v>GENERAL SERVICE 1,000 TO 4,999 KW SERVICE CLASSIFICATION</v>
      </c>
      <c r="B266" s="100" t="s">
        <v>189</v>
      </c>
      <c r="C266" s="117"/>
      <c r="D266" s="301" t="s">
        <v>188</v>
      </c>
      <c r="E266" s="301"/>
      <c r="F266" s="193"/>
      <c r="G266" s="194"/>
      <c r="H266" s="188">
        <f>SUM(H263,H264)</f>
        <v>241541.11599999998</v>
      </c>
      <c r="I266" s="195"/>
      <c r="J266" s="195"/>
      <c r="K266" s="188">
        <f>SUM(K263,K264)</f>
        <v>238064.93089999998</v>
      </c>
      <c r="L266" s="196">
        <f>K266-H266</f>
        <v>-3476.1851000000024</v>
      </c>
      <c r="M266" s="197">
        <f>IF((H266)=0,"",(L266/H266))</f>
        <v>-1.4391690978193554E-2</v>
      </c>
    </row>
    <row r="267" spans="1:13" ht="15.75" hidden="1" thickBot="1" x14ac:dyDescent="0.3">
      <c r="A267" s="100" t="str">
        <f t="shared" si="39"/>
        <v>GENERAL SERVICE 1,000 TO 4,999 KW SERVICE CLASSIFICATION</v>
      </c>
      <c r="B267" s="100" t="s">
        <v>180</v>
      </c>
      <c r="C267" s="117"/>
      <c r="D267" s="165"/>
      <c r="E267" s="166"/>
      <c r="F267" s="198"/>
      <c r="G267" s="199"/>
      <c r="H267" s="200"/>
      <c r="I267" s="198"/>
      <c r="J267" s="168"/>
      <c r="K267" s="200"/>
      <c r="L267" s="201"/>
      <c r="M267" s="172"/>
    </row>
    <row r="268" spans="1:13" x14ac:dyDescent="0.25">
      <c r="A268" s="100" t="str">
        <f t="shared" si="39"/>
        <v>GENERAL SERVICE 1,000 TO 4,999 KW SERVICE CLASSIFICATION</v>
      </c>
      <c r="B268" s="100" t="s">
        <v>121</v>
      </c>
      <c r="C268" s="117"/>
      <c r="D268" s="173" t="s">
        <v>190</v>
      </c>
      <c r="E268" s="158"/>
      <c r="F268" s="174"/>
      <c r="G268" s="175"/>
      <c r="H268" s="176">
        <f>SUM(H256,H248:H251,H247)</f>
        <v>213753.19999999998</v>
      </c>
      <c r="I268" s="177"/>
      <c r="J268" s="177"/>
      <c r="K268" s="176">
        <f>SUM(K256,K248:K251,K247)</f>
        <v>210676.93</v>
      </c>
      <c r="L268" s="178">
        <f>K268-H268</f>
        <v>-3076.2699999999895</v>
      </c>
      <c r="M268" s="179">
        <f>IF((H268)=0,"",(L268/H268))</f>
        <v>-1.4391690978193495E-2</v>
      </c>
    </row>
    <row r="269" spans="1:13" x14ac:dyDescent="0.25">
      <c r="A269" s="100" t="str">
        <f t="shared" si="39"/>
        <v>GENERAL SERVICE 1,000 TO 4,999 KW SERVICE CLASSIFICATION</v>
      </c>
      <c r="B269" s="100" t="s">
        <v>121</v>
      </c>
      <c r="C269" s="117"/>
      <c r="D269" s="180" t="s">
        <v>184</v>
      </c>
      <c r="E269" s="158"/>
      <c r="F269" s="174">
        <v>0.13</v>
      </c>
      <c r="G269" s="175"/>
      <c r="H269" s="182">
        <f>H268*F269</f>
        <v>27787.915999999997</v>
      </c>
      <c r="I269" s="174">
        <v>0.13</v>
      </c>
      <c r="J269" s="183"/>
      <c r="K269" s="182">
        <f>K268*I269</f>
        <v>27388.000899999999</v>
      </c>
      <c r="L269" s="184">
        <f>K269-H269</f>
        <v>-399.91509999999835</v>
      </c>
      <c r="M269" s="185">
        <f>IF((H269)=0,"",(L269/H269))</f>
        <v>-1.4391690978193485E-2</v>
      </c>
    </row>
    <row r="270" spans="1:13" x14ac:dyDescent="0.25">
      <c r="A270" s="100" t="str">
        <f t="shared" si="39"/>
        <v>GENERAL SERVICE 1,000 TO 4,999 KW SERVICE CLASSIFICATION</v>
      </c>
      <c r="B270" s="100" t="s">
        <v>121</v>
      </c>
      <c r="C270" s="117"/>
      <c r="D270" s="180" t="s">
        <v>185</v>
      </c>
      <c r="E270" s="158"/>
      <c r="F270" s="174">
        <v>0.08</v>
      </c>
      <c r="G270" s="175"/>
      <c r="H270" s="182">
        <v>0</v>
      </c>
      <c r="I270" s="174">
        <v>0.08</v>
      </c>
      <c r="J270" s="183"/>
      <c r="K270" s="182">
        <v>0</v>
      </c>
      <c r="L270" s="184"/>
      <c r="M270" s="185"/>
    </row>
    <row r="271" spans="1:13" ht="15.75" thickBot="1" x14ac:dyDescent="0.3">
      <c r="A271" s="100" t="str">
        <f t="shared" si="39"/>
        <v>GENERAL SERVICE 1,000 TO 4,999 KW SERVICE CLASSIFICATION</v>
      </c>
      <c r="B271" s="100" t="s">
        <v>191</v>
      </c>
      <c r="C271" s="117">
        <f>B6</f>
        <v>4</v>
      </c>
      <c r="D271" s="301" t="s">
        <v>190</v>
      </c>
      <c r="E271" s="301"/>
      <c r="F271" s="193"/>
      <c r="G271" s="194"/>
      <c r="H271" s="188">
        <f>SUM(H268,H269)</f>
        <v>241541.11599999998</v>
      </c>
      <c r="I271" s="195"/>
      <c r="J271" s="195"/>
      <c r="K271" s="188">
        <f>SUM(K268,K269)</f>
        <v>238064.93089999998</v>
      </c>
      <c r="L271" s="196">
        <f>K271-H271</f>
        <v>-3476.1851000000024</v>
      </c>
      <c r="M271" s="197">
        <f>IF((H271)=0,"",(L271/H271))</f>
        <v>-1.4391690978193554E-2</v>
      </c>
    </row>
    <row r="272" spans="1:13" ht="15.75" thickBot="1" x14ac:dyDescent="0.3">
      <c r="A272" s="100" t="str">
        <f t="shared" si="39"/>
        <v>GENERAL SERVICE 1,000 TO 4,999 KW SERVICE CLASSIFICATION</v>
      </c>
      <c r="B272" s="100" t="s">
        <v>121</v>
      </c>
      <c r="C272" s="117"/>
      <c r="D272" s="165"/>
      <c r="E272" s="166"/>
      <c r="F272" s="202"/>
      <c r="G272" s="203"/>
      <c r="H272" s="204"/>
      <c r="I272" s="202"/>
      <c r="J272" s="205"/>
      <c r="K272" s="204"/>
      <c r="L272" s="206"/>
      <c r="M272" s="207"/>
    </row>
    <row r="275" spans="1:13" x14ac:dyDescent="0.25">
      <c r="C275" s="100"/>
      <c r="D275" s="101" t="s">
        <v>134</v>
      </c>
      <c r="E275" s="302" t="str">
        <f>D7</f>
        <v>UNMETERED SCATTERED LOAD SERVICE CLASSIFICATION</v>
      </c>
      <c r="F275" s="302"/>
      <c r="G275" s="302"/>
      <c r="H275" s="302"/>
      <c r="I275" s="302"/>
      <c r="J275" s="302"/>
      <c r="K275" s="100" t="str">
        <f>IF(N7="DEMAND - INTERVAL","RTSR - INTERVAL METERED","")</f>
        <v/>
      </c>
    </row>
    <row r="276" spans="1:13" x14ac:dyDescent="0.25">
      <c r="C276" s="100"/>
      <c r="D276" s="101" t="s">
        <v>135</v>
      </c>
      <c r="E276" s="303" t="str">
        <f>H7</f>
        <v>RPP</v>
      </c>
      <c r="F276" s="303"/>
      <c r="G276" s="303"/>
      <c r="H276" s="102"/>
      <c r="I276" s="102"/>
    </row>
    <row r="277" spans="1:13" ht="15.75" x14ac:dyDescent="0.25">
      <c r="C277" s="100"/>
      <c r="D277" s="101" t="s">
        <v>136</v>
      </c>
      <c r="E277" s="103">
        <f>K7</f>
        <v>150</v>
      </c>
      <c r="F277" s="104" t="s">
        <v>137</v>
      </c>
      <c r="G277" s="105"/>
      <c r="J277" s="106"/>
      <c r="K277" s="106"/>
      <c r="L277" s="106"/>
      <c r="M277" s="106"/>
    </row>
    <row r="278" spans="1:13" ht="15.75" x14ac:dyDescent="0.25">
      <c r="C278" s="100"/>
      <c r="D278" s="101" t="s">
        <v>138</v>
      </c>
      <c r="E278" s="103">
        <f>L7</f>
        <v>0</v>
      </c>
      <c r="F278" s="107" t="s">
        <v>139</v>
      </c>
      <c r="G278" s="108"/>
      <c r="H278" s="109"/>
      <c r="I278" s="109"/>
      <c r="J278" s="109"/>
    </row>
    <row r="279" spans="1:13" x14ac:dyDescent="0.25">
      <c r="C279" s="100"/>
      <c r="D279" s="101" t="s">
        <v>140</v>
      </c>
      <c r="E279" s="110">
        <f>I7</f>
        <v>1.056</v>
      </c>
    </row>
    <row r="280" spans="1:13" x14ac:dyDescent="0.25">
      <c r="C280" s="100"/>
      <c r="D280" s="101" t="s">
        <v>141</v>
      </c>
      <c r="E280" s="110">
        <f>J7</f>
        <v>1.056</v>
      </c>
    </row>
    <row r="281" spans="1:13" x14ac:dyDescent="0.25">
      <c r="C281" s="100"/>
      <c r="D281" s="105"/>
    </row>
    <row r="282" spans="1:13" x14ac:dyDescent="0.25">
      <c r="C282" s="100"/>
      <c r="D282" s="105"/>
      <c r="E282" s="111"/>
      <c r="F282" s="304" t="s">
        <v>142</v>
      </c>
      <c r="G282" s="305"/>
      <c r="H282" s="306"/>
      <c r="I282" s="304" t="s">
        <v>143</v>
      </c>
      <c r="J282" s="305"/>
      <c r="K282" s="306"/>
      <c r="L282" s="304" t="s">
        <v>144</v>
      </c>
      <c r="M282" s="306"/>
    </row>
    <row r="283" spans="1:13" x14ac:dyDescent="0.25">
      <c r="C283" s="100"/>
      <c r="D283" s="105"/>
      <c r="E283" s="295"/>
      <c r="F283" s="112" t="s">
        <v>145</v>
      </c>
      <c r="G283" s="112" t="s">
        <v>146</v>
      </c>
      <c r="H283" s="113" t="s">
        <v>147</v>
      </c>
      <c r="I283" s="112" t="s">
        <v>145</v>
      </c>
      <c r="J283" s="114" t="s">
        <v>146</v>
      </c>
      <c r="K283" s="113" t="s">
        <v>147</v>
      </c>
      <c r="L283" s="297" t="s">
        <v>148</v>
      </c>
      <c r="M283" s="299" t="s">
        <v>149</v>
      </c>
    </row>
    <row r="284" spans="1:13" x14ac:dyDescent="0.25">
      <c r="C284" s="100"/>
      <c r="D284" s="105"/>
      <c r="E284" s="296"/>
      <c r="F284" s="115" t="s">
        <v>150</v>
      </c>
      <c r="G284" s="115"/>
      <c r="H284" s="116" t="s">
        <v>150</v>
      </c>
      <c r="I284" s="115" t="s">
        <v>150</v>
      </c>
      <c r="J284" s="116"/>
      <c r="K284" s="116" t="s">
        <v>150</v>
      </c>
      <c r="L284" s="298"/>
      <c r="M284" s="300"/>
    </row>
    <row r="285" spans="1:13" x14ac:dyDescent="0.25">
      <c r="A285" s="100" t="str">
        <f>$E275</f>
        <v>UNMETERED SCATTERED LOAD SERVICE CLASSIFICATION</v>
      </c>
      <c r="C285" s="117"/>
      <c r="D285" s="118" t="s">
        <v>151</v>
      </c>
      <c r="E285" s="119"/>
      <c r="F285" s="120">
        <v>7.97</v>
      </c>
      <c r="G285" s="121">
        <v>1</v>
      </c>
      <c r="H285" s="122">
        <f>G285*F285</f>
        <v>7.97</v>
      </c>
      <c r="I285" s="123">
        <v>8.07</v>
      </c>
      <c r="J285" s="124">
        <v>1</v>
      </c>
      <c r="K285" s="122">
        <f>J285*I285</f>
        <v>8.07</v>
      </c>
      <c r="L285" s="125">
        <f t="shared" ref="L285:L306" si="45">K285-H285</f>
        <v>0.10000000000000053</v>
      </c>
      <c r="M285" s="126">
        <f>IF(ISERROR(L285/H285), "", L285/H285)</f>
        <v>1.2547051442910984E-2</v>
      </c>
    </row>
    <row r="286" spans="1:13" x14ac:dyDescent="0.25">
      <c r="A286" s="100" t="str">
        <f>A285</f>
        <v>UNMETERED SCATTERED LOAD SERVICE CLASSIFICATION</v>
      </c>
      <c r="C286" s="117"/>
      <c r="D286" s="118" t="s">
        <v>152</v>
      </c>
      <c r="E286" s="119"/>
      <c r="F286" s="127">
        <v>5.4000000000000003E-3</v>
      </c>
      <c r="G286" s="121">
        <f>IF($E278&gt;0, $E278, $E277)</f>
        <v>150</v>
      </c>
      <c r="H286" s="122">
        <f t="shared" ref="H286:H298" si="46">G286*F286</f>
        <v>0.81</v>
      </c>
      <c r="I286" s="128">
        <v>5.4999999999999997E-3</v>
      </c>
      <c r="J286" s="124">
        <f>IF($E278&gt;0, $E278, $E277)</f>
        <v>150</v>
      </c>
      <c r="K286" s="122">
        <f>J286*I286</f>
        <v>0.82499999999999996</v>
      </c>
      <c r="L286" s="125">
        <f t="shared" si="45"/>
        <v>1.4999999999999902E-2</v>
      </c>
      <c r="M286" s="126">
        <f t="shared" ref="M286:M296" si="47">IF(ISERROR(L286/H286), "", L286/H286)</f>
        <v>1.8518518518518396E-2</v>
      </c>
    </row>
    <row r="287" spans="1:13" x14ac:dyDescent="0.25">
      <c r="A287" s="100" t="str">
        <f t="shared" ref="A287:A328" si="48">A286</f>
        <v>UNMETERED SCATTERED LOAD SERVICE CLASSIFICATION</v>
      </c>
      <c r="C287" s="117"/>
      <c r="D287" s="118" t="s">
        <v>153</v>
      </c>
      <c r="E287" s="119"/>
      <c r="F287" s="127"/>
      <c r="G287" s="121"/>
      <c r="H287" s="122">
        <v>0</v>
      </c>
      <c r="I287" s="128"/>
      <c r="J287" s="124">
        <f>IF($E278&gt;0, $E278, $E277)</f>
        <v>150</v>
      </c>
      <c r="K287" s="122">
        <v>0</v>
      </c>
      <c r="L287" s="125"/>
      <c r="M287" s="126"/>
    </row>
    <row r="288" spans="1:13" x14ac:dyDescent="0.25">
      <c r="A288" s="100" t="str">
        <f t="shared" si="48"/>
        <v>UNMETERED SCATTERED LOAD SERVICE CLASSIFICATION</v>
      </c>
      <c r="C288" s="117"/>
      <c r="D288" s="118" t="s">
        <v>154</v>
      </c>
      <c r="E288" s="119"/>
      <c r="F288" s="127"/>
      <c r="G288" s="121">
        <f>IF($E278&gt;0, $E278, $E277)</f>
        <v>150</v>
      </c>
      <c r="H288" s="122">
        <v>0</v>
      </c>
      <c r="I288" s="128"/>
      <c r="J288" s="121">
        <f>IF($E278&gt;0, $E278, $E277)</f>
        <v>150</v>
      </c>
      <c r="K288" s="122">
        <v>0</v>
      </c>
      <c r="L288" s="125">
        <f>K288-H288</f>
        <v>0</v>
      </c>
      <c r="M288" s="126" t="str">
        <f>IF(ISERROR(L288/H288), "", L288/H288)</f>
        <v/>
      </c>
    </row>
    <row r="289" spans="1:13" x14ac:dyDescent="0.25">
      <c r="A289" s="100" t="str">
        <f t="shared" si="48"/>
        <v>UNMETERED SCATTERED LOAD SERVICE CLASSIFICATION</v>
      </c>
      <c r="C289" s="117"/>
      <c r="D289" s="129" t="s">
        <v>155</v>
      </c>
      <c r="E289" s="119"/>
      <c r="F289" s="120">
        <v>0</v>
      </c>
      <c r="G289" s="121">
        <v>1</v>
      </c>
      <c r="H289" s="122">
        <f t="shared" si="46"/>
        <v>0</v>
      </c>
      <c r="I289" s="123">
        <v>0</v>
      </c>
      <c r="J289" s="124">
        <f>G289</f>
        <v>1</v>
      </c>
      <c r="K289" s="122">
        <f t="shared" ref="K289:K296" si="49">J289*I289</f>
        <v>0</v>
      </c>
      <c r="L289" s="125">
        <f t="shared" si="45"/>
        <v>0</v>
      </c>
      <c r="M289" s="126" t="str">
        <f t="shared" si="47"/>
        <v/>
      </c>
    </row>
    <row r="290" spans="1:13" x14ac:dyDescent="0.25">
      <c r="A290" s="100" t="str">
        <f t="shared" si="48"/>
        <v>UNMETERED SCATTERED LOAD SERVICE CLASSIFICATION</v>
      </c>
      <c r="C290" s="117"/>
      <c r="D290" s="118" t="s">
        <v>156</v>
      </c>
      <c r="E290" s="119"/>
      <c r="F290" s="127">
        <v>0</v>
      </c>
      <c r="G290" s="121">
        <f>IF($E278&gt;0, $E278, $E277)</f>
        <v>150</v>
      </c>
      <c r="H290" s="122">
        <f t="shared" si="46"/>
        <v>0</v>
      </c>
      <c r="I290" s="128">
        <v>0</v>
      </c>
      <c r="J290" s="124">
        <f>IF($E278&gt;0, $E278, $E277)</f>
        <v>150</v>
      </c>
      <c r="K290" s="122">
        <f t="shared" si="49"/>
        <v>0</v>
      </c>
      <c r="L290" s="125">
        <f t="shared" si="45"/>
        <v>0</v>
      </c>
      <c r="M290" s="126" t="str">
        <f t="shared" si="47"/>
        <v/>
      </c>
    </row>
    <row r="291" spans="1:13" x14ac:dyDescent="0.25">
      <c r="A291" s="100" t="str">
        <f t="shared" si="48"/>
        <v>UNMETERED SCATTERED LOAD SERVICE CLASSIFICATION</v>
      </c>
      <c r="B291" s="130" t="s">
        <v>157</v>
      </c>
      <c r="C291" s="117">
        <f>B7</f>
        <v>5</v>
      </c>
      <c r="D291" s="131" t="s">
        <v>158</v>
      </c>
      <c r="E291" s="132"/>
      <c r="F291" s="133"/>
      <c r="G291" s="134"/>
      <c r="H291" s="135">
        <f>SUM(H285:H290)</f>
        <v>8.7799999999999994</v>
      </c>
      <c r="I291" s="136"/>
      <c r="J291" s="137"/>
      <c r="K291" s="135">
        <f>SUM(K285:K290)</f>
        <v>8.8949999999999996</v>
      </c>
      <c r="L291" s="138">
        <f t="shared" si="45"/>
        <v>0.11500000000000021</v>
      </c>
      <c r="M291" s="139">
        <f>IF((H291)=0,"",(L291/H291))</f>
        <v>1.3097949886104809E-2</v>
      </c>
    </row>
    <row r="292" spans="1:13" x14ac:dyDescent="0.25">
      <c r="A292" s="100" t="str">
        <f t="shared" si="48"/>
        <v>UNMETERED SCATTERED LOAD SERVICE CLASSIFICATION</v>
      </c>
      <c r="C292" s="117"/>
      <c r="D292" s="140" t="s">
        <v>159</v>
      </c>
      <c r="E292" s="119"/>
      <c r="F292" s="127">
        <f>IF((E277*12&gt;=150000), 0, IF(E276="RPP",(F308*0.65+F309*0.17+F310*0.18),IF(E276="Non-RPP (Retailer)",F311,F312)))</f>
        <v>8.1990000000000007E-2</v>
      </c>
      <c r="G292" s="141">
        <f>IF(F292=0, 0, $E277*E279-E277)</f>
        <v>8.4000000000000057</v>
      </c>
      <c r="H292" s="122">
        <f>G292*F292</f>
        <v>0.68871600000000055</v>
      </c>
      <c r="I292" s="128">
        <f>IF((E277*12&gt;=150000), 0, IF(E276="RPP",(I308*0.65+I309*0.17+I310*0.18),IF(E276="Non-RPP (Retailer)",I311,I312)))</f>
        <v>8.1990000000000007E-2</v>
      </c>
      <c r="J292" s="141">
        <f>IF(I292=0, 0, E277*E280-E277)</f>
        <v>8.4000000000000057</v>
      </c>
      <c r="K292" s="122">
        <f>J292*I292</f>
        <v>0.68871600000000055</v>
      </c>
      <c r="L292" s="125">
        <f>K292-H292</f>
        <v>0</v>
      </c>
      <c r="M292" s="126">
        <f>IF(ISERROR(L292/H292), "", L292/H292)</f>
        <v>0</v>
      </c>
    </row>
    <row r="293" spans="1:13" ht="25.5" x14ac:dyDescent="0.25">
      <c r="A293" s="100" t="str">
        <f t="shared" si="48"/>
        <v>UNMETERED SCATTERED LOAD SERVICE CLASSIFICATION</v>
      </c>
      <c r="C293" s="117"/>
      <c r="D293" s="140" t="s">
        <v>160</v>
      </c>
      <c r="E293" s="119"/>
      <c r="F293" s="127">
        <v>-1.1999999999999999E-3</v>
      </c>
      <c r="G293" s="142">
        <f>IF($E278&gt;0, $E278, $E277)</f>
        <v>150</v>
      </c>
      <c r="H293" s="122">
        <f t="shared" si="46"/>
        <v>-0.18</v>
      </c>
      <c r="I293" s="128">
        <v>-5.3E-3</v>
      </c>
      <c r="J293" s="142">
        <f>IF($E278&gt;0, $E278, $E277)</f>
        <v>150</v>
      </c>
      <c r="K293" s="122">
        <f t="shared" si="49"/>
        <v>-0.79500000000000004</v>
      </c>
      <c r="L293" s="125">
        <f t="shared" si="45"/>
        <v>-0.61499999999999999</v>
      </c>
      <c r="M293" s="126">
        <f t="shared" si="47"/>
        <v>3.416666666666667</v>
      </c>
    </row>
    <row r="294" spans="1:13" x14ac:dyDescent="0.25">
      <c r="A294" s="100" t="str">
        <f t="shared" si="48"/>
        <v>UNMETERED SCATTERED LOAD SERVICE CLASSIFICATION</v>
      </c>
      <c r="C294" s="117"/>
      <c r="D294" s="140" t="s">
        <v>161</v>
      </c>
      <c r="E294" s="119"/>
      <c r="F294" s="127">
        <v>-1E-4</v>
      </c>
      <c r="G294" s="142">
        <f>IF($E278&gt;0, $E278, $E277)</f>
        <v>150</v>
      </c>
      <c r="H294" s="122">
        <f>G294*F294</f>
        <v>-1.5000000000000001E-2</v>
      </c>
      <c r="I294" s="128">
        <v>0</v>
      </c>
      <c r="J294" s="142">
        <f>IF($E278&gt;0, $E278, $E277)</f>
        <v>150</v>
      </c>
      <c r="K294" s="122">
        <f>J294*I294</f>
        <v>0</v>
      </c>
      <c r="L294" s="125">
        <f t="shared" si="45"/>
        <v>1.5000000000000001E-2</v>
      </c>
      <c r="M294" s="126">
        <f t="shared" si="47"/>
        <v>-1</v>
      </c>
    </row>
    <row r="295" spans="1:13" x14ac:dyDescent="0.25">
      <c r="A295" s="100" t="str">
        <f t="shared" si="48"/>
        <v>UNMETERED SCATTERED LOAD SERVICE CLASSIFICATION</v>
      </c>
      <c r="C295" s="117"/>
      <c r="D295" s="140" t="s">
        <v>162</v>
      </c>
      <c r="E295" s="119"/>
      <c r="F295" s="127">
        <v>0</v>
      </c>
      <c r="G295" s="142">
        <f>E277</f>
        <v>150</v>
      </c>
      <c r="H295" s="122">
        <f>G295*F295</f>
        <v>0</v>
      </c>
      <c r="I295" s="128">
        <v>0</v>
      </c>
      <c r="J295" s="142">
        <f>E277</f>
        <v>150</v>
      </c>
      <c r="K295" s="122">
        <f t="shared" si="49"/>
        <v>0</v>
      </c>
      <c r="L295" s="125">
        <f t="shared" si="45"/>
        <v>0</v>
      </c>
      <c r="M295" s="126" t="str">
        <f t="shared" si="47"/>
        <v/>
      </c>
    </row>
    <row r="296" spans="1:13" x14ac:dyDescent="0.25">
      <c r="A296" s="100" t="str">
        <f t="shared" si="48"/>
        <v>UNMETERED SCATTERED LOAD SERVICE CLASSIFICATION</v>
      </c>
      <c r="C296" s="117"/>
      <c r="D296" s="143" t="s">
        <v>163</v>
      </c>
      <c r="E296" s="119"/>
      <c r="F296" s="127">
        <v>2.3999999999999998E-3</v>
      </c>
      <c r="G296" s="142">
        <f>IF($E278&gt;0, $E278, $E277)</f>
        <v>150</v>
      </c>
      <c r="H296" s="122">
        <f t="shared" si="46"/>
        <v>0.36</v>
      </c>
      <c r="I296" s="128">
        <v>2.3999999999999998E-3</v>
      </c>
      <c r="J296" s="142">
        <f>IF($E278&gt;0, $E278, $E277)</f>
        <v>150</v>
      </c>
      <c r="K296" s="122">
        <f t="shared" si="49"/>
        <v>0.36</v>
      </c>
      <c r="L296" s="125">
        <f t="shared" si="45"/>
        <v>0</v>
      </c>
      <c r="M296" s="126">
        <f t="shared" si="47"/>
        <v>0</v>
      </c>
    </row>
    <row r="297" spans="1:13" ht="25.5" x14ac:dyDescent="0.25">
      <c r="A297" s="100" t="str">
        <f t="shared" si="48"/>
        <v>UNMETERED SCATTERED LOAD SERVICE CLASSIFICATION</v>
      </c>
      <c r="C297" s="117"/>
      <c r="D297" s="144" t="s">
        <v>164</v>
      </c>
      <c r="E297" s="119"/>
      <c r="F297" s="145">
        <f>IF(OR(ISNUMBER(SEARCH("RESIDENTIAL", E275))=TRUE, ISNUMBER(SEARCH("GENERAL SERVICE LESS THAN 50", E275))=TRUE), SME, 0)</f>
        <v>0</v>
      </c>
      <c r="G297" s="121">
        <v>1</v>
      </c>
      <c r="H297" s="122">
        <f>G297*F297</f>
        <v>0</v>
      </c>
      <c r="I297" s="146">
        <f>IF(OR(ISNUMBER(SEARCH("RESIDENTIAL", E275))=TRUE, ISNUMBER(SEARCH("GENERAL SERVICE LESS THAN 50", E275))=TRUE), SME, 0)</f>
        <v>0</v>
      </c>
      <c r="J297" s="121">
        <v>1</v>
      </c>
      <c r="K297" s="122">
        <f>J297*I297</f>
        <v>0</v>
      </c>
      <c r="L297" s="125">
        <f t="shared" si="45"/>
        <v>0</v>
      </c>
      <c r="M297" s="126" t="str">
        <f>IF(ISERROR(L297/H297), "", L297/H297)</f>
        <v/>
      </c>
    </row>
    <row r="298" spans="1:13" x14ac:dyDescent="0.25">
      <c r="A298" s="100" t="str">
        <f t="shared" si="48"/>
        <v>UNMETERED SCATTERED LOAD SERVICE CLASSIFICATION</v>
      </c>
      <c r="C298" s="117"/>
      <c r="D298" s="143" t="s">
        <v>165</v>
      </c>
      <c r="E298" s="119"/>
      <c r="F298" s="120">
        <v>0</v>
      </c>
      <c r="G298" s="121">
        <v>1</v>
      </c>
      <c r="H298" s="122">
        <f t="shared" si="46"/>
        <v>0</v>
      </c>
      <c r="I298" s="123">
        <v>0</v>
      </c>
      <c r="J298" s="121">
        <v>1</v>
      </c>
      <c r="K298" s="122">
        <f>J298*I298</f>
        <v>0</v>
      </c>
      <c r="L298" s="125">
        <f>K298-H298</f>
        <v>0</v>
      </c>
      <c r="M298" s="126" t="str">
        <f>IF(ISERROR(L298/H298), "", L298/H298)</f>
        <v/>
      </c>
    </row>
    <row r="299" spans="1:13" x14ac:dyDescent="0.25">
      <c r="A299" s="100" t="str">
        <f t="shared" si="48"/>
        <v>UNMETERED SCATTERED LOAD SERVICE CLASSIFICATION</v>
      </c>
      <c r="C299" s="117"/>
      <c r="D299" s="143" t="s">
        <v>166</v>
      </c>
      <c r="E299" s="119"/>
      <c r="F299" s="127"/>
      <c r="G299" s="142">
        <f>IF($E278&gt;0, $E278, $E277)</f>
        <v>150</v>
      </c>
      <c r="H299" s="122">
        <f>G299*F299</f>
        <v>0</v>
      </c>
      <c r="I299" s="128">
        <v>0</v>
      </c>
      <c r="J299" s="142">
        <f>IF($E278&gt;0, $E278, $E277)</f>
        <v>150</v>
      </c>
      <c r="K299" s="122">
        <f>J299*I299</f>
        <v>0</v>
      </c>
      <c r="L299" s="125">
        <f t="shared" si="45"/>
        <v>0</v>
      </c>
      <c r="M299" s="126" t="str">
        <f>IF(ISERROR(L299/H299), "", L299/H299)</f>
        <v/>
      </c>
    </row>
    <row r="300" spans="1:13" ht="25.5" x14ac:dyDescent="0.25">
      <c r="A300" s="100" t="str">
        <f t="shared" si="48"/>
        <v>UNMETERED SCATTERED LOAD SERVICE CLASSIFICATION</v>
      </c>
      <c r="B300" s="105" t="s">
        <v>167</v>
      </c>
      <c r="C300" s="117">
        <f>B7</f>
        <v>5</v>
      </c>
      <c r="D300" s="147" t="s">
        <v>168</v>
      </c>
      <c r="E300" s="148"/>
      <c r="F300" s="149"/>
      <c r="G300" s="150"/>
      <c r="H300" s="151">
        <f>SUM(H291:H299)</f>
        <v>9.6337159999999997</v>
      </c>
      <c r="I300" s="152"/>
      <c r="J300" s="153"/>
      <c r="K300" s="151">
        <f>SUM(K291:K299)</f>
        <v>9.1487160000000003</v>
      </c>
      <c r="L300" s="138">
        <f t="shared" si="45"/>
        <v>-0.48499999999999943</v>
      </c>
      <c r="M300" s="139">
        <f>IF((H300)=0,"",(L300/H300))</f>
        <v>-5.0344020936469315E-2</v>
      </c>
    </row>
    <row r="301" spans="1:13" x14ac:dyDescent="0.25">
      <c r="A301" s="100" t="str">
        <f t="shared" si="48"/>
        <v>UNMETERED SCATTERED LOAD SERVICE CLASSIFICATION</v>
      </c>
      <c r="C301" s="117"/>
      <c r="D301" s="154" t="s">
        <v>169</v>
      </c>
      <c r="E301" s="119"/>
      <c r="F301" s="127">
        <v>6.0000000000000001E-3</v>
      </c>
      <c r="G301" s="141">
        <f>IF($E278&gt;0, $E278, $E277*$E279)</f>
        <v>158.4</v>
      </c>
      <c r="H301" s="122">
        <f>G301*F301</f>
        <v>0.95040000000000002</v>
      </c>
      <c r="I301" s="128">
        <v>5.7000000000000002E-3</v>
      </c>
      <c r="J301" s="141">
        <f>IF($E278&gt;0, $E278, $E277*$E280)</f>
        <v>158.4</v>
      </c>
      <c r="K301" s="122">
        <f>J301*I301</f>
        <v>0.90288000000000002</v>
      </c>
      <c r="L301" s="125">
        <f t="shared" si="45"/>
        <v>-4.7520000000000007E-2</v>
      </c>
      <c r="M301" s="126">
        <f>IF(ISERROR(L301/H301), "", L301/H301)</f>
        <v>-0.05</v>
      </c>
    </row>
    <row r="302" spans="1:13" ht="25.5" x14ac:dyDescent="0.25">
      <c r="A302" s="100" t="str">
        <f t="shared" si="48"/>
        <v>UNMETERED SCATTERED LOAD SERVICE CLASSIFICATION</v>
      </c>
      <c r="C302" s="117"/>
      <c r="D302" s="155" t="s">
        <v>170</v>
      </c>
      <c r="E302" s="119"/>
      <c r="F302" s="127">
        <v>5.3E-3</v>
      </c>
      <c r="G302" s="141">
        <f>IF($E278&gt;0, $E278, $E277*$E279)</f>
        <v>158.4</v>
      </c>
      <c r="H302" s="122">
        <f>G302*F302</f>
        <v>0.83952000000000004</v>
      </c>
      <c r="I302" s="128">
        <v>5.0000000000000001E-3</v>
      </c>
      <c r="J302" s="141">
        <f>IF($E278&gt;0, $E278, $E277*$E280)</f>
        <v>158.4</v>
      </c>
      <c r="K302" s="122">
        <f>J302*I302</f>
        <v>0.79200000000000004</v>
      </c>
      <c r="L302" s="125">
        <f t="shared" si="45"/>
        <v>-4.7520000000000007E-2</v>
      </c>
      <c r="M302" s="126">
        <f>IF(ISERROR(L302/H302), "", L302/H302)</f>
        <v>-5.6603773584905669E-2</v>
      </c>
    </row>
    <row r="303" spans="1:13" ht="25.5" x14ac:dyDescent="0.25">
      <c r="A303" s="100" t="str">
        <f t="shared" si="48"/>
        <v>UNMETERED SCATTERED LOAD SERVICE CLASSIFICATION</v>
      </c>
      <c r="B303" s="105" t="s">
        <v>171</v>
      </c>
      <c r="C303" s="117">
        <f>B7</f>
        <v>5</v>
      </c>
      <c r="D303" s="147" t="s">
        <v>172</v>
      </c>
      <c r="E303" s="132"/>
      <c r="F303" s="149"/>
      <c r="G303" s="150"/>
      <c r="H303" s="151">
        <f>SUM(H300:H302)</f>
        <v>11.423636</v>
      </c>
      <c r="I303" s="152"/>
      <c r="J303" s="137"/>
      <c r="K303" s="151">
        <f>SUM(K300:K302)</f>
        <v>10.843596</v>
      </c>
      <c r="L303" s="138">
        <f t="shared" si="45"/>
        <v>-0.58004000000000033</v>
      </c>
      <c r="M303" s="139">
        <f>IF((H303)=0,"",(L303/H303))</f>
        <v>-5.0775427368309034E-2</v>
      </c>
    </row>
    <row r="304" spans="1:13" ht="25.5" x14ac:dyDescent="0.25">
      <c r="A304" s="100" t="str">
        <f t="shared" si="48"/>
        <v>UNMETERED SCATTERED LOAD SERVICE CLASSIFICATION</v>
      </c>
      <c r="C304" s="117"/>
      <c r="D304" s="156" t="s">
        <v>173</v>
      </c>
      <c r="E304" s="119"/>
      <c r="F304" s="127">
        <v>3.6000000000000003E-3</v>
      </c>
      <c r="G304" s="141">
        <f>E277*E279</f>
        <v>158.4</v>
      </c>
      <c r="H304" s="157">
        <f t="shared" ref="H304:H310" si="50">G304*F304</f>
        <v>0.57024000000000008</v>
      </c>
      <c r="I304" s="128">
        <v>3.6000000000000003E-3</v>
      </c>
      <c r="J304" s="141">
        <f>E277*E280</f>
        <v>158.4</v>
      </c>
      <c r="K304" s="157">
        <f t="shared" ref="K304:K310" si="51">J304*I304</f>
        <v>0.57024000000000008</v>
      </c>
      <c r="L304" s="125">
        <f t="shared" si="45"/>
        <v>0</v>
      </c>
      <c r="M304" s="126">
        <f t="shared" ref="M304:M312" si="52">IF(ISERROR(L304/H304), "", L304/H304)</f>
        <v>0</v>
      </c>
    </row>
    <row r="305" spans="1:13" ht="25.5" x14ac:dyDescent="0.25">
      <c r="A305" s="100" t="str">
        <f t="shared" si="48"/>
        <v>UNMETERED SCATTERED LOAD SERVICE CLASSIFICATION</v>
      </c>
      <c r="C305" s="117"/>
      <c r="D305" s="156" t="s">
        <v>174</v>
      </c>
      <c r="E305" s="119"/>
      <c r="F305" s="127">
        <f>'[1]17. Regulatory Charges'!$D$16</f>
        <v>2.9999999999999997E-4</v>
      </c>
      <c r="G305" s="141">
        <f>E277*E279</f>
        <v>158.4</v>
      </c>
      <c r="H305" s="157">
        <f t="shared" si="50"/>
        <v>4.752E-2</v>
      </c>
      <c r="I305" s="128">
        <v>2.9999999999999997E-4</v>
      </c>
      <c r="J305" s="141">
        <f>E277*E280</f>
        <v>158.4</v>
      </c>
      <c r="K305" s="157">
        <f t="shared" si="51"/>
        <v>4.752E-2</v>
      </c>
      <c r="L305" s="125">
        <f t="shared" si="45"/>
        <v>0</v>
      </c>
      <c r="M305" s="126">
        <f t="shared" si="52"/>
        <v>0</v>
      </c>
    </row>
    <row r="306" spans="1:13" x14ac:dyDescent="0.25">
      <c r="A306" s="100" t="str">
        <f t="shared" si="48"/>
        <v>UNMETERED SCATTERED LOAD SERVICE CLASSIFICATION</v>
      </c>
      <c r="C306" s="117"/>
      <c r="D306" s="158" t="s">
        <v>175</v>
      </c>
      <c r="E306" s="119"/>
      <c r="F306" s="145">
        <v>0.25</v>
      </c>
      <c r="G306" s="121">
        <v>1</v>
      </c>
      <c r="H306" s="157">
        <f t="shared" si="50"/>
        <v>0.25</v>
      </c>
      <c r="I306" s="146">
        <f>'[1]17. Regulatory Charges'!$D$17</f>
        <v>0.25</v>
      </c>
      <c r="J306" s="124">
        <v>1</v>
      </c>
      <c r="K306" s="157">
        <f t="shared" si="51"/>
        <v>0.25</v>
      </c>
      <c r="L306" s="125">
        <f t="shared" si="45"/>
        <v>0</v>
      </c>
      <c r="M306" s="126">
        <f t="shared" si="52"/>
        <v>0</v>
      </c>
    </row>
    <row r="307" spans="1:13" ht="25.5" x14ac:dyDescent="0.25">
      <c r="A307" s="100" t="str">
        <f t="shared" si="48"/>
        <v>UNMETERED SCATTERED LOAD SERVICE CLASSIFICATION</v>
      </c>
      <c r="C307" s="117"/>
      <c r="D307" s="156" t="s">
        <v>176</v>
      </c>
      <c r="E307" s="119"/>
      <c r="F307" s="127"/>
      <c r="G307" s="141"/>
      <c r="H307" s="157"/>
      <c r="I307" s="128"/>
      <c r="J307" s="141"/>
      <c r="K307" s="157"/>
      <c r="L307" s="125"/>
      <c r="M307" s="126"/>
    </row>
    <row r="308" spans="1:13" x14ac:dyDescent="0.25">
      <c r="A308" s="100" t="str">
        <f t="shared" si="48"/>
        <v>UNMETERED SCATTERED LOAD SERVICE CLASSIFICATION</v>
      </c>
      <c r="B308" s="105" t="s">
        <v>117</v>
      </c>
      <c r="C308" s="117"/>
      <c r="D308" s="159" t="s">
        <v>177</v>
      </c>
      <c r="E308" s="119"/>
      <c r="F308" s="160">
        <f>OffPeak</f>
        <v>6.5000000000000002E-2</v>
      </c>
      <c r="G308" s="161">
        <f>IF(AND(E277*12&gt;=150000),0.65*E277*E279,0.65*E277)</f>
        <v>97.5</v>
      </c>
      <c r="H308" s="157">
        <f t="shared" si="50"/>
        <v>6.3375000000000004</v>
      </c>
      <c r="I308" s="162">
        <f>OffPeak</f>
        <v>6.5000000000000002E-2</v>
      </c>
      <c r="J308" s="161">
        <f>IF(AND(E277*12&gt;=150000),0.65*E277*E280,0.65*E277)</f>
        <v>97.5</v>
      </c>
      <c r="K308" s="157">
        <f t="shared" si="51"/>
        <v>6.3375000000000004</v>
      </c>
      <c r="L308" s="125">
        <f>K308-H308</f>
        <v>0</v>
      </c>
      <c r="M308" s="126">
        <f t="shared" si="52"/>
        <v>0</v>
      </c>
    </row>
    <row r="309" spans="1:13" x14ac:dyDescent="0.25">
      <c r="A309" s="100" t="str">
        <f t="shared" si="48"/>
        <v>UNMETERED SCATTERED LOAD SERVICE CLASSIFICATION</v>
      </c>
      <c r="B309" s="105" t="s">
        <v>117</v>
      </c>
      <c r="C309" s="117"/>
      <c r="D309" s="159" t="s">
        <v>178</v>
      </c>
      <c r="E309" s="119"/>
      <c r="F309" s="160">
        <f>MidPeak</f>
        <v>9.4E-2</v>
      </c>
      <c r="G309" s="161">
        <f>IF(AND(E277*12&gt;=150000),0.17*E277*E279,0.17*E277)</f>
        <v>25.500000000000004</v>
      </c>
      <c r="H309" s="157">
        <f t="shared" si="50"/>
        <v>2.3970000000000002</v>
      </c>
      <c r="I309" s="162">
        <f>MidPeak</f>
        <v>9.4E-2</v>
      </c>
      <c r="J309" s="161">
        <f>IF(AND(E277*12&gt;=150000),0.17*E277*E280,0.17*E277)</f>
        <v>25.500000000000004</v>
      </c>
      <c r="K309" s="157">
        <f t="shared" si="51"/>
        <v>2.3970000000000002</v>
      </c>
      <c r="L309" s="125">
        <f>K309-H309</f>
        <v>0</v>
      </c>
      <c r="M309" s="126">
        <f t="shared" si="52"/>
        <v>0</v>
      </c>
    </row>
    <row r="310" spans="1:13" ht="15.75" thickBot="1" x14ac:dyDescent="0.3">
      <c r="A310" s="100" t="str">
        <f t="shared" si="48"/>
        <v>UNMETERED SCATTERED LOAD SERVICE CLASSIFICATION</v>
      </c>
      <c r="B310" s="105" t="s">
        <v>117</v>
      </c>
      <c r="C310" s="117"/>
      <c r="D310" s="105" t="s">
        <v>179</v>
      </c>
      <c r="E310" s="119"/>
      <c r="F310" s="160">
        <f>OnPeak</f>
        <v>0.13200000000000001</v>
      </c>
      <c r="G310" s="161">
        <f>IF(AND(E277*12&gt;=150000),0.18*E277*E279,0.18*E277)</f>
        <v>27</v>
      </c>
      <c r="H310" s="157">
        <f t="shared" si="50"/>
        <v>3.5640000000000001</v>
      </c>
      <c r="I310" s="162">
        <f>OnPeak</f>
        <v>0.13200000000000001</v>
      </c>
      <c r="J310" s="161">
        <f>IF(AND(E277*12&gt;=150000),0.18*E277*E280,0.18*E277)</f>
        <v>27</v>
      </c>
      <c r="K310" s="157">
        <f t="shared" si="51"/>
        <v>3.5640000000000001</v>
      </c>
      <c r="L310" s="125">
        <f>K310-H310</f>
        <v>0</v>
      </c>
      <c r="M310" s="126">
        <f t="shared" si="52"/>
        <v>0</v>
      </c>
    </row>
    <row r="311" spans="1:13" ht="15.75" hidden="1" thickBot="1" x14ac:dyDescent="0.3">
      <c r="A311" s="100" t="str">
        <f t="shared" si="48"/>
        <v>UNMETERED SCATTERED LOAD SERVICE CLASSIFICATION</v>
      </c>
      <c r="B311" s="100" t="s">
        <v>180</v>
      </c>
      <c r="C311" s="117"/>
      <c r="D311" s="159" t="s">
        <v>181</v>
      </c>
      <c r="E311" s="119"/>
      <c r="F311" s="163">
        <v>0.1101</v>
      </c>
      <c r="G311" s="161">
        <f>IF(AND(E277*12&gt;=150000),E277*E279,E277)</f>
        <v>150</v>
      </c>
      <c r="H311" s="157">
        <f>G311*F311</f>
        <v>16.515000000000001</v>
      </c>
      <c r="I311" s="164">
        <f>F311</f>
        <v>0.1101</v>
      </c>
      <c r="J311" s="161">
        <f>IF(AND(E277*12&gt;=150000),E277*E280,E277)</f>
        <v>150</v>
      </c>
      <c r="K311" s="157">
        <f>J311*I311</f>
        <v>16.515000000000001</v>
      </c>
      <c r="L311" s="125">
        <f>K311-H311</f>
        <v>0</v>
      </c>
      <c r="M311" s="126">
        <f t="shared" si="52"/>
        <v>0</v>
      </c>
    </row>
    <row r="312" spans="1:13" ht="15.75" hidden="1" thickBot="1" x14ac:dyDescent="0.3">
      <c r="A312" s="100" t="str">
        <f t="shared" si="48"/>
        <v>UNMETERED SCATTERED LOAD SERVICE CLASSIFICATION</v>
      </c>
      <c r="B312" s="100" t="s">
        <v>121</v>
      </c>
      <c r="C312" s="117"/>
      <c r="D312" s="159" t="s">
        <v>182</v>
      </c>
      <c r="E312" s="119"/>
      <c r="F312" s="163">
        <v>0.1101</v>
      </c>
      <c r="G312" s="161">
        <f>IF(AND(E277*12&gt;=150000),E277*E279,E277)</f>
        <v>150</v>
      </c>
      <c r="H312" s="157">
        <f>G312*F312</f>
        <v>16.515000000000001</v>
      </c>
      <c r="I312" s="164">
        <f>F312</f>
        <v>0.1101</v>
      </c>
      <c r="J312" s="161">
        <f>IF(AND(E277*12&gt;=150000),E277*E280,E277)</f>
        <v>150</v>
      </c>
      <c r="K312" s="157">
        <f>J312*I312</f>
        <v>16.515000000000001</v>
      </c>
      <c r="L312" s="125">
        <f>K312-H312</f>
        <v>0</v>
      </c>
      <c r="M312" s="126">
        <f t="shared" si="52"/>
        <v>0</v>
      </c>
    </row>
    <row r="313" spans="1:13" ht="15.75" thickBot="1" x14ac:dyDescent="0.3">
      <c r="A313" s="100" t="str">
        <f t="shared" si="48"/>
        <v>UNMETERED SCATTERED LOAD SERVICE CLASSIFICATION</v>
      </c>
      <c r="B313" s="105"/>
      <c r="C313" s="117"/>
      <c r="D313" s="165"/>
      <c r="E313" s="166"/>
      <c r="F313" s="167"/>
      <c r="G313" s="168"/>
      <c r="H313" s="169"/>
      <c r="I313" s="167"/>
      <c r="J313" s="170"/>
      <c r="K313" s="169"/>
      <c r="L313" s="171"/>
      <c r="M313" s="172"/>
    </row>
    <row r="314" spans="1:13" x14ac:dyDescent="0.25">
      <c r="A314" s="100" t="str">
        <f t="shared" si="48"/>
        <v>UNMETERED SCATTERED LOAD SERVICE CLASSIFICATION</v>
      </c>
      <c r="B314" s="105" t="s">
        <v>117</v>
      </c>
      <c r="C314" s="117"/>
      <c r="D314" s="173" t="s">
        <v>183</v>
      </c>
      <c r="E314" s="158"/>
      <c r="F314" s="174"/>
      <c r="G314" s="175"/>
      <c r="H314" s="176">
        <f>SUM(H304:H310,H303)</f>
        <v>24.589896000000003</v>
      </c>
      <c r="I314" s="177"/>
      <c r="J314" s="177"/>
      <c r="K314" s="176">
        <f>SUM(K304:K310,K303)</f>
        <v>24.009855999999999</v>
      </c>
      <c r="L314" s="178">
        <f>K314-H314</f>
        <v>-0.58004000000000389</v>
      </c>
      <c r="M314" s="179">
        <f>IF((H314)=0,"",(L314/H314))</f>
        <v>-2.3588550354178148E-2</v>
      </c>
    </row>
    <row r="315" spans="1:13" x14ac:dyDescent="0.25">
      <c r="A315" s="100" t="str">
        <f t="shared" si="48"/>
        <v>UNMETERED SCATTERED LOAD SERVICE CLASSIFICATION</v>
      </c>
      <c r="B315" s="105" t="s">
        <v>117</v>
      </c>
      <c r="C315" s="117"/>
      <c r="D315" s="180" t="s">
        <v>184</v>
      </c>
      <c r="E315" s="158"/>
      <c r="F315" s="174">
        <v>0.13</v>
      </c>
      <c r="G315" s="181"/>
      <c r="H315" s="182">
        <f>H314*F315</f>
        <v>3.1966864800000003</v>
      </c>
      <c r="I315" s="183">
        <v>0.13</v>
      </c>
      <c r="J315" s="121"/>
      <c r="K315" s="182">
        <f>K314*I315</f>
        <v>3.1212812799999998</v>
      </c>
      <c r="L315" s="184">
        <f>K315-H315</f>
        <v>-7.5405200000000505E-2</v>
      </c>
      <c r="M315" s="185">
        <f>IF((H315)=0,"",(L315/H315))</f>
        <v>-2.3588550354178148E-2</v>
      </c>
    </row>
    <row r="316" spans="1:13" x14ac:dyDescent="0.25">
      <c r="A316" s="100" t="str">
        <f t="shared" si="48"/>
        <v>UNMETERED SCATTERED LOAD SERVICE CLASSIFICATION</v>
      </c>
      <c r="B316" s="105" t="s">
        <v>117</v>
      </c>
      <c r="C316" s="117"/>
      <c r="D316" s="180" t="s">
        <v>185</v>
      </c>
      <c r="E316" s="158"/>
      <c r="F316" s="174">
        <v>0.08</v>
      </c>
      <c r="G316" s="181"/>
      <c r="H316" s="182">
        <v>0</v>
      </c>
      <c r="I316" s="174">
        <v>0.08</v>
      </c>
      <c r="J316" s="121"/>
      <c r="K316" s="182">
        <v>0</v>
      </c>
      <c r="L316" s="184">
        <f>K316-H316</f>
        <v>0</v>
      </c>
      <c r="M316" s="185"/>
    </row>
    <row r="317" spans="1:13" ht="15.75" thickBot="1" x14ac:dyDescent="0.3">
      <c r="A317" s="100" t="str">
        <f t="shared" si="48"/>
        <v>UNMETERED SCATTERED LOAD SERVICE CLASSIFICATION</v>
      </c>
      <c r="B317" s="105" t="s">
        <v>186</v>
      </c>
      <c r="C317" s="117">
        <f>B7</f>
        <v>5</v>
      </c>
      <c r="D317" s="301" t="s">
        <v>187</v>
      </c>
      <c r="E317" s="301"/>
      <c r="F317" s="186"/>
      <c r="G317" s="187"/>
      <c r="H317" s="188">
        <f>H314+H315+H316</f>
        <v>27.786582480000003</v>
      </c>
      <c r="I317" s="189"/>
      <c r="J317" s="189"/>
      <c r="K317" s="190">
        <f>K314+K315+K316</f>
        <v>27.131137279999997</v>
      </c>
      <c r="L317" s="191">
        <f>K317-H317</f>
        <v>-0.65544520000000617</v>
      </c>
      <c r="M317" s="192">
        <f>IF((H317)=0,"",(L317/H317))</f>
        <v>-2.3588550354178211E-2</v>
      </c>
    </row>
    <row r="318" spans="1:13" ht="15.75" thickBot="1" x14ac:dyDescent="0.3">
      <c r="A318" s="100" t="str">
        <f t="shared" si="48"/>
        <v>UNMETERED SCATTERED LOAD SERVICE CLASSIFICATION</v>
      </c>
      <c r="B318" s="100" t="s">
        <v>117</v>
      </c>
      <c r="C318" s="117"/>
      <c r="D318" s="165"/>
      <c r="E318" s="166"/>
      <c r="F318" s="167"/>
      <c r="G318" s="168"/>
      <c r="H318" s="169"/>
      <c r="I318" s="167"/>
      <c r="J318" s="170"/>
      <c r="K318" s="169"/>
      <c r="L318" s="171"/>
      <c r="M318" s="172"/>
    </row>
    <row r="319" spans="1:13" hidden="1" x14ac:dyDescent="0.25">
      <c r="A319" s="100" t="str">
        <f t="shared" si="48"/>
        <v>UNMETERED SCATTERED LOAD SERVICE CLASSIFICATION</v>
      </c>
      <c r="B319" s="100" t="s">
        <v>180</v>
      </c>
      <c r="C319" s="117"/>
      <c r="D319" s="173" t="s">
        <v>188</v>
      </c>
      <c r="E319" s="158"/>
      <c r="F319" s="174"/>
      <c r="G319" s="175"/>
      <c r="H319" s="176">
        <f>SUM(H311,H304:H307,H303)</f>
        <v>28.806395999999999</v>
      </c>
      <c r="I319" s="177"/>
      <c r="J319" s="177"/>
      <c r="K319" s="176">
        <f>SUM(K311,K304:K307,K303)</f>
        <v>28.226355999999996</v>
      </c>
      <c r="L319" s="178">
        <f>K319-H319</f>
        <v>-0.58004000000000389</v>
      </c>
      <c r="M319" s="179">
        <f>IF((H319)=0,"",(L319/H319))</f>
        <v>-2.0135805950872991E-2</v>
      </c>
    </row>
    <row r="320" spans="1:13" hidden="1" x14ac:dyDescent="0.25">
      <c r="A320" s="100" t="str">
        <f t="shared" si="48"/>
        <v>UNMETERED SCATTERED LOAD SERVICE CLASSIFICATION</v>
      </c>
      <c r="B320" s="100" t="s">
        <v>180</v>
      </c>
      <c r="C320" s="117"/>
      <c r="D320" s="180" t="s">
        <v>184</v>
      </c>
      <c r="E320" s="158"/>
      <c r="F320" s="174">
        <v>0.13</v>
      </c>
      <c r="G320" s="175"/>
      <c r="H320" s="182">
        <f>H319*F320</f>
        <v>3.7448314800000002</v>
      </c>
      <c r="I320" s="174">
        <v>0.13</v>
      </c>
      <c r="J320" s="183"/>
      <c r="K320" s="182">
        <f>K319*I320</f>
        <v>3.6694262799999997</v>
      </c>
      <c r="L320" s="184">
        <f>K320-H320</f>
        <v>-7.5405200000000505E-2</v>
      </c>
      <c r="M320" s="185">
        <f>IF((H320)=0,"",(L320/H320))</f>
        <v>-2.0135805950872988E-2</v>
      </c>
    </row>
    <row r="321" spans="1:13" hidden="1" x14ac:dyDescent="0.25">
      <c r="A321" s="100" t="str">
        <f t="shared" si="48"/>
        <v>UNMETERED SCATTERED LOAD SERVICE CLASSIFICATION</v>
      </c>
      <c r="B321" s="100" t="s">
        <v>180</v>
      </c>
      <c r="C321" s="117"/>
      <c r="D321" s="180" t="s">
        <v>185</v>
      </c>
      <c r="E321" s="158"/>
      <c r="F321" s="174">
        <v>0.08</v>
      </c>
      <c r="G321" s="175"/>
      <c r="H321" s="182">
        <v>0</v>
      </c>
      <c r="I321" s="174">
        <v>0.08</v>
      </c>
      <c r="J321" s="183"/>
      <c r="K321" s="182">
        <v>0</v>
      </c>
      <c r="L321" s="184"/>
      <c r="M321" s="185"/>
    </row>
    <row r="322" spans="1:13" hidden="1" x14ac:dyDescent="0.25">
      <c r="A322" s="100" t="str">
        <f t="shared" si="48"/>
        <v>UNMETERED SCATTERED LOAD SERVICE CLASSIFICATION</v>
      </c>
      <c r="B322" s="100" t="s">
        <v>189</v>
      </c>
      <c r="C322" s="117"/>
      <c r="D322" s="301" t="s">
        <v>188</v>
      </c>
      <c r="E322" s="301"/>
      <c r="F322" s="193"/>
      <c r="G322" s="194"/>
      <c r="H322" s="188">
        <f>SUM(H319,H320)</f>
        <v>32.551227480000001</v>
      </c>
      <c r="I322" s="195"/>
      <c r="J322" s="195"/>
      <c r="K322" s="188">
        <f>SUM(K319,K320)</f>
        <v>31.895782279999995</v>
      </c>
      <c r="L322" s="196">
        <f>K322-H322</f>
        <v>-0.65544520000000617</v>
      </c>
      <c r="M322" s="197">
        <f>IF((H322)=0,"",(L322/H322))</f>
        <v>-2.0135805950873043E-2</v>
      </c>
    </row>
    <row r="323" spans="1:13" ht="15.75" hidden="1" thickBot="1" x14ac:dyDescent="0.3">
      <c r="A323" s="100" t="str">
        <f t="shared" si="48"/>
        <v>UNMETERED SCATTERED LOAD SERVICE CLASSIFICATION</v>
      </c>
      <c r="B323" s="100" t="s">
        <v>180</v>
      </c>
      <c r="C323" s="117"/>
      <c r="D323" s="165"/>
      <c r="E323" s="166"/>
      <c r="F323" s="198"/>
      <c r="G323" s="199"/>
      <c r="H323" s="200"/>
      <c r="I323" s="198"/>
      <c r="J323" s="168"/>
      <c r="K323" s="200"/>
      <c r="L323" s="201"/>
      <c r="M323" s="172"/>
    </row>
    <row r="324" spans="1:13" hidden="1" x14ac:dyDescent="0.25">
      <c r="A324" s="100" t="str">
        <f t="shared" si="48"/>
        <v>UNMETERED SCATTERED LOAD SERVICE CLASSIFICATION</v>
      </c>
      <c r="B324" s="100" t="s">
        <v>121</v>
      </c>
      <c r="C324" s="117"/>
      <c r="D324" s="173" t="s">
        <v>190</v>
      </c>
      <c r="E324" s="158"/>
      <c r="F324" s="174"/>
      <c r="G324" s="175"/>
      <c r="H324" s="176">
        <f>SUM(H312,H304:H307,H303)</f>
        <v>28.806395999999999</v>
      </c>
      <c r="I324" s="177"/>
      <c r="J324" s="177"/>
      <c r="K324" s="176">
        <f>SUM(K312,K304:K307,K303)</f>
        <v>28.226355999999996</v>
      </c>
      <c r="L324" s="178">
        <f>K324-H324</f>
        <v>-0.58004000000000389</v>
      </c>
      <c r="M324" s="179">
        <f>IF((H324)=0,"",(L324/H324))</f>
        <v>-2.0135805950872991E-2</v>
      </c>
    </row>
    <row r="325" spans="1:13" hidden="1" x14ac:dyDescent="0.25">
      <c r="A325" s="100" t="str">
        <f t="shared" si="48"/>
        <v>UNMETERED SCATTERED LOAD SERVICE CLASSIFICATION</v>
      </c>
      <c r="B325" s="100" t="s">
        <v>121</v>
      </c>
      <c r="C325" s="117"/>
      <c r="D325" s="180" t="s">
        <v>184</v>
      </c>
      <c r="E325" s="158"/>
      <c r="F325" s="174">
        <v>0.13</v>
      </c>
      <c r="G325" s="175"/>
      <c r="H325" s="182">
        <f>H324*F325</f>
        <v>3.7448314800000002</v>
      </c>
      <c r="I325" s="174">
        <v>0.13</v>
      </c>
      <c r="J325" s="183"/>
      <c r="K325" s="182">
        <f>K324*I325</f>
        <v>3.6694262799999997</v>
      </c>
      <c r="L325" s="184">
        <f>K325-H325</f>
        <v>-7.5405200000000505E-2</v>
      </c>
      <c r="M325" s="185">
        <f>IF((H325)=0,"",(L325/H325))</f>
        <v>-2.0135805950872988E-2</v>
      </c>
    </row>
    <row r="326" spans="1:13" hidden="1" x14ac:dyDescent="0.25">
      <c r="A326" s="100" t="str">
        <f t="shared" si="48"/>
        <v>UNMETERED SCATTERED LOAD SERVICE CLASSIFICATION</v>
      </c>
      <c r="B326" s="100" t="s">
        <v>121</v>
      </c>
      <c r="C326" s="117"/>
      <c r="D326" s="180" t="s">
        <v>185</v>
      </c>
      <c r="E326" s="158"/>
      <c r="F326" s="174">
        <v>0.08</v>
      </c>
      <c r="G326" s="175"/>
      <c r="H326" s="182">
        <v>0</v>
      </c>
      <c r="I326" s="174">
        <v>0.08</v>
      </c>
      <c r="J326" s="183"/>
      <c r="K326" s="182">
        <v>0</v>
      </c>
      <c r="L326" s="184"/>
      <c r="M326" s="185"/>
    </row>
    <row r="327" spans="1:13" hidden="1" x14ac:dyDescent="0.25">
      <c r="A327" s="100" t="str">
        <f t="shared" si="48"/>
        <v>UNMETERED SCATTERED LOAD SERVICE CLASSIFICATION</v>
      </c>
      <c r="B327" s="100" t="s">
        <v>191</v>
      </c>
      <c r="C327" s="117"/>
      <c r="D327" s="301" t="s">
        <v>190</v>
      </c>
      <c r="E327" s="301"/>
      <c r="F327" s="193"/>
      <c r="G327" s="194"/>
      <c r="H327" s="188">
        <f>SUM(H324,H325)</f>
        <v>32.551227480000001</v>
      </c>
      <c r="I327" s="195"/>
      <c r="J327" s="195"/>
      <c r="K327" s="188">
        <f>SUM(K324,K325)</f>
        <v>31.895782279999995</v>
      </c>
      <c r="L327" s="196">
        <f>K327-H327</f>
        <v>-0.65544520000000617</v>
      </c>
      <c r="M327" s="197">
        <f>IF((H327)=0,"",(L327/H327))</f>
        <v>-2.0135805950873043E-2</v>
      </c>
    </row>
    <row r="328" spans="1:13" ht="15.75" hidden="1" thickBot="1" x14ac:dyDescent="0.3">
      <c r="A328" s="100" t="str">
        <f t="shared" si="48"/>
        <v>UNMETERED SCATTERED LOAD SERVICE CLASSIFICATION</v>
      </c>
      <c r="B328" s="100" t="s">
        <v>121</v>
      </c>
      <c r="C328" s="117"/>
      <c r="D328" s="165"/>
      <c r="E328" s="166"/>
      <c r="F328" s="202"/>
      <c r="G328" s="203"/>
      <c r="H328" s="204"/>
      <c r="I328" s="202"/>
      <c r="J328" s="205"/>
      <c r="K328" s="204"/>
      <c r="L328" s="206"/>
      <c r="M328" s="207"/>
    </row>
    <row r="331" spans="1:13" x14ac:dyDescent="0.25">
      <c r="C331" s="100"/>
      <c r="D331" s="101" t="s">
        <v>134</v>
      </c>
      <c r="E331" s="302" t="str">
        <f>D8</f>
        <v>SENTINEL LIGHTING SERVICE CLASSIFICATION</v>
      </c>
      <c r="F331" s="302"/>
      <c r="G331" s="302"/>
      <c r="H331" s="302"/>
      <c r="I331" s="302"/>
      <c r="J331" s="302"/>
      <c r="K331" s="100" t="str">
        <f>IF(N8="DEMAND - INTERVAL","RTSR - INTERVAL METERED","")</f>
        <v/>
      </c>
    </row>
    <row r="332" spans="1:13" x14ac:dyDescent="0.25">
      <c r="C332" s="100"/>
      <c r="D332" s="101" t="s">
        <v>135</v>
      </c>
      <c r="E332" s="303" t="str">
        <f>H8</f>
        <v>RPP</v>
      </c>
      <c r="F332" s="303"/>
      <c r="G332" s="303"/>
      <c r="H332" s="102"/>
      <c r="I332" s="102"/>
    </row>
    <row r="333" spans="1:13" ht="15.75" x14ac:dyDescent="0.25">
      <c r="C333" s="100"/>
      <c r="D333" s="101" t="s">
        <v>136</v>
      </c>
      <c r="E333" s="103">
        <f>K8</f>
        <v>650</v>
      </c>
      <c r="F333" s="104" t="s">
        <v>137</v>
      </c>
      <c r="G333" s="105"/>
      <c r="J333" s="106"/>
      <c r="K333" s="106"/>
      <c r="L333" s="106"/>
      <c r="M333" s="106"/>
    </row>
    <row r="334" spans="1:13" ht="15.75" x14ac:dyDescent="0.25">
      <c r="C334" s="100"/>
      <c r="D334" s="101" t="s">
        <v>138</v>
      </c>
      <c r="E334" s="103">
        <f>L8</f>
        <v>1</v>
      </c>
      <c r="F334" s="107" t="s">
        <v>139</v>
      </c>
      <c r="G334" s="108"/>
      <c r="H334" s="109"/>
      <c r="I334" s="109"/>
      <c r="J334" s="109"/>
    </row>
    <row r="335" spans="1:13" x14ac:dyDescent="0.25">
      <c r="C335" s="100"/>
      <c r="D335" s="101" t="s">
        <v>140</v>
      </c>
      <c r="E335" s="110">
        <f>I8</f>
        <v>1.056</v>
      </c>
    </row>
    <row r="336" spans="1:13" x14ac:dyDescent="0.25">
      <c r="C336" s="100"/>
      <c r="D336" s="101" t="s">
        <v>141</v>
      </c>
      <c r="E336" s="110">
        <f>J8</f>
        <v>1.056</v>
      </c>
    </row>
    <row r="337" spans="1:13" x14ac:dyDescent="0.25">
      <c r="C337" s="100"/>
      <c r="D337" s="105"/>
    </row>
    <row r="338" spans="1:13" x14ac:dyDescent="0.25">
      <c r="C338" s="100"/>
      <c r="D338" s="105"/>
      <c r="E338" s="111"/>
      <c r="F338" s="304" t="s">
        <v>142</v>
      </c>
      <c r="G338" s="305"/>
      <c r="H338" s="306"/>
      <c r="I338" s="304" t="s">
        <v>143</v>
      </c>
      <c r="J338" s="305"/>
      <c r="K338" s="306"/>
      <c r="L338" s="304" t="s">
        <v>144</v>
      </c>
      <c r="M338" s="306"/>
    </row>
    <row r="339" spans="1:13" x14ac:dyDescent="0.25">
      <c r="C339" s="100"/>
      <c r="D339" s="105"/>
      <c r="E339" s="295"/>
      <c r="F339" s="112" t="s">
        <v>145</v>
      </c>
      <c r="G339" s="112" t="s">
        <v>146</v>
      </c>
      <c r="H339" s="113" t="s">
        <v>147</v>
      </c>
      <c r="I339" s="112" t="s">
        <v>145</v>
      </c>
      <c r="J339" s="114" t="s">
        <v>146</v>
      </c>
      <c r="K339" s="113" t="s">
        <v>147</v>
      </c>
      <c r="L339" s="297" t="s">
        <v>148</v>
      </c>
      <c r="M339" s="299" t="s">
        <v>149</v>
      </c>
    </row>
    <row r="340" spans="1:13" x14ac:dyDescent="0.25">
      <c r="C340" s="100"/>
      <c r="D340" s="105"/>
      <c r="E340" s="296"/>
      <c r="F340" s="115" t="s">
        <v>150</v>
      </c>
      <c r="G340" s="115"/>
      <c r="H340" s="116" t="s">
        <v>150</v>
      </c>
      <c r="I340" s="115" t="s">
        <v>150</v>
      </c>
      <c r="J340" s="116"/>
      <c r="K340" s="116" t="s">
        <v>150</v>
      </c>
      <c r="L340" s="298"/>
      <c r="M340" s="300"/>
    </row>
    <row r="341" spans="1:13" x14ac:dyDescent="0.25">
      <c r="A341" s="100" t="str">
        <f>$E331</f>
        <v>SENTINEL LIGHTING SERVICE CLASSIFICATION</v>
      </c>
      <c r="C341" s="117"/>
      <c r="D341" s="118" t="s">
        <v>151</v>
      </c>
      <c r="E341" s="119"/>
      <c r="F341" s="120">
        <v>9.4700000000000006</v>
      </c>
      <c r="G341" s="121">
        <v>1</v>
      </c>
      <c r="H341" s="122">
        <f>G341*F341</f>
        <v>9.4700000000000006</v>
      </c>
      <c r="I341" s="123">
        <v>9.58</v>
      </c>
      <c r="J341" s="124">
        <f>G341</f>
        <v>1</v>
      </c>
      <c r="K341" s="122">
        <f>J341*I341</f>
        <v>9.58</v>
      </c>
      <c r="L341" s="125">
        <f t="shared" ref="L341:L362" si="53">K341-H341</f>
        <v>0.10999999999999943</v>
      </c>
      <c r="M341" s="126">
        <f>IF(ISERROR(L341/H341), "", L341/H341)</f>
        <v>1.1615628299894343E-2</v>
      </c>
    </row>
    <row r="342" spans="1:13" x14ac:dyDescent="0.25">
      <c r="A342" s="100" t="str">
        <f>A341</f>
        <v>SENTINEL LIGHTING SERVICE CLASSIFICATION</v>
      </c>
      <c r="C342" s="117"/>
      <c r="D342" s="118" t="s">
        <v>152</v>
      </c>
      <c r="E342" s="119"/>
      <c r="F342" s="127">
        <v>35.905000000000001</v>
      </c>
      <c r="G342" s="121">
        <f>IF($E334&gt;0, $E334, $E333)</f>
        <v>1</v>
      </c>
      <c r="H342" s="122">
        <f t="shared" ref="H342:H354" si="54">G342*F342</f>
        <v>35.905000000000001</v>
      </c>
      <c r="I342" s="128">
        <v>36.335900000000002</v>
      </c>
      <c r="J342" s="124">
        <f>IF($E334&gt;0, $E334, $E333)</f>
        <v>1</v>
      </c>
      <c r="K342" s="122">
        <f>J342*I342</f>
        <v>36.335900000000002</v>
      </c>
      <c r="L342" s="125">
        <f t="shared" si="53"/>
        <v>0.43090000000000117</v>
      </c>
      <c r="M342" s="126">
        <f t="shared" ref="M342:M352" si="55">IF(ISERROR(L342/H342), "", L342/H342)</f>
        <v>1.2001114050967864E-2</v>
      </c>
    </row>
    <row r="343" spans="1:13" x14ac:dyDescent="0.25">
      <c r="A343" s="100" t="str">
        <f t="shared" ref="A343:A384" si="56">A342</f>
        <v>SENTINEL LIGHTING SERVICE CLASSIFICATION</v>
      </c>
      <c r="C343" s="117"/>
      <c r="D343" s="118" t="s">
        <v>153</v>
      </c>
      <c r="E343" s="119"/>
      <c r="F343" s="127"/>
      <c r="G343" s="121"/>
      <c r="H343" s="122">
        <v>0</v>
      </c>
      <c r="I343" s="128"/>
      <c r="J343" s="124">
        <f>IF($E334&gt;0, $E334, $E333)</f>
        <v>1</v>
      </c>
      <c r="K343" s="122">
        <v>0</v>
      </c>
      <c r="L343" s="125"/>
      <c r="M343" s="126"/>
    </row>
    <row r="344" spans="1:13" x14ac:dyDescent="0.25">
      <c r="A344" s="100" t="str">
        <f t="shared" si="56"/>
        <v>SENTINEL LIGHTING SERVICE CLASSIFICATION</v>
      </c>
      <c r="C344" s="117"/>
      <c r="D344" s="118" t="s">
        <v>154</v>
      </c>
      <c r="E344" s="119"/>
      <c r="F344" s="127"/>
      <c r="G344" s="121">
        <f>IF($E334&gt;0, $E334, $E333)</f>
        <v>1</v>
      </c>
      <c r="H344" s="122">
        <v>0</v>
      </c>
      <c r="I344" s="128"/>
      <c r="J344" s="121">
        <f>IF($E334&gt;0, $E334, $E333)</f>
        <v>1</v>
      </c>
      <c r="K344" s="122">
        <v>0</v>
      </c>
      <c r="L344" s="125">
        <f>K344-H344</f>
        <v>0</v>
      </c>
      <c r="M344" s="126" t="str">
        <f>IF(ISERROR(L344/H344), "", L344/H344)</f>
        <v/>
      </c>
    </row>
    <row r="345" spans="1:13" x14ac:dyDescent="0.25">
      <c r="A345" s="100" t="str">
        <f t="shared" si="56"/>
        <v>SENTINEL LIGHTING SERVICE CLASSIFICATION</v>
      </c>
      <c r="C345" s="117"/>
      <c r="D345" s="129" t="s">
        <v>155</v>
      </c>
      <c r="E345" s="119"/>
      <c r="F345" s="120">
        <v>0</v>
      </c>
      <c r="G345" s="121">
        <v>1</v>
      </c>
      <c r="H345" s="122">
        <f t="shared" si="54"/>
        <v>0</v>
      </c>
      <c r="I345" s="123">
        <v>0</v>
      </c>
      <c r="J345" s="124">
        <f>G345</f>
        <v>1</v>
      </c>
      <c r="K345" s="122">
        <f t="shared" ref="K345:K352" si="57">J345*I345</f>
        <v>0</v>
      </c>
      <c r="L345" s="125">
        <f t="shared" si="53"/>
        <v>0</v>
      </c>
      <c r="M345" s="126" t="str">
        <f t="shared" si="55"/>
        <v/>
      </c>
    </row>
    <row r="346" spans="1:13" x14ac:dyDescent="0.25">
      <c r="A346" s="100" t="str">
        <f t="shared" si="56"/>
        <v>SENTINEL LIGHTING SERVICE CLASSIFICATION</v>
      </c>
      <c r="C346" s="117"/>
      <c r="D346" s="118" t="s">
        <v>156</v>
      </c>
      <c r="E346" s="119"/>
      <c r="F346" s="127">
        <v>0</v>
      </c>
      <c r="G346" s="121">
        <f>IF($E334&gt;0, $E334, $E333)</f>
        <v>1</v>
      </c>
      <c r="H346" s="122">
        <f t="shared" si="54"/>
        <v>0</v>
      </c>
      <c r="I346" s="128">
        <v>0</v>
      </c>
      <c r="J346" s="124">
        <f>IF($E334&gt;0, $E334, $E333)</f>
        <v>1</v>
      </c>
      <c r="K346" s="122">
        <f t="shared" si="57"/>
        <v>0</v>
      </c>
      <c r="L346" s="125">
        <f t="shared" si="53"/>
        <v>0</v>
      </c>
      <c r="M346" s="126" t="str">
        <f t="shared" si="55"/>
        <v/>
      </c>
    </row>
    <row r="347" spans="1:13" x14ac:dyDescent="0.25">
      <c r="A347" s="100" t="str">
        <f t="shared" si="56"/>
        <v>SENTINEL LIGHTING SERVICE CLASSIFICATION</v>
      </c>
      <c r="B347" s="130" t="s">
        <v>157</v>
      </c>
      <c r="C347" s="117">
        <f>B8</f>
        <v>6</v>
      </c>
      <c r="D347" s="131" t="s">
        <v>158</v>
      </c>
      <c r="E347" s="132"/>
      <c r="F347" s="133"/>
      <c r="G347" s="134"/>
      <c r="H347" s="135">
        <f>SUM(H341:H346)</f>
        <v>45.375</v>
      </c>
      <c r="I347" s="136"/>
      <c r="J347" s="137"/>
      <c r="K347" s="135">
        <f>SUM(K341:K346)</f>
        <v>45.915900000000001</v>
      </c>
      <c r="L347" s="138">
        <f t="shared" si="53"/>
        <v>0.5409000000000006</v>
      </c>
      <c r="M347" s="139">
        <f>IF((H347)=0,"",(L347/H347))</f>
        <v>1.1920661157024807E-2</v>
      </c>
    </row>
    <row r="348" spans="1:13" x14ac:dyDescent="0.25">
      <c r="A348" s="100" t="str">
        <f t="shared" si="56"/>
        <v>SENTINEL LIGHTING SERVICE CLASSIFICATION</v>
      </c>
      <c r="C348" s="117"/>
      <c r="D348" s="140" t="s">
        <v>159</v>
      </c>
      <c r="E348" s="119"/>
      <c r="F348" s="127">
        <f>IF((E333*12&gt;=150000), 0, IF(E332="RPP",(F364*0.65+F365*0.17+F366*0.18),IF(E332="Non-RPP (Retailer)",F367,F368)))</f>
        <v>8.1990000000000007E-2</v>
      </c>
      <c r="G348" s="141">
        <f>IF(F348=0, 0, $E333*E335-E333)</f>
        <v>36.399999999999977</v>
      </c>
      <c r="H348" s="122">
        <f>G348*F348</f>
        <v>2.9844359999999983</v>
      </c>
      <c r="I348" s="128">
        <f>IF((E333*12&gt;=150000), 0, IF(E332="RPP",(I364*0.65+I365*0.17+I366*0.18),IF(E332="Non-RPP (Retailer)",I367,I368)))</f>
        <v>8.1990000000000007E-2</v>
      </c>
      <c r="J348" s="141">
        <f>IF(I348=0, 0, E333*E336-E333)</f>
        <v>36.399999999999977</v>
      </c>
      <c r="K348" s="122">
        <f>J348*I348</f>
        <v>2.9844359999999983</v>
      </c>
      <c r="L348" s="125">
        <f>K348-H348</f>
        <v>0</v>
      </c>
      <c r="M348" s="126">
        <f>IF(ISERROR(L348/H348), "", L348/H348)</f>
        <v>0</v>
      </c>
    </row>
    <row r="349" spans="1:13" ht="25.5" x14ac:dyDescent="0.25">
      <c r="A349" s="100" t="str">
        <f t="shared" si="56"/>
        <v>SENTINEL LIGHTING SERVICE CLASSIFICATION</v>
      </c>
      <c r="C349" s="117"/>
      <c r="D349" s="140" t="s">
        <v>160</v>
      </c>
      <c r="E349" s="119"/>
      <c r="F349" s="127">
        <v>-0.47110000000000002</v>
      </c>
      <c r="G349" s="142">
        <f>IF($E334&gt;0, $E334, $E333)</f>
        <v>1</v>
      </c>
      <c r="H349" s="122">
        <f t="shared" si="54"/>
        <v>-0.47110000000000002</v>
      </c>
      <c r="I349" s="128">
        <v>-1.9424999999999999</v>
      </c>
      <c r="J349" s="142">
        <f>IF($E334&gt;0, $E334, $E333)</f>
        <v>1</v>
      </c>
      <c r="K349" s="122">
        <f t="shared" si="57"/>
        <v>-1.9424999999999999</v>
      </c>
      <c r="L349" s="125">
        <f t="shared" si="53"/>
        <v>-1.4713999999999998</v>
      </c>
      <c r="M349" s="126">
        <f t="shared" si="55"/>
        <v>3.1233283803863294</v>
      </c>
    </row>
    <row r="350" spans="1:13" x14ac:dyDescent="0.25">
      <c r="A350" s="100" t="str">
        <f t="shared" si="56"/>
        <v>SENTINEL LIGHTING SERVICE CLASSIFICATION</v>
      </c>
      <c r="C350" s="117"/>
      <c r="D350" s="140" t="s">
        <v>161</v>
      </c>
      <c r="E350" s="119"/>
      <c r="F350" s="127">
        <v>-2.98E-2</v>
      </c>
      <c r="G350" s="142">
        <f>IF($E334&gt;0, $E334, $E333)</f>
        <v>1</v>
      </c>
      <c r="H350" s="122">
        <f>G350*F350</f>
        <v>-2.98E-2</v>
      </c>
      <c r="I350" s="128">
        <v>0</v>
      </c>
      <c r="J350" s="142">
        <f>IF($E334&gt;0, $E334, $E333)</f>
        <v>1</v>
      </c>
      <c r="K350" s="122">
        <f>J350*I350</f>
        <v>0</v>
      </c>
      <c r="L350" s="125">
        <f t="shared" si="53"/>
        <v>2.98E-2</v>
      </c>
      <c r="M350" s="126">
        <f t="shared" si="55"/>
        <v>-1</v>
      </c>
    </row>
    <row r="351" spans="1:13" x14ac:dyDescent="0.25">
      <c r="A351" s="100" t="str">
        <f t="shared" si="56"/>
        <v>SENTINEL LIGHTING SERVICE CLASSIFICATION</v>
      </c>
      <c r="C351" s="117"/>
      <c r="D351" s="140" t="s">
        <v>162</v>
      </c>
      <c r="E351" s="119"/>
      <c r="F351" s="127">
        <v>0</v>
      </c>
      <c r="G351" s="142">
        <f>E333</f>
        <v>650</v>
      </c>
      <c r="H351" s="122">
        <f>G351*F351</f>
        <v>0</v>
      </c>
      <c r="I351" s="128">
        <v>0</v>
      </c>
      <c r="J351" s="142">
        <f>E333</f>
        <v>650</v>
      </c>
      <c r="K351" s="122">
        <f t="shared" si="57"/>
        <v>0</v>
      </c>
      <c r="L351" s="125">
        <f t="shared" si="53"/>
        <v>0</v>
      </c>
      <c r="M351" s="126" t="str">
        <f t="shared" si="55"/>
        <v/>
      </c>
    </row>
    <row r="352" spans="1:13" x14ac:dyDescent="0.25">
      <c r="A352" s="100" t="str">
        <f t="shared" si="56"/>
        <v>SENTINEL LIGHTING SERVICE CLASSIFICATION</v>
      </c>
      <c r="C352" s="117"/>
      <c r="D352" s="143" t="s">
        <v>163</v>
      </c>
      <c r="E352" s="119"/>
      <c r="F352" s="127">
        <v>0.75470000000000004</v>
      </c>
      <c r="G352" s="142">
        <f>IF($E334&gt;0, $E334, $E333)</f>
        <v>1</v>
      </c>
      <c r="H352" s="122">
        <f t="shared" si="54"/>
        <v>0.75470000000000004</v>
      </c>
      <c r="I352" s="128">
        <v>0.75470000000000004</v>
      </c>
      <c r="J352" s="142">
        <f>IF($E334&gt;0, $E334, $E333)</f>
        <v>1</v>
      </c>
      <c r="K352" s="122">
        <f t="shared" si="57"/>
        <v>0.75470000000000004</v>
      </c>
      <c r="L352" s="125">
        <f t="shared" si="53"/>
        <v>0</v>
      </c>
      <c r="M352" s="126">
        <f t="shared" si="55"/>
        <v>0</v>
      </c>
    </row>
    <row r="353" spans="1:13" ht="25.5" x14ac:dyDescent="0.25">
      <c r="A353" s="100" t="str">
        <f t="shared" si="56"/>
        <v>SENTINEL LIGHTING SERVICE CLASSIFICATION</v>
      </c>
      <c r="C353" s="117"/>
      <c r="D353" s="144" t="s">
        <v>164</v>
      </c>
      <c r="E353" s="119"/>
      <c r="F353" s="145">
        <f>IF(OR(ISNUMBER(SEARCH("RESIDENTIAL", E331))=TRUE, ISNUMBER(SEARCH("GENERAL SERVICE LESS THAN 50", E331))=TRUE), SME, 0)</f>
        <v>0</v>
      </c>
      <c r="G353" s="121">
        <v>1</v>
      </c>
      <c r="H353" s="122">
        <f>G353*F353</f>
        <v>0</v>
      </c>
      <c r="I353" s="146">
        <f>IF(OR(ISNUMBER(SEARCH("RESIDENTIAL", E331))=TRUE, ISNUMBER(SEARCH("GENERAL SERVICE LESS THAN 50", E331))=TRUE), SME, 0)</f>
        <v>0</v>
      </c>
      <c r="J353" s="121">
        <v>1</v>
      </c>
      <c r="K353" s="122">
        <f>J353*I353</f>
        <v>0</v>
      </c>
      <c r="L353" s="125">
        <f t="shared" si="53"/>
        <v>0</v>
      </c>
      <c r="M353" s="126" t="str">
        <f>IF(ISERROR(L353/H353), "", L353/H353)</f>
        <v/>
      </c>
    </row>
    <row r="354" spans="1:13" x14ac:dyDescent="0.25">
      <c r="A354" s="100" t="str">
        <f t="shared" si="56"/>
        <v>SENTINEL LIGHTING SERVICE CLASSIFICATION</v>
      </c>
      <c r="C354" s="117"/>
      <c r="D354" s="143" t="s">
        <v>165</v>
      </c>
      <c r="E354" s="119"/>
      <c r="F354" s="120">
        <v>0</v>
      </c>
      <c r="G354" s="121">
        <v>1</v>
      </c>
      <c r="H354" s="122">
        <f t="shared" si="54"/>
        <v>0</v>
      </c>
      <c r="I354" s="123">
        <v>0</v>
      </c>
      <c r="J354" s="121">
        <v>1</v>
      </c>
      <c r="K354" s="122">
        <f>J354*I354</f>
        <v>0</v>
      </c>
      <c r="L354" s="125">
        <f>K354-H354</f>
        <v>0</v>
      </c>
      <c r="M354" s="126" t="str">
        <f>IF(ISERROR(L354/H354), "", L354/H354)</f>
        <v/>
      </c>
    </row>
    <row r="355" spans="1:13" x14ac:dyDescent="0.25">
      <c r="A355" s="100" t="str">
        <f t="shared" si="56"/>
        <v>SENTINEL LIGHTING SERVICE CLASSIFICATION</v>
      </c>
      <c r="C355" s="117"/>
      <c r="D355" s="143" t="s">
        <v>166</v>
      </c>
      <c r="E355" s="119"/>
      <c r="F355" s="127"/>
      <c r="G355" s="142">
        <f>IF($E334&gt;0, $E334, $E333)</f>
        <v>1</v>
      </c>
      <c r="H355" s="122">
        <f>G355*F355</f>
        <v>0</v>
      </c>
      <c r="I355" s="128">
        <v>0</v>
      </c>
      <c r="J355" s="142">
        <f>IF($E334&gt;0, $E334, $E333)</f>
        <v>1</v>
      </c>
      <c r="K355" s="122">
        <f>J355*I355</f>
        <v>0</v>
      </c>
      <c r="L355" s="125">
        <f t="shared" si="53"/>
        <v>0</v>
      </c>
      <c r="M355" s="126" t="str">
        <f>IF(ISERROR(L355/H355), "", L355/H355)</f>
        <v/>
      </c>
    </row>
    <row r="356" spans="1:13" ht="25.5" x14ac:dyDescent="0.25">
      <c r="A356" s="100" t="str">
        <f t="shared" si="56"/>
        <v>SENTINEL LIGHTING SERVICE CLASSIFICATION</v>
      </c>
      <c r="B356" s="105" t="s">
        <v>167</v>
      </c>
      <c r="C356" s="117">
        <f>B8</f>
        <v>6</v>
      </c>
      <c r="D356" s="147" t="s">
        <v>168</v>
      </c>
      <c r="E356" s="148"/>
      <c r="F356" s="149"/>
      <c r="G356" s="150"/>
      <c r="H356" s="151">
        <f>SUM(H347:H355)</f>
        <v>48.613235999999993</v>
      </c>
      <c r="I356" s="152"/>
      <c r="J356" s="153"/>
      <c r="K356" s="151">
        <f>SUM(K347:K355)</f>
        <v>47.712535999999993</v>
      </c>
      <c r="L356" s="138">
        <f t="shared" si="53"/>
        <v>-0.9007000000000005</v>
      </c>
      <c r="M356" s="139">
        <f>IF((H356)=0,"",(L356/H356))</f>
        <v>-1.8527875823777719E-2</v>
      </c>
    </row>
    <row r="357" spans="1:13" x14ac:dyDescent="0.25">
      <c r="A357" s="100" t="str">
        <f t="shared" si="56"/>
        <v>SENTINEL LIGHTING SERVICE CLASSIFICATION</v>
      </c>
      <c r="C357" s="117"/>
      <c r="D357" s="154" t="s">
        <v>169</v>
      </c>
      <c r="E357" s="119"/>
      <c r="F357" s="127">
        <v>1.8704000000000001</v>
      </c>
      <c r="G357" s="141">
        <f>IF($E334&gt;0, $E334, $E333*$E335)</f>
        <v>1</v>
      </c>
      <c r="H357" s="122">
        <f>G357*F357</f>
        <v>1.8704000000000001</v>
      </c>
      <c r="I357" s="128">
        <v>1.7742</v>
      </c>
      <c r="J357" s="141">
        <f>IF($E334&gt;0, $E334, $E333*$E336)</f>
        <v>1</v>
      </c>
      <c r="K357" s="122">
        <f>J357*I357</f>
        <v>1.7742</v>
      </c>
      <c r="L357" s="125">
        <f t="shared" si="53"/>
        <v>-9.6200000000000063E-2</v>
      </c>
      <c r="M357" s="126">
        <f>IF(ISERROR(L357/H357), "", L357/H357)</f>
        <v>-5.1432848588537243E-2</v>
      </c>
    </row>
    <row r="358" spans="1:13" ht="25.5" x14ac:dyDescent="0.25">
      <c r="A358" s="100" t="str">
        <f t="shared" si="56"/>
        <v>SENTINEL LIGHTING SERVICE CLASSIFICATION</v>
      </c>
      <c r="C358" s="117"/>
      <c r="D358" s="155" t="s">
        <v>170</v>
      </c>
      <c r="E358" s="119"/>
      <c r="F358" s="127">
        <v>1.5942000000000001</v>
      </c>
      <c r="G358" s="141">
        <f>IF($E334&gt;0, $E334, $E333*$E335)</f>
        <v>1</v>
      </c>
      <c r="H358" s="122">
        <f>G358*F358</f>
        <v>1.5942000000000001</v>
      </c>
      <c r="I358" s="128">
        <v>1.5068999999999999</v>
      </c>
      <c r="J358" s="141">
        <f>IF($E334&gt;0, $E334, $E333*$E336)</f>
        <v>1</v>
      </c>
      <c r="K358" s="122">
        <f>J358*I358</f>
        <v>1.5068999999999999</v>
      </c>
      <c r="L358" s="125">
        <f t="shared" si="53"/>
        <v>-8.7300000000000155E-2</v>
      </c>
      <c r="M358" s="126">
        <f>IF(ISERROR(L358/H358), "", L358/H358)</f>
        <v>-5.4761008656379472E-2</v>
      </c>
    </row>
    <row r="359" spans="1:13" ht="25.5" x14ac:dyDescent="0.25">
      <c r="A359" s="100" t="str">
        <f t="shared" si="56"/>
        <v>SENTINEL LIGHTING SERVICE CLASSIFICATION</v>
      </c>
      <c r="B359" s="105" t="s">
        <v>171</v>
      </c>
      <c r="C359" s="117">
        <f>B8</f>
        <v>6</v>
      </c>
      <c r="D359" s="147" t="s">
        <v>172</v>
      </c>
      <c r="E359" s="132"/>
      <c r="F359" s="149"/>
      <c r="G359" s="150"/>
      <c r="H359" s="151">
        <f>SUM(H356:H358)</f>
        <v>52.077835999999991</v>
      </c>
      <c r="I359" s="152"/>
      <c r="J359" s="137"/>
      <c r="K359" s="151">
        <f>SUM(K356:K358)</f>
        <v>50.993635999999995</v>
      </c>
      <c r="L359" s="138">
        <f t="shared" si="53"/>
        <v>-1.0841999999999956</v>
      </c>
      <c r="M359" s="139">
        <f>IF((H359)=0,"",(L359/H359))</f>
        <v>-2.0818837403305233E-2</v>
      </c>
    </row>
    <row r="360" spans="1:13" ht="25.5" x14ac:dyDescent="0.25">
      <c r="A360" s="100" t="str">
        <f t="shared" si="56"/>
        <v>SENTINEL LIGHTING SERVICE CLASSIFICATION</v>
      </c>
      <c r="C360" s="117"/>
      <c r="D360" s="156" t="s">
        <v>173</v>
      </c>
      <c r="E360" s="119"/>
      <c r="F360" s="127">
        <v>3.6000000000000003E-3</v>
      </c>
      <c r="G360" s="141">
        <f>E333*E335</f>
        <v>686.4</v>
      </c>
      <c r="H360" s="157">
        <f t="shared" ref="H360:H366" si="58">G360*F360</f>
        <v>2.4710400000000003</v>
      </c>
      <c r="I360" s="128">
        <v>3.6000000000000003E-3</v>
      </c>
      <c r="J360" s="141">
        <f>E333*E336</f>
        <v>686.4</v>
      </c>
      <c r="K360" s="157">
        <f t="shared" ref="K360:K366" si="59">J360*I360</f>
        <v>2.4710400000000003</v>
      </c>
      <c r="L360" s="125">
        <f t="shared" si="53"/>
        <v>0</v>
      </c>
      <c r="M360" s="126">
        <f t="shared" ref="M360:M368" si="60">IF(ISERROR(L360/H360), "", L360/H360)</f>
        <v>0</v>
      </c>
    </row>
    <row r="361" spans="1:13" ht="25.5" x14ac:dyDescent="0.25">
      <c r="A361" s="100" t="str">
        <f t="shared" si="56"/>
        <v>SENTINEL LIGHTING SERVICE CLASSIFICATION</v>
      </c>
      <c r="C361" s="117"/>
      <c r="D361" s="156" t="s">
        <v>174</v>
      </c>
      <c r="E361" s="119"/>
      <c r="F361" s="127">
        <f>'[1]17. Regulatory Charges'!$D$16</f>
        <v>2.9999999999999997E-4</v>
      </c>
      <c r="G361" s="141">
        <f>E333*E335</f>
        <v>686.4</v>
      </c>
      <c r="H361" s="157">
        <f t="shared" si="58"/>
        <v>0.20591999999999996</v>
      </c>
      <c r="I361" s="128">
        <v>2.9999999999999997E-4</v>
      </c>
      <c r="J361" s="141">
        <f>E333*E336</f>
        <v>686.4</v>
      </c>
      <c r="K361" s="157">
        <f t="shared" si="59"/>
        <v>0.20591999999999996</v>
      </c>
      <c r="L361" s="125">
        <f t="shared" si="53"/>
        <v>0</v>
      </c>
      <c r="M361" s="126">
        <f t="shared" si="60"/>
        <v>0</v>
      </c>
    </row>
    <row r="362" spans="1:13" x14ac:dyDescent="0.25">
      <c r="A362" s="100" t="str">
        <f t="shared" si="56"/>
        <v>SENTINEL LIGHTING SERVICE CLASSIFICATION</v>
      </c>
      <c r="C362" s="117"/>
      <c r="D362" s="158" t="s">
        <v>175</v>
      </c>
      <c r="E362" s="119"/>
      <c r="F362" s="145">
        <v>0.25</v>
      </c>
      <c r="G362" s="121">
        <v>1</v>
      </c>
      <c r="H362" s="157">
        <f t="shared" si="58"/>
        <v>0.25</v>
      </c>
      <c r="I362" s="146">
        <f>'[1]17. Regulatory Charges'!$D$17</f>
        <v>0.25</v>
      </c>
      <c r="J362" s="124">
        <v>1</v>
      </c>
      <c r="K362" s="157">
        <f t="shared" si="59"/>
        <v>0.25</v>
      </c>
      <c r="L362" s="125">
        <f t="shared" si="53"/>
        <v>0</v>
      </c>
      <c r="M362" s="126">
        <f t="shared" si="60"/>
        <v>0</v>
      </c>
    </row>
    <row r="363" spans="1:13" ht="25.5" x14ac:dyDescent="0.25">
      <c r="A363" s="100" t="str">
        <f t="shared" si="56"/>
        <v>SENTINEL LIGHTING SERVICE CLASSIFICATION</v>
      </c>
      <c r="C363" s="117"/>
      <c r="D363" s="156" t="s">
        <v>176</v>
      </c>
      <c r="E363" s="119"/>
      <c r="F363" s="127"/>
      <c r="G363" s="141"/>
      <c r="H363" s="157"/>
      <c r="I363" s="128"/>
      <c r="J363" s="141"/>
      <c r="K363" s="157"/>
      <c r="L363" s="125"/>
      <c r="M363" s="126"/>
    </row>
    <row r="364" spans="1:13" x14ac:dyDescent="0.25">
      <c r="A364" s="100" t="str">
        <f t="shared" si="56"/>
        <v>SENTINEL LIGHTING SERVICE CLASSIFICATION</v>
      </c>
      <c r="B364" s="105" t="s">
        <v>117</v>
      </c>
      <c r="C364" s="117"/>
      <c r="D364" s="159" t="s">
        <v>177</v>
      </c>
      <c r="E364" s="119"/>
      <c r="F364" s="160">
        <f>OffPeak</f>
        <v>6.5000000000000002E-2</v>
      </c>
      <c r="G364" s="161">
        <f>IF(AND(E333*12&gt;=150000),0.65*E333*E335,0.65*E333)</f>
        <v>422.5</v>
      </c>
      <c r="H364" s="157">
        <f t="shared" si="58"/>
        <v>27.462500000000002</v>
      </c>
      <c r="I364" s="162">
        <f>OffPeak</f>
        <v>6.5000000000000002E-2</v>
      </c>
      <c r="J364" s="161">
        <f>IF(AND(E333*12&gt;=150000),0.65*E333*E336,0.65*E333)</f>
        <v>422.5</v>
      </c>
      <c r="K364" s="157">
        <f t="shared" si="59"/>
        <v>27.462500000000002</v>
      </c>
      <c r="L364" s="125">
        <f>K364-H364</f>
        <v>0</v>
      </c>
      <c r="M364" s="126">
        <f t="shared" si="60"/>
        <v>0</v>
      </c>
    </row>
    <row r="365" spans="1:13" x14ac:dyDescent="0.25">
      <c r="A365" s="100" t="str">
        <f t="shared" si="56"/>
        <v>SENTINEL LIGHTING SERVICE CLASSIFICATION</v>
      </c>
      <c r="B365" s="105" t="s">
        <v>117</v>
      </c>
      <c r="C365" s="117"/>
      <c r="D365" s="159" t="s">
        <v>178</v>
      </c>
      <c r="E365" s="119"/>
      <c r="F365" s="160">
        <f>MidPeak</f>
        <v>9.4E-2</v>
      </c>
      <c r="G365" s="161">
        <f>IF(AND(E333*12&gt;=150000),0.17*E333*E335,0.17*E333)</f>
        <v>110.50000000000001</v>
      </c>
      <c r="H365" s="157">
        <f t="shared" si="58"/>
        <v>10.387000000000002</v>
      </c>
      <c r="I365" s="162">
        <f>MidPeak</f>
        <v>9.4E-2</v>
      </c>
      <c r="J365" s="161">
        <f>IF(AND(E333*12&gt;=150000),0.17*E333*E336,0.17*E333)</f>
        <v>110.50000000000001</v>
      </c>
      <c r="K365" s="157">
        <f t="shared" si="59"/>
        <v>10.387000000000002</v>
      </c>
      <c r="L365" s="125">
        <f>K365-H365</f>
        <v>0</v>
      </c>
      <c r="M365" s="126">
        <f t="shared" si="60"/>
        <v>0</v>
      </c>
    </row>
    <row r="366" spans="1:13" ht="15.75" thickBot="1" x14ac:dyDescent="0.3">
      <c r="A366" s="100" t="str">
        <f t="shared" si="56"/>
        <v>SENTINEL LIGHTING SERVICE CLASSIFICATION</v>
      </c>
      <c r="B366" s="105" t="s">
        <v>117</v>
      </c>
      <c r="C366" s="117"/>
      <c r="D366" s="105" t="s">
        <v>179</v>
      </c>
      <c r="E366" s="119"/>
      <c r="F366" s="160">
        <f>OnPeak</f>
        <v>0.13200000000000001</v>
      </c>
      <c r="G366" s="161">
        <f>IF(AND(E333*12&gt;=150000),0.18*E333*E335,0.18*E333)</f>
        <v>117</v>
      </c>
      <c r="H366" s="157">
        <f t="shared" si="58"/>
        <v>15.444000000000001</v>
      </c>
      <c r="I366" s="162">
        <f>OnPeak</f>
        <v>0.13200000000000001</v>
      </c>
      <c r="J366" s="161">
        <f>IF(AND(E333*12&gt;=150000),0.18*E333*E336,0.18*E333)</f>
        <v>117</v>
      </c>
      <c r="K366" s="157">
        <f t="shared" si="59"/>
        <v>15.444000000000001</v>
      </c>
      <c r="L366" s="125">
        <f>K366-H366</f>
        <v>0</v>
      </c>
      <c r="M366" s="126">
        <f t="shared" si="60"/>
        <v>0</v>
      </c>
    </row>
    <row r="367" spans="1:13" ht="15.75" hidden="1" thickBot="1" x14ac:dyDescent="0.3">
      <c r="A367" s="100" t="str">
        <f t="shared" si="56"/>
        <v>SENTINEL LIGHTING SERVICE CLASSIFICATION</v>
      </c>
      <c r="B367" s="100" t="s">
        <v>180</v>
      </c>
      <c r="C367" s="117"/>
      <c r="D367" s="159" t="s">
        <v>181</v>
      </c>
      <c r="E367" s="119"/>
      <c r="F367" s="163">
        <v>0.1101</v>
      </c>
      <c r="G367" s="161">
        <f>IF(AND(E333*12&gt;=150000),E333*E335,E333)</f>
        <v>650</v>
      </c>
      <c r="H367" s="157">
        <f>G367*F367</f>
        <v>71.564999999999998</v>
      </c>
      <c r="I367" s="164">
        <f>F367</f>
        <v>0.1101</v>
      </c>
      <c r="J367" s="161">
        <f>IF(AND(E333*12&gt;=150000),E333*E336,E333)</f>
        <v>650</v>
      </c>
      <c r="K367" s="157">
        <f>J367*I367</f>
        <v>71.564999999999998</v>
      </c>
      <c r="L367" s="125">
        <f>K367-H367</f>
        <v>0</v>
      </c>
      <c r="M367" s="126">
        <f t="shared" si="60"/>
        <v>0</v>
      </c>
    </row>
    <row r="368" spans="1:13" ht="15.75" hidden="1" thickBot="1" x14ac:dyDescent="0.3">
      <c r="A368" s="100" t="str">
        <f t="shared" si="56"/>
        <v>SENTINEL LIGHTING SERVICE CLASSIFICATION</v>
      </c>
      <c r="B368" s="100" t="s">
        <v>121</v>
      </c>
      <c r="C368" s="117"/>
      <c r="D368" s="159" t="s">
        <v>182</v>
      </c>
      <c r="E368" s="119"/>
      <c r="F368" s="163">
        <v>0.1101</v>
      </c>
      <c r="G368" s="161">
        <f>IF(AND(E333*12&gt;=150000),E333*E335,E333)</f>
        <v>650</v>
      </c>
      <c r="H368" s="157">
        <f>G368*F368</f>
        <v>71.564999999999998</v>
      </c>
      <c r="I368" s="164">
        <f>F368</f>
        <v>0.1101</v>
      </c>
      <c r="J368" s="161">
        <f>IF(AND(E333*12&gt;=150000),E333*E336,E333)</f>
        <v>650</v>
      </c>
      <c r="K368" s="157">
        <f>J368*I368</f>
        <v>71.564999999999998</v>
      </c>
      <c r="L368" s="125">
        <f>K368-H368</f>
        <v>0</v>
      </c>
      <c r="M368" s="126">
        <f t="shared" si="60"/>
        <v>0</v>
      </c>
    </row>
    <row r="369" spans="1:13" ht="15.75" thickBot="1" x14ac:dyDescent="0.3">
      <c r="A369" s="100" t="str">
        <f t="shared" si="56"/>
        <v>SENTINEL LIGHTING SERVICE CLASSIFICATION</v>
      </c>
      <c r="B369" s="105"/>
      <c r="C369" s="117"/>
      <c r="D369" s="165"/>
      <c r="E369" s="166"/>
      <c r="F369" s="167"/>
      <c r="G369" s="168"/>
      <c r="H369" s="169"/>
      <c r="I369" s="167"/>
      <c r="J369" s="170"/>
      <c r="K369" s="169"/>
      <c r="L369" s="171"/>
      <c r="M369" s="172"/>
    </row>
    <row r="370" spans="1:13" x14ac:dyDescent="0.25">
      <c r="A370" s="100" t="str">
        <f t="shared" si="56"/>
        <v>SENTINEL LIGHTING SERVICE CLASSIFICATION</v>
      </c>
      <c r="B370" s="105" t="s">
        <v>117</v>
      </c>
      <c r="C370" s="117"/>
      <c r="D370" s="173" t="s">
        <v>183</v>
      </c>
      <c r="E370" s="158"/>
      <c r="F370" s="174"/>
      <c r="G370" s="175"/>
      <c r="H370" s="176">
        <f>SUM(H360:H366,H359)</f>
        <v>108.29829599999999</v>
      </c>
      <c r="I370" s="177"/>
      <c r="J370" s="177"/>
      <c r="K370" s="176">
        <f>SUM(K360:K366,K359)</f>
        <v>107.21409600000001</v>
      </c>
      <c r="L370" s="178">
        <f>K370-H370</f>
        <v>-1.0841999999999814</v>
      </c>
      <c r="M370" s="179">
        <f>IF((H370)=0,"",(L370/H370))</f>
        <v>-1.0011237849947164E-2</v>
      </c>
    </row>
    <row r="371" spans="1:13" x14ac:dyDescent="0.25">
      <c r="A371" s="100" t="str">
        <f t="shared" si="56"/>
        <v>SENTINEL LIGHTING SERVICE CLASSIFICATION</v>
      </c>
      <c r="B371" s="105" t="s">
        <v>117</v>
      </c>
      <c r="C371" s="117"/>
      <c r="D371" s="180" t="s">
        <v>184</v>
      </c>
      <c r="E371" s="158"/>
      <c r="F371" s="174">
        <v>0.13</v>
      </c>
      <c r="G371" s="181"/>
      <c r="H371" s="182">
        <f>H370*F371</f>
        <v>14.07877848</v>
      </c>
      <c r="I371" s="183">
        <v>0.13</v>
      </c>
      <c r="J371" s="121"/>
      <c r="K371" s="182">
        <f>K370*I371</f>
        <v>13.937832480000003</v>
      </c>
      <c r="L371" s="184">
        <f>K371-H371</f>
        <v>-0.1409459999999978</v>
      </c>
      <c r="M371" s="185">
        <f>IF((H371)=0,"",(L371/H371))</f>
        <v>-1.0011237849947178E-2</v>
      </c>
    </row>
    <row r="372" spans="1:13" x14ac:dyDescent="0.25">
      <c r="A372" s="100" t="str">
        <f t="shared" si="56"/>
        <v>SENTINEL LIGHTING SERVICE CLASSIFICATION</v>
      </c>
      <c r="B372" s="105" t="s">
        <v>117</v>
      </c>
      <c r="C372" s="117"/>
      <c r="D372" s="180" t="s">
        <v>185</v>
      </c>
      <c r="E372" s="158"/>
      <c r="F372" s="174">
        <v>0.08</v>
      </c>
      <c r="G372" s="181"/>
      <c r="H372" s="182">
        <v>0</v>
      </c>
      <c r="I372" s="174">
        <v>0.08</v>
      </c>
      <c r="J372" s="121"/>
      <c r="K372" s="182">
        <v>0</v>
      </c>
      <c r="L372" s="184">
        <f>K372-H372</f>
        <v>0</v>
      </c>
      <c r="M372" s="185"/>
    </row>
    <row r="373" spans="1:13" ht="15.75" thickBot="1" x14ac:dyDescent="0.3">
      <c r="A373" s="100" t="str">
        <f t="shared" si="56"/>
        <v>SENTINEL LIGHTING SERVICE CLASSIFICATION</v>
      </c>
      <c r="B373" s="105" t="s">
        <v>186</v>
      </c>
      <c r="C373" s="117">
        <f>B8</f>
        <v>6</v>
      </c>
      <c r="D373" s="301" t="s">
        <v>187</v>
      </c>
      <c r="E373" s="301"/>
      <c r="F373" s="186"/>
      <c r="G373" s="187"/>
      <c r="H373" s="188">
        <f>H370+H371+H372</f>
        <v>122.37707447999999</v>
      </c>
      <c r="I373" s="189"/>
      <c r="J373" s="189"/>
      <c r="K373" s="190">
        <f>K370+K371+K372</f>
        <v>121.15192848000001</v>
      </c>
      <c r="L373" s="191">
        <f>K373-H373</f>
        <v>-1.225145999999981</v>
      </c>
      <c r="M373" s="192">
        <f>IF((H373)=0,"",(L373/H373))</f>
        <v>-1.001123784994718E-2</v>
      </c>
    </row>
    <row r="374" spans="1:13" ht="15.75" thickBot="1" x14ac:dyDescent="0.3">
      <c r="A374" s="100" t="str">
        <f t="shared" si="56"/>
        <v>SENTINEL LIGHTING SERVICE CLASSIFICATION</v>
      </c>
      <c r="B374" s="100" t="s">
        <v>117</v>
      </c>
      <c r="C374" s="117"/>
      <c r="D374" s="165"/>
      <c r="E374" s="166"/>
      <c r="F374" s="167"/>
      <c r="G374" s="168"/>
      <c r="H374" s="169"/>
      <c r="I374" s="167"/>
      <c r="J374" s="170"/>
      <c r="K374" s="169"/>
      <c r="L374" s="171"/>
      <c r="M374" s="172"/>
    </row>
    <row r="375" spans="1:13" hidden="1" x14ac:dyDescent="0.25">
      <c r="A375" s="100" t="str">
        <f t="shared" si="56"/>
        <v>SENTINEL LIGHTING SERVICE CLASSIFICATION</v>
      </c>
      <c r="B375" s="100" t="s">
        <v>180</v>
      </c>
      <c r="C375" s="117"/>
      <c r="D375" s="173" t="s">
        <v>188</v>
      </c>
      <c r="E375" s="158"/>
      <c r="F375" s="174"/>
      <c r="G375" s="175"/>
      <c r="H375" s="176">
        <f>SUM(H367,H360:H363,H359)</f>
        <v>126.569796</v>
      </c>
      <c r="I375" s="177"/>
      <c r="J375" s="177"/>
      <c r="K375" s="176">
        <f>SUM(K367,K360:K363,K359)</f>
        <v>125.485596</v>
      </c>
      <c r="L375" s="178">
        <f>K375-H375</f>
        <v>-1.0841999999999956</v>
      </c>
      <c r="M375" s="179">
        <f>IF((H375)=0,"",(L375/H375))</f>
        <v>-8.5660247094021987E-3</v>
      </c>
    </row>
    <row r="376" spans="1:13" hidden="1" x14ac:dyDescent="0.25">
      <c r="A376" s="100" t="str">
        <f t="shared" si="56"/>
        <v>SENTINEL LIGHTING SERVICE CLASSIFICATION</v>
      </c>
      <c r="B376" s="100" t="s">
        <v>180</v>
      </c>
      <c r="C376" s="117"/>
      <c r="D376" s="180" t="s">
        <v>184</v>
      </c>
      <c r="E376" s="158"/>
      <c r="F376" s="174">
        <v>0.13</v>
      </c>
      <c r="G376" s="175"/>
      <c r="H376" s="182">
        <f>H375*F376</f>
        <v>16.454073480000002</v>
      </c>
      <c r="I376" s="174">
        <v>0.13</v>
      </c>
      <c r="J376" s="183"/>
      <c r="K376" s="182">
        <f>K375*I376</f>
        <v>16.313127480000002</v>
      </c>
      <c r="L376" s="184">
        <f>K376-H376</f>
        <v>-0.14094599999999957</v>
      </c>
      <c r="M376" s="185">
        <f>IF((H376)=0,"",(L376/H376))</f>
        <v>-8.5660247094022073E-3</v>
      </c>
    </row>
    <row r="377" spans="1:13" hidden="1" x14ac:dyDescent="0.25">
      <c r="A377" s="100" t="str">
        <f t="shared" si="56"/>
        <v>SENTINEL LIGHTING SERVICE CLASSIFICATION</v>
      </c>
      <c r="B377" s="100" t="s">
        <v>180</v>
      </c>
      <c r="C377" s="117"/>
      <c r="D377" s="180" t="s">
        <v>185</v>
      </c>
      <c r="E377" s="158"/>
      <c r="F377" s="174">
        <v>0.08</v>
      </c>
      <c r="G377" s="175"/>
      <c r="H377" s="182">
        <v>0</v>
      </c>
      <c r="I377" s="174">
        <v>0.08</v>
      </c>
      <c r="J377" s="183"/>
      <c r="K377" s="182">
        <v>0</v>
      </c>
      <c r="L377" s="184"/>
      <c r="M377" s="185"/>
    </row>
    <row r="378" spans="1:13" hidden="1" x14ac:dyDescent="0.25">
      <c r="A378" s="100" t="str">
        <f t="shared" si="56"/>
        <v>SENTINEL LIGHTING SERVICE CLASSIFICATION</v>
      </c>
      <c r="B378" s="100" t="s">
        <v>189</v>
      </c>
      <c r="C378" s="117"/>
      <c r="D378" s="301" t="s">
        <v>188</v>
      </c>
      <c r="E378" s="301"/>
      <c r="F378" s="193"/>
      <c r="G378" s="194"/>
      <c r="H378" s="188">
        <f>SUM(H375,H376)</f>
        <v>143.02386948</v>
      </c>
      <c r="I378" s="195"/>
      <c r="J378" s="195"/>
      <c r="K378" s="188">
        <f>SUM(K375,K376)</f>
        <v>141.79872348000001</v>
      </c>
      <c r="L378" s="196">
        <f>K378-H378</f>
        <v>-1.2251459999999952</v>
      </c>
      <c r="M378" s="197">
        <f>IF((H378)=0,"",(L378/H378))</f>
        <v>-8.5660247094022004E-3</v>
      </c>
    </row>
    <row r="379" spans="1:13" ht="15.75" hidden="1" thickBot="1" x14ac:dyDescent="0.3">
      <c r="A379" s="100" t="str">
        <f t="shared" si="56"/>
        <v>SENTINEL LIGHTING SERVICE CLASSIFICATION</v>
      </c>
      <c r="B379" s="100" t="s">
        <v>180</v>
      </c>
      <c r="C379" s="117"/>
      <c r="D379" s="165"/>
      <c r="E379" s="166"/>
      <c r="F379" s="198"/>
      <c r="G379" s="199"/>
      <c r="H379" s="200"/>
      <c r="I379" s="198"/>
      <c r="J379" s="168"/>
      <c r="K379" s="200"/>
      <c r="L379" s="201"/>
      <c r="M379" s="172"/>
    </row>
    <row r="380" spans="1:13" hidden="1" x14ac:dyDescent="0.25">
      <c r="A380" s="100" t="str">
        <f t="shared" si="56"/>
        <v>SENTINEL LIGHTING SERVICE CLASSIFICATION</v>
      </c>
      <c r="B380" s="100" t="s">
        <v>121</v>
      </c>
      <c r="C380" s="117"/>
      <c r="D380" s="173" t="s">
        <v>190</v>
      </c>
      <c r="E380" s="158"/>
      <c r="F380" s="174"/>
      <c r="G380" s="175"/>
      <c r="H380" s="176">
        <f>SUM(H368,H360:H363,H359)</f>
        <v>126.569796</v>
      </c>
      <c r="I380" s="177"/>
      <c r="J380" s="177"/>
      <c r="K380" s="176">
        <f>SUM(K368,K360:K363,K359)</f>
        <v>125.485596</v>
      </c>
      <c r="L380" s="178">
        <f>K380-H380</f>
        <v>-1.0841999999999956</v>
      </c>
      <c r="M380" s="179">
        <f>IF((H380)=0,"",(L380/H380))</f>
        <v>-8.5660247094021987E-3</v>
      </c>
    </row>
    <row r="381" spans="1:13" hidden="1" x14ac:dyDescent="0.25">
      <c r="A381" s="100" t="str">
        <f t="shared" si="56"/>
        <v>SENTINEL LIGHTING SERVICE CLASSIFICATION</v>
      </c>
      <c r="B381" s="100" t="s">
        <v>121</v>
      </c>
      <c r="C381" s="117"/>
      <c r="D381" s="180" t="s">
        <v>184</v>
      </c>
      <c r="E381" s="158"/>
      <c r="F381" s="174">
        <v>0.13</v>
      </c>
      <c r="G381" s="175"/>
      <c r="H381" s="182">
        <f>H380*F381</f>
        <v>16.454073480000002</v>
      </c>
      <c r="I381" s="174">
        <v>0.13</v>
      </c>
      <c r="J381" s="183"/>
      <c r="K381" s="182">
        <f>K380*I381</f>
        <v>16.313127480000002</v>
      </c>
      <c r="L381" s="184">
        <f>K381-H381</f>
        <v>-0.14094599999999957</v>
      </c>
      <c r="M381" s="185">
        <f>IF((H381)=0,"",(L381/H381))</f>
        <v>-8.5660247094022073E-3</v>
      </c>
    </row>
    <row r="382" spans="1:13" hidden="1" x14ac:dyDescent="0.25">
      <c r="A382" s="100" t="str">
        <f t="shared" si="56"/>
        <v>SENTINEL LIGHTING SERVICE CLASSIFICATION</v>
      </c>
      <c r="B382" s="100" t="s">
        <v>121</v>
      </c>
      <c r="C382" s="117"/>
      <c r="D382" s="180" t="s">
        <v>185</v>
      </c>
      <c r="E382" s="158"/>
      <c r="F382" s="174">
        <v>0.08</v>
      </c>
      <c r="G382" s="175"/>
      <c r="H382" s="182">
        <v>0</v>
      </c>
      <c r="I382" s="174">
        <v>0.08</v>
      </c>
      <c r="J382" s="183"/>
      <c r="K382" s="182">
        <v>0</v>
      </c>
      <c r="L382" s="184"/>
      <c r="M382" s="185"/>
    </row>
    <row r="383" spans="1:13" hidden="1" x14ac:dyDescent="0.25">
      <c r="A383" s="100" t="str">
        <f t="shared" si="56"/>
        <v>SENTINEL LIGHTING SERVICE CLASSIFICATION</v>
      </c>
      <c r="B383" s="100" t="s">
        <v>191</v>
      </c>
      <c r="C383" s="117"/>
      <c r="D383" s="301" t="s">
        <v>190</v>
      </c>
      <c r="E383" s="301"/>
      <c r="F383" s="193"/>
      <c r="G383" s="194"/>
      <c r="H383" s="188">
        <f>SUM(H380,H381)</f>
        <v>143.02386948</v>
      </c>
      <c r="I383" s="195"/>
      <c r="J383" s="195"/>
      <c r="K383" s="188">
        <f>SUM(K380,K381)</f>
        <v>141.79872348000001</v>
      </c>
      <c r="L383" s="196">
        <f>K383-H383</f>
        <v>-1.2251459999999952</v>
      </c>
      <c r="M383" s="197">
        <f>IF((H383)=0,"",(L383/H383))</f>
        <v>-8.5660247094022004E-3</v>
      </c>
    </row>
    <row r="384" spans="1:13" ht="15.75" hidden="1" thickBot="1" x14ac:dyDescent="0.3">
      <c r="A384" s="100" t="str">
        <f t="shared" si="56"/>
        <v>SENTINEL LIGHTING SERVICE CLASSIFICATION</v>
      </c>
      <c r="B384" s="100" t="s">
        <v>121</v>
      </c>
      <c r="C384" s="117"/>
      <c r="D384" s="165"/>
      <c r="E384" s="166"/>
      <c r="F384" s="202"/>
      <c r="G384" s="203"/>
      <c r="H384" s="204"/>
      <c r="I384" s="202"/>
      <c r="J384" s="205"/>
      <c r="K384" s="204"/>
      <c r="L384" s="206"/>
      <c r="M384" s="207"/>
    </row>
    <row r="387" spans="1:13" x14ac:dyDescent="0.25">
      <c r="C387" s="100"/>
      <c r="D387" s="101" t="s">
        <v>134</v>
      </c>
      <c r="E387" s="302" t="str">
        <f>D9</f>
        <v>STREET LIGHTING SERVICE CLASSIFICATION</v>
      </c>
      <c r="F387" s="302"/>
      <c r="G387" s="302"/>
      <c r="H387" s="302"/>
      <c r="I387" s="302"/>
      <c r="J387" s="302"/>
      <c r="K387" s="100" t="str">
        <f>IF(N9="DEMAND - INTERVAL","RTSR - INTERVAL METERED","")</f>
        <v/>
      </c>
    </row>
    <row r="388" spans="1:13" x14ac:dyDescent="0.25">
      <c r="C388" s="100"/>
      <c r="D388" s="101" t="s">
        <v>135</v>
      </c>
      <c r="E388" s="303" t="str">
        <f>H9</f>
        <v>Non-RPP (Other)</v>
      </c>
      <c r="F388" s="303"/>
      <c r="G388" s="303"/>
      <c r="H388" s="102"/>
      <c r="I388" s="102"/>
    </row>
    <row r="389" spans="1:13" ht="15.75" x14ac:dyDescent="0.25">
      <c r="C389" s="100"/>
      <c r="D389" s="101" t="s">
        <v>136</v>
      </c>
      <c r="E389" s="103">
        <f>K9</f>
        <v>94033.37</v>
      </c>
      <c r="F389" s="104" t="s">
        <v>137</v>
      </c>
      <c r="G389" s="105"/>
      <c r="J389" s="106"/>
      <c r="K389" s="106"/>
      <c r="L389" s="106"/>
      <c r="M389" s="106"/>
    </row>
    <row r="390" spans="1:13" ht="15.75" x14ac:dyDescent="0.25">
      <c r="C390" s="100"/>
      <c r="D390" s="101" t="s">
        <v>138</v>
      </c>
      <c r="E390" s="103">
        <f>L9</f>
        <v>251</v>
      </c>
      <c r="F390" s="107" t="s">
        <v>139</v>
      </c>
      <c r="G390" s="108"/>
      <c r="H390" s="109"/>
      <c r="I390" s="109"/>
      <c r="J390" s="109"/>
    </row>
    <row r="391" spans="1:13" x14ac:dyDescent="0.25">
      <c r="C391" s="100"/>
      <c r="D391" s="101" t="s">
        <v>140</v>
      </c>
      <c r="E391" s="110">
        <f>I9</f>
        <v>1.056</v>
      </c>
    </row>
    <row r="392" spans="1:13" x14ac:dyDescent="0.25">
      <c r="C392" s="100"/>
      <c r="D392" s="101" t="s">
        <v>141</v>
      </c>
      <c r="E392" s="110">
        <f>J9</f>
        <v>1.056</v>
      </c>
    </row>
    <row r="393" spans="1:13" x14ac:dyDescent="0.25">
      <c r="C393" s="100"/>
      <c r="D393" s="105"/>
    </row>
    <row r="394" spans="1:13" x14ac:dyDescent="0.25">
      <c r="C394" s="100"/>
      <c r="D394" s="105"/>
      <c r="E394" s="111"/>
      <c r="F394" s="304" t="s">
        <v>142</v>
      </c>
      <c r="G394" s="305"/>
      <c r="H394" s="306"/>
      <c r="I394" s="304" t="s">
        <v>143</v>
      </c>
      <c r="J394" s="305"/>
      <c r="K394" s="306"/>
      <c r="L394" s="304" t="s">
        <v>144</v>
      </c>
      <c r="M394" s="306"/>
    </row>
    <row r="395" spans="1:13" x14ac:dyDescent="0.25">
      <c r="C395" s="100"/>
      <c r="D395" s="105"/>
      <c r="E395" s="295"/>
      <c r="F395" s="112" t="s">
        <v>145</v>
      </c>
      <c r="G395" s="112" t="s">
        <v>146</v>
      </c>
      <c r="H395" s="113" t="s">
        <v>147</v>
      </c>
      <c r="I395" s="112" t="s">
        <v>145</v>
      </c>
      <c r="J395" s="114" t="s">
        <v>146</v>
      </c>
      <c r="K395" s="113" t="s">
        <v>147</v>
      </c>
      <c r="L395" s="297" t="s">
        <v>148</v>
      </c>
      <c r="M395" s="299" t="s">
        <v>149</v>
      </c>
    </row>
    <row r="396" spans="1:13" x14ac:dyDescent="0.25">
      <c r="C396" s="100"/>
      <c r="D396" s="105"/>
      <c r="E396" s="296"/>
      <c r="F396" s="115" t="s">
        <v>150</v>
      </c>
      <c r="G396" s="115"/>
      <c r="H396" s="116" t="s">
        <v>150</v>
      </c>
      <c r="I396" s="115" t="s">
        <v>150</v>
      </c>
      <c r="J396" s="116"/>
      <c r="K396" s="116" t="s">
        <v>150</v>
      </c>
      <c r="L396" s="298"/>
      <c r="M396" s="300"/>
    </row>
    <row r="397" spans="1:13" x14ac:dyDescent="0.25">
      <c r="A397" s="100" t="str">
        <f>$E387</f>
        <v>STREET LIGHTING SERVICE CLASSIFICATION</v>
      </c>
      <c r="C397" s="117"/>
      <c r="D397" s="118" t="s">
        <v>151</v>
      </c>
      <c r="E397" s="119"/>
      <c r="F397" s="120">
        <v>2.2999999999999998</v>
      </c>
      <c r="G397" s="121">
        <v>1</v>
      </c>
      <c r="H397" s="122">
        <f>G397*F397</f>
        <v>2.2999999999999998</v>
      </c>
      <c r="I397" s="123">
        <v>2.33</v>
      </c>
      <c r="J397" s="124">
        <f>G397</f>
        <v>1</v>
      </c>
      <c r="K397" s="122">
        <f>J397*I397</f>
        <v>2.33</v>
      </c>
      <c r="L397" s="125">
        <f t="shared" ref="L397:L418" si="61">K397-H397</f>
        <v>3.0000000000000249E-2</v>
      </c>
      <c r="M397" s="126">
        <f>IF(ISERROR(L397/H397), "", L397/H397)</f>
        <v>1.3043478260869674E-2</v>
      </c>
    </row>
    <row r="398" spans="1:13" x14ac:dyDescent="0.25">
      <c r="A398" s="100" t="str">
        <f>A397</f>
        <v>STREET LIGHTING SERVICE CLASSIFICATION</v>
      </c>
      <c r="C398" s="117"/>
      <c r="D398" s="118" t="s">
        <v>152</v>
      </c>
      <c r="E398" s="119"/>
      <c r="F398" s="127">
        <v>1.5523</v>
      </c>
      <c r="G398" s="121">
        <f>IF($E390&gt;0, $E390, $E389)</f>
        <v>251</v>
      </c>
      <c r="H398" s="122">
        <f t="shared" ref="H398:H410" si="62">G398*F398</f>
        <v>389.62729999999999</v>
      </c>
      <c r="I398" s="128">
        <v>1.5709</v>
      </c>
      <c r="J398" s="124">
        <f>IF($E390&gt;0, $E390, $E389)</f>
        <v>251</v>
      </c>
      <c r="K398" s="122">
        <f>J398*I398</f>
        <v>394.29590000000002</v>
      </c>
      <c r="L398" s="125">
        <f t="shared" si="61"/>
        <v>4.6686000000000263</v>
      </c>
      <c r="M398" s="126">
        <f t="shared" ref="M398:M408" si="63">IF(ISERROR(L398/H398), "", L398/H398)</f>
        <v>1.1982219931714298E-2</v>
      </c>
    </row>
    <row r="399" spans="1:13" x14ac:dyDescent="0.25">
      <c r="A399" s="100" t="str">
        <f t="shared" ref="A399:A440" si="64">A398</f>
        <v>STREET LIGHTING SERVICE CLASSIFICATION</v>
      </c>
      <c r="C399" s="117"/>
      <c r="D399" s="118" t="s">
        <v>153</v>
      </c>
      <c r="E399" s="119"/>
      <c r="F399" s="127"/>
      <c r="G399" s="121"/>
      <c r="H399" s="122">
        <v>0</v>
      </c>
      <c r="I399" s="128"/>
      <c r="J399" s="124">
        <f>IF($E390&gt;0, $E390, $E389)</f>
        <v>251</v>
      </c>
      <c r="K399" s="122">
        <v>0</v>
      </c>
      <c r="L399" s="125"/>
      <c r="M399" s="126"/>
    </row>
    <row r="400" spans="1:13" x14ac:dyDescent="0.25">
      <c r="A400" s="100" t="str">
        <f t="shared" si="64"/>
        <v>STREET LIGHTING SERVICE CLASSIFICATION</v>
      </c>
      <c r="C400" s="117"/>
      <c r="D400" s="118" t="s">
        <v>154</v>
      </c>
      <c r="E400" s="119"/>
      <c r="F400" s="127"/>
      <c r="G400" s="121">
        <f>IF($E390&gt;0, $E390, $E389)</f>
        <v>251</v>
      </c>
      <c r="H400" s="122">
        <v>0</v>
      </c>
      <c r="I400" s="128"/>
      <c r="J400" s="121">
        <f>IF($E390&gt;0, $E390, $E389)</f>
        <v>251</v>
      </c>
      <c r="K400" s="122">
        <v>0</v>
      </c>
      <c r="L400" s="125">
        <f>K400-H400</f>
        <v>0</v>
      </c>
      <c r="M400" s="126" t="str">
        <f>IF(ISERROR(L400/H400), "", L400/H400)</f>
        <v/>
      </c>
    </row>
    <row r="401" spans="1:13" x14ac:dyDescent="0.25">
      <c r="A401" s="100" t="str">
        <f t="shared" si="64"/>
        <v>STREET LIGHTING SERVICE CLASSIFICATION</v>
      </c>
      <c r="C401" s="117"/>
      <c r="D401" s="129" t="s">
        <v>155</v>
      </c>
      <c r="E401" s="119"/>
      <c r="F401" s="120">
        <v>0</v>
      </c>
      <c r="G401" s="121">
        <v>1</v>
      </c>
      <c r="H401" s="122">
        <f t="shared" si="62"/>
        <v>0</v>
      </c>
      <c r="I401" s="123">
        <v>0</v>
      </c>
      <c r="J401" s="124">
        <f>G401</f>
        <v>1</v>
      </c>
      <c r="K401" s="122">
        <f t="shared" ref="K401:K408" si="65">J401*I401</f>
        <v>0</v>
      </c>
      <c r="L401" s="125">
        <f t="shared" si="61"/>
        <v>0</v>
      </c>
      <c r="M401" s="126" t="str">
        <f t="shared" si="63"/>
        <v/>
      </c>
    </row>
    <row r="402" spans="1:13" x14ac:dyDescent="0.25">
      <c r="A402" s="100" t="str">
        <f t="shared" si="64"/>
        <v>STREET LIGHTING SERVICE CLASSIFICATION</v>
      </c>
      <c r="C402" s="117"/>
      <c r="D402" s="118" t="s">
        <v>156</v>
      </c>
      <c r="E402" s="119"/>
      <c r="F402" s="127">
        <v>0</v>
      </c>
      <c r="G402" s="121">
        <f>IF($E390&gt;0, $E390, $E389)</f>
        <v>251</v>
      </c>
      <c r="H402" s="122">
        <f t="shared" si="62"/>
        <v>0</v>
      </c>
      <c r="I402" s="128">
        <v>0</v>
      </c>
      <c r="J402" s="124">
        <f>IF($E390&gt;0, $E390, $E389)</f>
        <v>251</v>
      </c>
      <c r="K402" s="122">
        <f t="shared" si="65"/>
        <v>0</v>
      </c>
      <c r="L402" s="125">
        <f t="shared" si="61"/>
        <v>0</v>
      </c>
      <c r="M402" s="126" t="str">
        <f t="shared" si="63"/>
        <v/>
      </c>
    </row>
    <row r="403" spans="1:13" x14ac:dyDescent="0.25">
      <c r="A403" s="100" t="str">
        <f t="shared" si="64"/>
        <v>STREET LIGHTING SERVICE CLASSIFICATION</v>
      </c>
      <c r="B403" s="130" t="s">
        <v>157</v>
      </c>
      <c r="C403" s="117">
        <f>B9</f>
        <v>7</v>
      </c>
      <c r="D403" s="131" t="s">
        <v>158</v>
      </c>
      <c r="E403" s="132"/>
      <c r="F403" s="133"/>
      <c r="G403" s="134"/>
      <c r="H403" s="135">
        <f>SUM(H397:H402)</f>
        <v>391.9273</v>
      </c>
      <c r="I403" s="136"/>
      <c r="J403" s="137"/>
      <c r="K403" s="135">
        <f>SUM(K397:K402)</f>
        <v>396.6259</v>
      </c>
      <c r="L403" s="138">
        <f t="shared" si="61"/>
        <v>4.698599999999999</v>
      </c>
      <c r="M403" s="139">
        <f>IF((H403)=0,"",(L403/H403))</f>
        <v>1.1988447857549088E-2</v>
      </c>
    </row>
    <row r="404" spans="1:13" x14ac:dyDescent="0.25">
      <c r="A404" s="100" t="str">
        <f t="shared" si="64"/>
        <v>STREET LIGHTING SERVICE CLASSIFICATION</v>
      </c>
      <c r="C404" s="117"/>
      <c r="D404" s="140" t="s">
        <v>159</v>
      </c>
      <c r="E404" s="119"/>
      <c r="F404" s="127">
        <f>IF((E389*12&gt;=150000), 0, IF(E388="RPP",(F420*0.65+F421*0.17+F422*0.18),IF(E388="Non-RPP (Retailer)",F423,F424)))</f>
        <v>0</v>
      </c>
      <c r="G404" s="141">
        <f>IF(F404=0, 0, $E389*E391-E389)</f>
        <v>0</v>
      </c>
      <c r="H404" s="122">
        <f>G404*F404</f>
        <v>0</v>
      </c>
      <c r="I404" s="128">
        <f>IF((E389*12&gt;=150000), 0, IF(E388="RPP",(I420*0.65+I421*0.17+I422*0.18),IF(E388="Non-RPP (Retailer)",I423,I424)))</f>
        <v>0</v>
      </c>
      <c r="J404" s="141">
        <f>IF(I404=0, 0, E389*E392-E389)</f>
        <v>0</v>
      </c>
      <c r="K404" s="122">
        <f>J404*I404</f>
        <v>0</v>
      </c>
      <c r="L404" s="125">
        <f>K404-H404</f>
        <v>0</v>
      </c>
      <c r="M404" s="126" t="str">
        <f>IF(ISERROR(L404/H404), "", L404/H404)</f>
        <v/>
      </c>
    </row>
    <row r="405" spans="1:13" ht="25.5" x14ac:dyDescent="0.25">
      <c r="A405" s="100" t="str">
        <f t="shared" si="64"/>
        <v>STREET LIGHTING SERVICE CLASSIFICATION</v>
      </c>
      <c r="C405" s="117"/>
      <c r="D405" s="140" t="s">
        <v>160</v>
      </c>
      <c r="E405" s="119"/>
      <c r="F405" s="127">
        <v>-0.97850000000000004</v>
      </c>
      <c r="G405" s="142">
        <f>IF($E390&gt;0, $E390, $E389)</f>
        <v>251</v>
      </c>
      <c r="H405" s="122">
        <f t="shared" si="62"/>
        <v>-245.6035</v>
      </c>
      <c r="I405" s="128">
        <v>-1.8794</v>
      </c>
      <c r="J405" s="142">
        <f>IF($E390&gt;0, $E390, $E389)</f>
        <v>251</v>
      </c>
      <c r="K405" s="122">
        <f t="shared" si="65"/>
        <v>-471.7294</v>
      </c>
      <c r="L405" s="125">
        <f t="shared" si="61"/>
        <v>-226.1259</v>
      </c>
      <c r="M405" s="126">
        <f t="shared" si="63"/>
        <v>0.92069494123658668</v>
      </c>
    </row>
    <row r="406" spans="1:13" x14ac:dyDescent="0.25">
      <c r="A406" s="100" t="str">
        <f t="shared" si="64"/>
        <v>STREET LIGHTING SERVICE CLASSIFICATION</v>
      </c>
      <c r="C406" s="117"/>
      <c r="D406" s="140" t="s">
        <v>161</v>
      </c>
      <c r="E406" s="119"/>
      <c r="F406" s="127">
        <v>-2.8500000000000001E-2</v>
      </c>
      <c r="G406" s="142">
        <f>IF($E390&gt;0, $E390, $E389)</f>
        <v>251</v>
      </c>
      <c r="H406" s="122">
        <f>G406*F406</f>
        <v>-7.1535000000000002</v>
      </c>
      <c r="I406" s="128">
        <v>0</v>
      </c>
      <c r="J406" s="142">
        <f>IF($E390&gt;0, $E390, $E389)</f>
        <v>251</v>
      </c>
      <c r="K406" s="122">
        <f>J406*I406</f>
        <v>0</v>
      </c>
      <c r="L406" s="125">
        <f t="shared" si="61"/>
        <v>7.1535000000000002</v>
      </c>
      <c r="M406" s="126">
        <f t="shared" si="63"/>
        <v>-1</v>
      </c>
    </row>
    <row r="407" spans="1:13" x14ac:dyDescent="0.25">
      <c r="A407" s="100" t="str">
        <f t="shared" si="64"/>
        <v>STREET LIGHTING SERVICE CLASSIFICATION</v>
      </c>
      <c r="C407" s="117"/>
      <c r="D407" s="140" t="s">
        <v>162</v>
      </c>
      <c r="E407" s="119"/>
      <c r="F407" s="127"/>
      <c r="G407" s="142">
        <f>E389</f>
        <v>94033.37</v>
      </c>
      <c r="H407" s="122">
        <f>G407*F407</f>
        <v>0</v>
      </c>
      <c r="I407" s="128"/>
      <c r="J407" s="142">
        <f>E389</f>
        <v>94033.37</v>
      </c>
      <c r="K407" s="122">
        <f t="shared" si="65"/>
        <v>0</v>
      </c>
      <c r="L407" s="125">
        <f t="shared" si="61"/>
        <v>0</v>
      </c>
      <c r="M407" s="126" t="str">
        <f t="shared" si="63"/>
        <v/>
      </c>
    </row>
    <row r="408" spans="1:13" x14ac:dyDescent="0.25">
      <c r="A408" s="100" t="str">
        <f t="shared" si="64"/>
        <v>STREET LIGHTING SERVICE CLASSIFICATION</v>
      </c>
      <c r="C408" s="117"/>
      <c r="D408" s="143" t="s">
        <v>163</v>
      </c>
      <c r="E408" s="119"/>
      <c r="F408" s="127">
        <v>0.73929999999999996</v>
      </c>
      <c r="G408" s="142">
        <f>IF($E390&gt;0, $E390, $E389)</f>
        <v>251</v>
      </c>
      <c r="H408" s="122">
        <f t="shared" si="62"/>
        <v>185.5643</v>
      </c>
      <c r="I408" s="128">
        <v>0.73929999999999996</v>
      </c>
      <c r="J408" s="142">
        <f>IF($E390&gt;0, $E390, $E389)</f>
        <v>251</v>
      </c>
      <c r="K408" s="122">
        <f t="shared" si="65"/>
        <v>185.5643</v>
      </c>
      <c r="L408" s="125">
        <f t="shared" si="61"/>
        <v>0</v>
      </c>
      <c r="M408" s="126">
        <f t="shared" si="63"/>
        <v>0</v>
      </c>
    </row>
    <row r="409" spans="1:13" ht="25.5" x14ac:dyDescent="0.25">
      <c r="A409" s="100" t="str">
        <f t="shared" si="64"/>
        <v>STREET LIGHTING SERVICE CLASSIFICATION</v>
      </c>
      <c r="C409" s="117"/>
      <c r="D409" s="144" t="s">
        <v>164</v>
      </c>
      <c r="E409" s="119"/>
      <c r="F409" s="145">
        <f>IF(OR(ISNUMBER(SEARCH("RESIDENTIAL", E387))=TRUE, ISNUMBER(SEARCH("GENERAL SERVICE LESS THAN 50", E387))=TRUE), SME, 0)</f>
        <v>0</v>
      </c>
      <c r="G409" s="121">
        <v>1</v>
      </c>
      <c r="H409" s="122">
        <f>G409*F409</f>
        <v>0</v>
      </c>
      <c r="I409" s="146">
        <f>IF(OR(ISNUMBER(SEARCH("RESIDENTIAL", E387))=TRUE, ISNUMBER(SEARCH("GENERAL SERVICE LESS THAN 50", E387))=TRUE), SME, 0)</f>
        <v>0</v>
      </c>
      <c r="J409" s="121">
        <v>1</v>
      </c>
      <c r="K409" s="122">
        <f>J409*I409</f>
        <v>0</v>
      </c>
      <c r="L409" s="125">
        <f t="shared" si="61"/>
        <v>0</v>
      </c>
      <c r="M409" s="126" t="str">
        <f>IF(ISERROR(L409/H409), "", L409/H409)</f>
        <v/>
      </c>
    </row>
    <row r="410" spans="1:13" x14ac:dyDescent="0.25">
      <c r="A410" s="100" t="str">
        <f t="shared" si="64"/>
        <v>STREET LIGHTING SERVICE CLASSIFICATION</v>
      </c>
      <c r="C410" s="117"/>
      <c r="D410" s="143" t="s">
        <v>165</v>
      </c>
      <c r="E410" s="119"/>
      <c r="F410" s="120">
        <v>0</v>
      </c>
      <c r="G410" s="121">
        <v>1</v>
      </c>
      <c r="H410" s="122">
        <f t="shared" si="62"/>
        <v>0</v>
      </c>
      <c r="I410" s="123">
        <v>0</v>
      </c>
      <c r="J410" s="121">
        <v>1</v>
      </c>
      <c r="K410" s="122">
        <f>J410*I410</f>
        <v>0</v>
      </c>
      <c r="L410" s="125">
        <f>K410-H410</f>
        <v>0</v>
      </c>
      <c r="M410" s="126" t="str">
        <f>IF(ISERROR(L410/H410), "", L410/H410)</f>
        <v/>
      </c>
    </row>
    <row r="411" spans="1:13" x14ac:dyDescent="0.25">
      <c r="A411" s="100" t="str">
        <f t="shared" si="64"/>
        <v>STREET LIGHTING SERVICE CLASSIFICATION</v>
      </c>
      <c r="C411" s="117"/>
      <c r="D411" s="143" t="s">
        <v>166</v>
      </c>
      <c r="E411" s="119"/>
      <c r="F411" s="127"/>
      <c r="G411" s="142">
        <f>IF($E390&gt;0, $E390, $E389)</f>
        <v>251</v>
      </c>
      <c r="H411" s="122">
        <f>G411*F411</f>
        <v>0</v>
      </c>
      <c r="I411" s="128">
        <v>0</v>
      </c>
      <c r="J411" s="142">
        <f>IF($E390&gt;0, $E390, $E389)</f>
        <v>251</v>
      </c>
      <c r="K411" s="122">
        <f>J411*I411</f>
        <v>0</v>
      </c>
      <c r="L411" s="125">
        <f t="shared" si="61"/>
        <v>0</v>
      </c>
      <c r="M411" s="126" t="str">
        <f>IF(ISERROR(L411/H411), "", L411/H411)</f>
        <v/>
      </c>
    </row>
    <row r="412" spans="1:13" ht="25.5" x14ac:dyDescent="0.25">
      <c r="A412" s="100" t="str">
        <f t="shared" si="64"/>
        <v>STREET LIGHTING SERVICE CLASSIFICATION</v>
      </c>
      <c r="B412" s="105" t="s">
        <v>167</v>
      </c>
      <c r="C412" s="117">
        <f>B9</f>
        <v>7</v>
      </c>
      <c r="D412" s="147" t="s">
        <v>168</v>
      </c>
      <c r="E412" s="148"/>
      <c r="F412" s="149"/>
      <c r="G412" s="150"/>
      <c r="H412" s="151">
        <f>SUM(H403:H411)</f>
        <v>324.7346</v>
      </c>
      <c r="I412" s="152"/>
      <c r="J412" s="153"/>
      <c r="K412" s="151">
        <f>SUM(K403:K411)</f>
        <v>110.46080000000001</v>
      </c>
      <c r="L412" s="138">
        <f t="shared" si="61"/>
        <v>-214.27379999999999</v>
      </c>
      <c r="M412" s="139">
        <f>IF((H412)=0,"",(L412/H412))</f>
        <v>-0.65984283781278619</v>
      </c>
    </row>
    <row r="413" spans="1:13" x14ac:dyDescent="0.25">
      <c r="A413" s="100" t="str">
        <f t="shared" si="64"/>
        <v>STREET LIGHTING SERVICE CLASSIFICATION</v>
      </c>
      <c r="C413" s="117"/>
      <c r="D413" s="154" t="s">
        <v>169</v>
      </c>
      <c r="E413" s="119"/>
      <c r="F413" s="127">
        <v>1.8616999999999999</v>
      </c>
      <c r="G413" s="141">
        <f>IF($E390&gt;0, $E390, $E389*$E391)</f>
        <v>251</v>
      </c>
      <c r="H413" s="122">
        <f>G413*F413</f>
        <v>467.2867</v>
      </c>
      <c r="I413" s="128">
        <v>1.766</v>
      </c>
      <c r="J413" s="141">
        <f>IF($E390&gt;0, $E390, $E389*$E392)</f>
        <v>251</v>
      </c>
      <c r="K413" s="122">
        <f>J413*I413</f>
        <v>443.26600000000002</v>
      </c>
      <c r="L413" s="125">
        <f t="shared" si="61"/>
        <v>-24.020699999999977</v>
      </c>
      <c r="M413" s="126">
        <f>IF(ISERROR(L413/H413), "", L413/H413)</f>
        <v>-5.1404630176720152E-2</v>
      </c>
    </row>
    <row r="414" spans="1:13" ht="25.5" x14ac:dyDescent="0.25">
      <c r="A414" s="100" t="str">
        <f t="shared" si="64"/>
        <v>STREET LIGHTING SERVICE CLASSIFICATION</v>
      </c>
      <c r="C414" s="117"/>
      <c r="D414" s="155" t="s">
        <v>170</v>
      </c>
      <c r="E414" s="119"/>
      <c r="F414" s="127">
        <v>1.5617000000000001</v>
      </c>
      <c r="G414" s="141">
        <f>IF($E390&gt;0, $E390, $E389*$E391)</f>
        <v>251</v>
      </c>
      <c r="H414" s="122">
        <f>G414*F414</f>
        <v>391.98670000000004</v>
      </c>
      <c r="I414" s="128">
        <v>1.4761</v>
      </c>
      <c r="J414" s="141">
        <f>IF($E390&gt;0, $E390, $E389*$E392)</f>
        <v>251</v>
      </c>
      <c r="K414" s="122">
        <f>J414*I414</f>
        <v>370.50110000000001</v>
      </c>
      <c r="L414" s="125">
        <f t="shared" si="61"/>
        <v>-21.485600000000034</v>
      </c>
      <c r="M414" s="126">
        <f>IF(ISERROR(L414/H414), "", L414/H414)</f>
        <v>-5.4812063776653729E-2</v>
      </c>
    </row>
    <row r="415" spans="1:13" ht="25.5" x14ac:dyDescent="0.25">
      <c r="A415" s="100" t="str">
        <f t="shared" si="64"/>
        <v>STREET LIGHTING SERVICE CLASSIFICATION</v>
      </c>
      <c r="B415" s="105" t="s">
        <v>171</v>
      </c>
      <c r="C415" s="117">
        <f>B9</f>
        <v>7</v>
      </c>
      <c r="D415" s="147" t="s">
        <v>172</v>
      </c>
      <c r="E415" s="132"/>
      <c r="F415" s="149"/>
      <c r="G415" s="150"/>
      <c r="H415" s="151">
        <f>SUM(H412:H414)</f>
        <v>1184.008</v>
      </c>
      <c r="I415" s="152"/>
      <c r="J415" s="137"/>
      <c r="K415" s="151">
        <f>SUM(K412:K414)</f>
        <v>924.22790000000009</v>
      </c>
      <c r="L415" s="138">
        <f t="shared" si="61"/>
        <v>-259.78009999999995</v>
      </c>
      <c r="M415" s="139">
        <f>IF((H415)=0,"",(L415/H415))</f>
        <v>-0.21940738576090696</v>
      </c>
    </row>
    <row r="416" spans="1:13" ht="25.5" x14ac:dyDescent="0.25">
      <c r="A416" s="100" t="str">
        <f t="shared" si="64"/>
        <v>STREET LIGHTING SERVICE CLASSIFICATION</v>
      </c>
      <c r="C416" s="117"/>
      <c r="D416" s="156" t="s">
        <v>173</v>
      </c>
      <c r="E416" s="119"/>
      <c r="F416" s="127">
        <v>3.6000000000000003E-3</v>
      </c>
      <c r="G416" s="141">
        <f>E389*E391</f>
        <v>99299.238719999994</v>
      </c>
      <c r="H416" s="157">
        <f t="shared" ref="H416:H422" si="66">G416*F416</f>
        <v>357.47725939200001</v>
      </c>
      <c r="I416" s="128">
        <v>3.6000000000000003E-3</v>
      </c>
      <c r="J416" s="141">
        <f>E389*E392</f>
        <v>99299.238719999994</v>
      </c>
      <c r="K416" s="157">
        <f t="shared" ref="K416:K422" si="67">J416*I416</f>
        <v>357.47725939200001</v>
      </c>
      <c r="L416" s="125">
        <f t="shared" si="61"/>
        <v>0</v>
      </c>
      <c r="M416" s="126">
        <f t="shared" ref="M416:M424" si="68">IF(ISERROR(L416/H416), "", L416/H416)</f>
        <v>0</v>
      </c>
    </row>
    <row r="417" spans="1:13" ht="25.5" x14ac:dyDescent="0.25">
      <c r="A417" s="100" t="str">
        <f t="shared" si="64"/>
        <v>STREET LIGHTING SERVICE CLASSIFICATION</v>
      </c>
      <c r="C417" s="117"/>
      <c r="D417" s="156" t="s">
        <v>174</v>
      </c>
      <c r="E417" s="119"/>
      <c r="F417" s="127">
        <f>'[1]17. Regulatory Charges'!$D$16</f>
        <v>2.9999999999999997E-4</v>
      </c>
      <c r="G417" s="141">
        <f>E389*E391</f>
        <v>99299.238719999994</v>
      </c>
      <c r="H417" s="157">
        <f t="shared" si="66"/>
        <v>29.789771615999996</v>
      </c>
      <c r="I417" s="128">
        <v>2.9999999999999997E-4</v>
      </c>
      <c r="J417" s="141">
        <f>E389*E392</f>
        <v>99299.238719999994</v>
      </c>
      <c r="K417" s="157">
        <f t="shared" si="67"/>
        <v>29.789771615999996</v>
      </c>
      <c r="L417" s="125">
        <f t="shared" si="61"/>
        <v>0</v>
      </c>
      <c r="M417" s="126">
        <f t="shared" si="68"/>
        <v>0</v>
      </c>
    </row>
    <row r="418" spans="1:13" x14ac:dyDescent="0.25">
      <c r="A418" s="100" t="str">
        <f t="shared" si="64"/>
        <v>STREET LIGHTING SERVICE CLASSIFICATION</v>
      </c>
      <c r="C418" s="117"/>
      <c r="D418" s="158" t="s">
        <v>175</v>
      </c>
      <c r="E418" s="119"/>
      <c r="F418" s="145">
        <v>0.25</v>
      </c>
      <c r="G418" s="121">
        <v>1</v>
      </c>
      <c r="H418" s="157">
        <f t="shared" si="66"/>
        <v>0.25</v>
      </c>
      <c r="I418" s="146">
        <f>'[1]17. Regulatory Charges'!$D$17</f>
        <v>0.25</v>
      </c>
      <c r="J418" s="124">
        <v>1</v>
      </c>
      <c r="K418" s="157">
        <f t="shared" si="67"/>
        <v>0.25</v>
      </c>
      <c r="L418" s="125">
        <f t="shared" si="61"/>
        <v>0</v>
      </c>
      <c r="M418" s="126">
        <f t="shared" si="68"/>
        <v>0</v>
      </c>
    </row>
    <row r="419" spans="1:13" ht="25.5" x14ac:dyDescent="0.25">
      <c r="A419" s="100" t="str">
        <f t="shared" si="64"/>
        <v>STREET LIGHTING SERVICE CLASSIFICATION</v>
      </c>
      <c r="C419" s="117"/>
      <c r="D419" s="156" t="s">
        <v>176</v>
      </c>
      <c r="E419" s="119"/>
      <c r="F419" s="127"/>
      <c r="G419" s="141"/>
      <c r="H419" s="157"/>
      <c r="I419" s="128"/>
      <c r="J419" s="141"/>
      <c r="K419" s="157"/>
      <c r="L419" s="125"/>
      <c r="M419" s="126"/>
    </row>
    <row r="420" spans="1:13" hidden="1" x14ac:dyDescent="0.25">
      <c r="A420" s="100" t="str">
        <f t="shared" si="64"/>
        <v>STREET LIGHTING SERVICE CLASSIFICATION</v>
      </c>
      <c r="B420" s="105" t="s">
        <v>117</v>
      </c>
      <c r="C420" s="117"/>
      <c r="D420" s="159" t="s">
        <v>177</v>
      </c>
      <c r="E420" s="119"/>
      <c r="F420" s="160">
        <f>OffPeak</f>
        <v>6.5000000000000002E-2</v>
      </c>
      <c r="G420" s="161">
        <f>IF(AND(E389*12&gt;=150000),0.65*E389*E391,0.65*E389)</f>
        <v>64544.505168000003</v>
      </c>
      <c r="H420" s="157">
        <f t="shared" si="66"/>
        <v>4195.3928359199999</v>
      </c>
      <c r="I420" s="162">
        <f>OffPeak</f>
        <v>6.5000000000000002E-2</v>
      </c>
      <c r="J420" s="161">
        <f>IF(AND(E389*12&gt;=150000),0.65*E389*E392,0.65*E389)</f>
        <v>64544.505168000003</v>
      </c>
      <c r="K420" s="157">
        <f t="shared" si="67"/>
        <v>4195.3928359199999</v>
      </c>
      <c r="L420" s="125">
        <f>K420-H420</f>
        <v>0</v>
      </c>
      <c r="M420" s="126">
        <f t="shared" si="68"/>
        <v>0</v>
      </c>
    </row>
    <row r="421" spans="1:13" hidden="1" x14ac:dyDescent="0.25">
      <c r="A421" s="100" t="str">
        <f t="shared" si="64"/>
        <v>STREET LIGHTING SERVICE CLASSIFICATION</v>
      </c>
      <c r="B421" s="105" t="s">
        <v>117</v>
      </c>
      <c r="C421" s="117"/>
      <c r="D421" s="159" t="s">
        <v>178</v>
      </c>
      <c r="E421" s="119"/>
      <c r="F421" s="160">
        <f>MidPeak</f>
        <v>9.4E-2</v>
      </c>
      <c r="G421" s="161">
        <f>IF(AND(E389*12&gt;=150000),0.17*E389*E391,0.17*E389)</f>
        <v>16880.870582399999</v>
      </c>
      <c r="H421" s="157">
        <f t="shared" si="66"/>
        <v>1586.8018347456</v>
      </c>
      <c r="I421" s="162">
        <f>MidPeak</f>
        <v>9.4E-2</v>
      </c>
      <c r="J421" s="161">
        <f>IF(AND(E389*12&gt;=150000),0.17*E389*E392,0.17*E389)</f>
        <v>16880.870582399999</v>
      </c>
      <c r="K421" s="157">
        <f t="shared" si="67"/>
        <v>1586.8018347456</v>
      </c>
      <c r="L421" s="125">
        <f>K421-H421</f>
        <v>0</v>
      </c>
      <c r="M421" s="126">
        <f t="shared" si="68"/>
        <v>0</v>
      </c>
    </row>
    <row r="422" spans="1:13" hidden="1" x14ac:dyDescent="0.25">
      <c r="A422" s="100" t="str">
        <f t="shared" si="64"/>
        <v>STREET LIGHTING SERVICE CLASSIFICATION</v>
      </c>
      <c r="B422" s="105" t="s">
        <v>117</v>
      </c>
      <c r="C422" s="117"/>
      <c r="D422" s="105" t="s">
        <v>179</v>
      </c>
      <c r="E422" s="119"/>
      <c r="F422" s="160">
        <f>OnPeak</f>
        <v>0.13200000000000001</v>
      </c>
      <c r="G422" s="161">
        <f>IF(AND(E389*12&gt;=150000),0.18*E389*E391,0.18*E389)</f>
        <v>17873.862969599999</v>
      </c>
      <c r="H422" s="157">
        <f t="shared" si="66"/>
        <v>2359.3499119871999</v>
      </c>
      <c r="I422" s="162">
        <f>OnPeak</f>
        <v>0.13200000000000001</v>
      </c>
      <c r="J422" s="161">
        <f>IF(AND(E389*12&gt;=150000),0.18*E389*E392,0.18*E389)</f>
        <v>17873.862969599999</v>
      </c>
      <c r="K422" s="157">
        <f t="shared" si="67"/>
        <v>2359.3499119871999</v>
      </c>
      <c r="L422" s="125">
        <f>K422-H422</f>
        <v>0</v>
      </c>
      <c r="M422" s="126">
        <f t="shared" si="68"/>
        <v>0</v>
      </c>
    </row>
    <row r="423" spans="1:13" hidden="1" x14ac:dyDescent="0.25">
      <c r="A423" s="100" t="str">
        <f t="shared" si="64"/>
        <v>STREET LIGHTING SERVICE CLASSIFICATION</v>
      </c>
      <c r="B423" s="100" t="s">
        <v>180</v>
      </c>
      <c r="C423" s="117"/>
      <c r="D423" s="159" t="s">
        <v>181</v>
      </c>
      <c r="E423" s="119"/>
      <c r="F423" s="163">
        <v>0.1101</v>
      </c>
      <c r="G423" s="161">
        <f>IF(AND(E389*12&gt;=150000),E389*E391,E389)</f>
        <v>99299.238719999994</v>
      </c>
      <c r="H423" s="157">
        <f>G423*F423</f>
        <v>10932.846183071999</v>
      </c>
      <c r="I423" s="164">
        <f>F423</f>
        <v>0.1101</v>
      </c>
      <c r="J423" s="161">
        <f>IF(AND(E389*12&gt;=150000),E389*E392,E389)</f>
        <v>99299.238719999994</v>
      </c>
      <c r="K423" s="157">
        <f>J423*I423</f>
        <v>10932.846183071999</v>
      </c>
      <c r="L423" s="125">
        <f>K423-H423</f>
        <v>0</v>
      </c>
      <c r="M423" s="126">
        <f t="shared" si="68"/>
        <v>0</v>
      </c>
    </row>
    <row r="424" spans="1:13" ht="15.75" thickBot="1" x14ac:dyDescent="0.3">
      <c r="A424" s="100" t="str">
        <f t="shared" si="64"/>
        <v>STREET LIGHTING SERVICE CLASSIFICATION</v>
      </c>
      <c r="B424" s="100" t="s">
        <v>121</v>
      </c>
      <c r="C424" s="117"/>
      <c r="D424" s="159" t="s">
        <v>182</v>
      </c>
      <c r="E424" s="119"/>
      <c r="F424" s="163">
        <v>0.1101</v>
      </c>
      <c r="G424" s="161">
        <f>IF(AND(E389*12&gt;=150000),E389*E391,E389)</f>
        <v>99299.238719999994</v>
      </c>
      <c r="H424" s="157">
        <f>G424*F424</f>
        <v>10932.846183071999</v>
      </c>
      <c r="I424" s="164">
        <f>F424</f>
        <v>0.1101</v>
      </c>
      <c r="J424" s="161">
        <f>IF(AND(E389*12&gt;=150000),E389*E392,E389)</f>
        <v>99299.238719999994</v>
      </c>
      <c r="K424" s="157">
        <f>J424*I424</f>
        <v>10932.846183071999</v>
      </c>
      <c r="L424" s="125">
        <f>K424-H424</f>
        <v>0</v>
      </c>
      <c r="M424" s="126">
        <f t="shared" si="68"/>
        <v>0</v>
      </c>
    </row>
    <row r="425" spans="1:13" ht="15.75" thickBot="1" x14ac:dyDescent="0.3">
      <c r="A425" s="100" t="str">
        <f t="shared" si="64"/>
        <v>STREET LIGHTING SERVICE CLASSIFICATION</v>
      </c>
      <c r="B425" s="105"/>
      <c r="C425" s="117"/>
      <c r="D425" s="165"/>
      <c r="E425" s="166"/>
      <c r="F425" s="167"/>
      <c r="G425" s="168"/>
      <c r="H425" s="169"/>
      <c r="I425" s="167"/>
      <c r="J425" s="170"/>
      <c r="K425" s="169"/>
      <c r="L425" s="171"/>
      <c r="M425" s="172"/>
    </row>
    <row r="426" spans="1:13" hidden="1" x14ac:dyDescent="0.25">
      <c r="A426" s="100" t="str">
        <f t="shared" si="64"/>
        <v>STREET LIGHTING SERVICE CLASSIFICATION</v>
      </c>
      <c r="B426" s="105" t="s">
        <v>117</v>
      </c>
      <c r="C426" s="117"/>
      <c r="D426" s="173" t="s">
        <v>183</v>
      </c>
      <c r="E426" s="158"/>
      <c r="F426" s="174"/>
      <c r="G426" s="175"/>
      <c r="H426" s="176">
        <f>SUM(H416:H422,H415)</f>
        <v>9713.0696136608003</v>
      </c>
      <c r="I426" s="177"/>
      <c r="J426" s="177"/>
      <c r="K426" s="176">
        <f>SUM(K416:K422,K415)</f>
        <v>9453.2895136608004</v>
      </c>
      <c r="L426" s="178">
        <f>K426-H426</f>
        <v>-259.78009999999995</v>
      </c>
      <c r="M426" s="179">
        <f>IF((H426)=0,"",(L426/H426))</f>
        <v>-2.6745417291629017E-2</v>
      </c>
    </row>
    <row r="427" spans="1:13" hidden="1" x14ac:dyDescent="0.25">
      <c r="A427" s="100" t="str">
        <f t="shared" si="64"/>
        <v>STREET LIGHTING SERVICE CLASSIFICATION</v>
      </c>
      <c r="B427" s="105" t="s">
        <v>117</v>
      </c>
      <c r="C427" s="117"/>
      <c r="D427" s="180" t="s">
        <v>184</v>
      </c>
      <c r="E427" s="158"/>
      <c r="F427" s="174">
        <v>0.13</v>
      </c>
      <c r="G427" s="181"/>
      <c r="H427" s="182">
        <f>H426*F427</f>
        <v>1262.6990497759041</v>
      </c>
      <c r="I427" s="183">
        <v>0.13</v>
      </c>
      <c r="J427" s="121"/>
      <c r="K427" s="182">
        <f>K426*I427</f>
        <v>1228.9276367759041</v>
      </c>
      <c r="L427" s="184">
        <f>K427-H427</f>
        <v>-33.771412999999939</v>
      </c>
      <c r="M427" s="185">
        <f>IF((H427)=0,"",(L427/H427))</f>
        <v>-2.6745417291628971E-2</v>
      </c>
    </row>
    <row r="428" spans="1:13" hidden="1" x14ac:dyDescent="0.25">
      <c r="A428" s="100" t="str">
        <f t="shared" si="64"/>
        <v>STREET LIGHTING SERVICE CLASSIFICATION</v>
      </c>
      <c r="B428" s="105" t="s">
        <v>117</v>
      </c>
      <c r="C428" s="117"/>
      <c r="D428" s="180" t="s">
        <v>185</v>
      </c>
      <c r="E428" s="158"/>
      <c r="F428" s="174">
        <v>0.08</v>
      </c>
      <c r="G428" s="181"/>
      <c r="H428" s="182">
        <v>0</v>
      </c>
      <c r="I428" s="174">
        <v>0.08</v>
      </c>
      <c r="J428" s="121"/>
      <c r="K428" s="182">
        <v>0</v>
      </c>
      <c r="L428" s="184">
        <f>K428-H428</f>
        <v>0</v>
      </c>
      <c r="M428" s="185"/>
    </row>
    <row r="429" spans="1:13" hidden="1" x14ac:dyDescent="0.25">
      <c r="A429" s="100" t="str">
        <f t="shared" si="64"/>
        <v>STREET LIGHTING SERVICE CLASSIFICATION</v>
      </c>
      <c r="B429" s="105" t="s">
        <v>186</v>
      </c>
      <c r="C429" s="117"/>
      <c r="D429" s="301" t="s">
        <v>187</v>
      </c>
      <c r="E429" s="301"/>
      <c r="F429" s="186"/>
      <c r="G429" s="187"/>
      <c r="H429" s="188">
        <f>H426+H427+H428</f>
        <v>10975.768663436704</v>
      </c>
      <c r="I429" s="189"/>
      <c r="J429" s="189"/>
      <c r="K429" s="190">
        <f>K426+K427+K428</f>
        <v>10682.217150436705</v>
      </c>
      <c r="L429" s="191">
        <f>K429-H429</f>
        <v>-293.55151299999852</v>
      </c>
      <c r="M429" s="192">
        <f>IF((H429)=0,"",(L429/H429))</f>
        <v>-2.6745417291628888E-2</v>
      </c>
    </row>
    <row r="430" spans="1:13" ht="15.75" hidden="1" thickBot="1" x14ac:dyDescent="0.3">
      <c r="A430" s="100" t="str">
        <f t="shared" si="64"/>
        <v>STREET LIGHTING SERVICE CLASSIFICATION</v>
      </c>
      <c r="B430" s="100" t="s">
        <v>117</v>
      </c>
      <c r="C430" s="117"/>
      <c r="D430" s="165"/>
      <c r="E430" s="166"/>
      <c r="F430" s="167"/>
      <c r="G430" s="168"/>
      <c r="H430" s="169"/>
      <c r="I430" s="167"/>
      <c r="J430" s="170"/>
      <c r="K430" s="169"/>
      <c r="L430" s="171"/>
      <c r="M430" s="172"/>
    </row>
    <row r="431" spans="1:13" hidden="1" x14ac:dyDescent="0.25">
      <c r="A431" s="100" t="str">
        <f t="shared" si="64"/>
        <v>STREET LIGHTING SERVICE CLASSIFICATION</v>
      </c>
      <c r="B431" s="100" t="s">
        <v>180</v>
      </c>
      <c r="C431" s="117"/>
      <c r="D431" s="173" t="s">
        <v>188</v>
      </c>
      <c r="E431" s="158"/>
      <c r="F431" s="174"/>
      <c r="G431" s="175"/>
      <c r="H431" s="176">
        <f>SUM(H423,H416:H419,H415)</f>
        <v>12504.37121408</v>
      </c>
      <c r="I431" s="177"/>
      <c r="J431" s="177"/>
      <c r="K431" s="176">
        <f>SUM(K423,K416:K419,K415)</f>
        <v>12244.59111408</v>
      </c>
      <c r="L431" s="178">
        <f>K431-H431</f>
        <v>-259.78009999999995</v>
      </c>
      <c r="M431" s="179">
        <f>IF((H431)=0,"",(L431/H431))</f>
        <v>-2.0775142992195076E-2</v>
      </c>
    </row>
    <row r="432" spans="1:13" hidden="1" x14ac:dyDescent="0.25">
      <c r="A432" s="100" t="str">
        <f t="shared" si="64"/>
        <v>STREET LIGHTING SERVICE CLASSIFICATION</v>
      </c>
      <c r="B432" s="100" t="s">
        <v>180</v>
      </c>
      <c r="C432" s="117"/>
      <c r="D432" s="180" t="s">
        <v>184</v>
      </c>
      <c r="E432" s="158"/>
      <c r="F432" s="174">
        <v>0.13</v>
      </c>
      <c r="G432" s="175"/>
      <c r="H432" s="182">
        <f>H431*F432</f>
        <v>1625.5682578303999</v>
      </c>
      <c r="I432" s="174">
        <v>0.13</v>
      </c>
      <c r="J432" s="183"/>
      <c r="K432" s="182">
        <f>K431*I432</f>
        <v>1591.7968448304</v>
      </c>
      <c r="L432" s="184">
        <f>K432-H432</f>
        <v>-33.771412999999939</v>
      </c>
      <c r="M432" s="185">
        <f>IF((H432)=0,"",(L432/H432))</f>
        <v>-2.0775142992195045E-2</v>
      </c>
    </row>
    <row r="433" spans="1:13" hidden="1" x14ac:dyDescent="0.25">
      <c r="A433" s="100" t="str">
        <f t="shared" si="64"/>
        <v>STREET LIGHTING SERVICE CLASSIFICATION</v>
      </c>
      <c r="B433" s="100" t="s">
        <v>180</v>
      </c>
      <c r="C433" s="117"/>
      <c r="D433" s="180" t="s">
        <v>185</v>
      </c>
      <c r="E433" s="158"/>
      <c r="F433" s="174">
        <v>0.08</v>
      </c>
      <c r="G433" s="175"/>
      <c r="H433" s="182">
        <v>0</v>
      </c>
      <c r="I433" s="174">
        <v>0.08</v>
      </c>
      <c r="J433" s="183"/>
      <c r="K433" s="182">
        <v>0</v>
      </c>
      <c r="L433" s="184"/>
      <c r="M433" s="185"/>
    </row>
    <row r="434" spans="1:13" hidden="1" x14ac:dyDescent="0.25">
      <c r="A434" s="100" t="str">
        <f t="shared" si="64"/>
        <v>STREET LIGHTING SERVICE CLASSIFICATION</v>
      </c>
      <c r="B434" s="100" t="s">
        <v>189</v>
      </c>
      <c r="C434" s="117"/>
      <c r="D434" s="301" t="s">
        <v>188</v>
      </c>
      <c r="E434" s="301"/>
      <c r="F434" s="193"/>
      <c r="G434" s="194"/>
      <c r="H434" s="188">
        <f>SUM(H431,H432)</f>
        <v>14129.9394719104</v>
      </c>
      <c r="I434" s="195"/>
      <c r="J434" s="195"/>
      <c r="K434" s="188">
        <f>SUM(K431,K432)</f>
        <v>13836.3879589104</v>
      </c>
      <c r="L434" s="196">
        <f>K434-H434</f>
        <v>-293.55151300000034</v>
      </c>
      <c r="M434" s="197">
        <f>IF((H434)=0,"",(L434/H434))</f>
        <v>-2.0775142992195104E-2</v>
      </c>
    </row>
    <row r="435" spans="1:13" ht="15.75" hidden="1" thickBot="1" x14ac:dyDescent="0.3">
      <c r="A435" s="100" t="str">
        <f t="shared" si="64"/>
        <v>STREET LIGHTING SERVICE CLASSIFICATION</v>
      </c>
      <c r="B435" s="100" t="s">
        <v>180</v>
      </c>
      <c r="C435" s="117"/>
      <c r="D435" s="165"/>
      <c r="E435" s="166"/>
      <c r="F435" s="198"/>
      <c r="G435" s="199"/>
      <c r="H435" s="200"/>
      <c r="I435" s="198"/>
      <c r="J435" s="168"/>
      <c r="K435" s="200"/>
      <c r="L435" s="201"/>
      <c r="M435" s="172"/>
    </row>
    <row r="436" spans="1:13" x14ac:dyDescent="0.25">
      <c r="A436" s="100" t="str">
        <f t="shared" si="64"/>
        <v>STREET LIGHTING SERVICE CLASSIFICATION</v>
      </c>
      <c r="B436" s="100" t="s">
        <v>121</v>
      </c>
      <c r="C436" s="117"/>
      <c r="D436" s="173" t="s">
        <v>190</v>
      </c>
      <c r="E436" s="158"/>
      <c r="F436" s="174"/>
      <c r="G436" s="175"/>
      <c r="H436" s="176">
        <f>SUM(H424,H416:H419,H415)</f>
        <v>12504.37121408</v>
      </c>
      <c r="I436" s="177"/>
      <c r="J436" s="177"/>
      <c r="K436" s="176">
        <f>SUM(K424,K416:K419,K415)</f>
        <v>12244.59111408</v>
      </c>
      <c r="L436" s="178">
        <f>K436-H436</f>
        <v>-259.78009999999995</v>
      </c>
      <c r="M436" s="179">
        <f>IF((H436)=0,"",(L436/H436))</f>
        <v>-2.0775142992195076E-2</v>
      </c>
    </row>
    <row r="437" spans="1:13" x14ac:dyDescent="0.25">
      <c r="A437" s="100" t="str">
        <f t="shared" si="64"/>
        <v>STREET LIGHTING SERVICE CLASSIFICATION</v>
      </c>
      <c r="B437" s="100" t="s">
        <v>121</v>
      </c>
      <c r="C437" s="117"/>
      <c r="D437" s="180" t="s">
        <v>184</v>
      </c>
      <c r="E437" s="158"/>
      <c r="F437" s="174">
        <v>0.13</v>
      </c>
      <c r="G437" s="175"/>
      <c r="H437" s="182">
        <f>H436*F437</f>
        <v>1625.5682578303999</v>
      </c>
      <c r="I437" s="174">
        <v>0.13</v>
      </c>
      <c r="J437" s="183"/>
      <c r="K437" s="182">
        <f>K436*I437</f>
        <v>1591.7968448304</v>
      </c>
      <c r="L437" s="184">
        <f>K437-H437</f>
        <v>-33.771412999999939</v>
      </c>
      <c r="M437" s="185">
        <f>IF((H437)=0,"",(L437/H437))</f>
        <v>-2.0775142992195045E-2</v>
      </c>
    </row>
    <row r="438" spans="1:13" x14ac:dyDescent="0.25">
      <c r="A438" s="100" t="str">
        <f t="shared" si="64"/>
        <v>STREET LIGHTING SERVICE CLASSIFICATION</v>
      </c>
      <c r="B438" s="100" t="s">
        <v>121</v>
      </c>
      <c r="C438" s="117"/>
      <c r="D438" s="180" t="s">
        <v>185</v>
      </c>
      <c r="E438" s="158"/>
      <c r="F438" s="174">
        <v>0.08</v>
      </c>
      <c r="G438" s="175"/>
      <c r="H438" s="182">
        <v>0</v>
      </c>
      <c r="I438" s="174">
        <v>0.08</v>
      </c>
      <c r="J438" s="183"/>
      <c r="K438" s="182">
        <v>0</v>
      </c>
      <c r="L438" s="184"/>
      <c r="M438" s="185"/>
    </row>
    <row r="439" spans="1:13" ht="15.75" thickBot="1" x14ac:dyDescent="0.3">
      <c r="A439" s="100" t="str">
        <f t="shared" si="64"/>
        <v>STREET LIGHTING SERVICE CLASSIFICATION</v>
      </c>
      <c r="B439" s="100" t="s">
        <v>191</v>
      </c>
      <c r="C439" s="117">
        <f>B9</f>
        <v>7</v>
      </c>
      <c r="D439" s="301" t="s">
        <v>190</v>
      </c>
      <c r="E439" s="301"/>
      <c r="F439" s="193"/>
      <c r="G439" s="194"/>
      <c r="H439" s="188">
        <f>SUM(H436,H437)</f>
        <v>14129.9394719104</v>
      </c>
      <c r="I439" s="195"/>
      <c r="J439" s="195"/>
      <c r="K439" s="188">
        <f>SUM(K436,K437)</f>
        <v>13836.3879589104</v>
      </c>
      <c r="L439" s="196">
        <f>K439-H439</f>
        <v>-293.55151300000034</v>
      </c>
      <c r="M439" s="197">
        <f>IF((H439)=0,"",(L439/H439))</f>
        <v>-2.0775142992195104E-2</v>
      </c>
    </row>
    <row r="440" spans="1:13" ht="15.75" thickBot="1" x14ac:dyDescent="0.3">
      <c r="A440" s="100" t="str">
        <f t="shared" si="64"/>
        <v>STREET LIGHTING SERVICE CLASSIFICATION</v>
      </c>
      <c r="B440" s="100" t="s">
        <v>121</v>
      </c>
      <c r="C440" s="117"/>
      <c r="D440" s="165"/>
      <c r="E440" s="166"/>
      <c r="F440" s="202"/>
      <c r="G440" s="203"/>
      <c r="H440" s="204"/>
      <c r="I440" s="202"/>
      <c r="J440" s="205"/>
      <c r="K440" s="204"/>
      <c r="L440" s="206"/>
      <c r="M440" s="207"/>
    </row>
    <row r="443" spans="1:13" x14ac:dyDescent="0.25">
      <c r="C443" s="100"/>
      <c r="D443" s="101" t="s">
        <v>134</v>
      </c>
      <c r="E443" s="302" t="str">
        <f>D10</f>
        <v>RESIDENTIAL SERVICE CLASSIFICATION</v>
      </c>
      <c r="F443" s="302"/>
      <c r="G443" s="302"/>
      <c r="H443" s="302"/>
      <c r="I443" s="302"/>
      <c r="J443" s="302"/>
      <c r="K443" s="100" t="str">
        <f>IF(N10="DEMAND - INTERVAL","RTSR - INTERVAL METERED","")</f>
        <v/>
      </c>
    </row>
    <row r="444" spans="1:13" x14ac:dyDescent="0.25">
      <c r="C444" s="100"/>
      <c r="D444" s="101" t="s">
        <v>135</v>
      </c>
      <c r="E444" s="303" t="str">
        <f>H10</f>
        <v>RPP</v>
      </c>
      <c r="F444" s="303"/>
      <c r="G444" s="303"/>
      <c r="H444" s="102"/>
      <c r="I444" s="102"/>
    </row>
    <row r="445" spans="1:13" ht="15.75" x14ac:dyDescent="0.25">
      <c r="C445" s="100"/>
      <c r="D445" s="101" t="s">
        <v>136</v>
      </c>
      <c r="E445" s="103">
        <f>K10</f>
        <v>342</v>
      </c>
      <c r="F445" s="104" t="s">
        <v>137</v>
      </c>
      <c r="G445" s="105"/>
      <c r="J445" s="106"/>
      <c r="K445" s="106"/>
      <c r="L445" s="106"/>
      <c r="M445" s="106"/>
    </row>
    <row r="446" spans="1:13" ht="15.75" x14ac:dyDescent="0.25">
      <c r="C446" s="100"/>
      <c r="D446" s="101" t="s">
        <v>138</v>
      </c>
      <c r="E446" s="103">
        <f>L10</f>
        <v>0</v>
      </c>
      <c r="F446" s="107" t="s">
        <v>139</v>
      </c>
      <c r="G446" s="108"/>
      <c r="H446" s="109"/>
      <c r="I446" s="109"/>
      <c r="J446" s="109"/>
    </row>
    <row r="447" spans="1:13" x14ac:dyDescent="0.25">
      <c r="C447" s="100"/>
      <c r="D447" s="101" t="s">
        <v>140</v>
      </c>
      <c r="E447" s="110">
        <f>I10</f>
        <v>1.056</v>
      </c>
    </row>
    <row r="448" spans="1:13" x14ac:dyDescent="0.25">
      <c r="C448" s="100"/>
      <c r="D448" s="101" t="s">
        <v>141</v>
      </c>
      <c r="E448" s="110">
        <f>J10</f>
        <v>1.056</v>
      </c>
    </row>
    <row r="449" spans="1:13" x14ac:dyDescent="0.25">
      <c r="C449" s="100"/>
      <c r="D449" s="105"/>
    </row>
    <row r="450" spans="1:13" x14ac:dyDescent="0.25">
      <c r="C450" s="100"/>
      <c r="D450" s="105"/>
      <c r="E450" s="111"/>
      <c r="F450" s="304" t="s">
        <v>142</v>
      </c>
      <c r="G450" s="305"/>
      <c r="H450" s="306"/>
      <c r="I450" s="304" t="s">
        <v>143</v>
      </c>
      <c r="J450" s="305"/>
      <c r="K450" s="306"/>
      <c r="L450" s="304" t="s">
        <v>144</v>
      </c>
      <c r="M450" s="306"/>
    </row>
    <row r="451" spans="1:13" x14ac:dyDescent="0.25">
      <c r="C451" s="100"/>
      <c r="D451" s="105"/>
      <c r="E451" s="295"/>
      <c r="F451" s="112" t="s">
        <v>145</v>
      </c>
      <c r="G451" s="112" t="s">
        <v>146</v>
      </c>
      <c r="H451" s="113" t="s">
        <v>147</v>
      </c>
      <c r="I451" s="112" t="s">
        <v>145</v>
      </c>
      <c r="J451" s="114" t="s">
        <v>146</v>
      </c>
      <c r="K451" s="113" t="s">
        <v>147</v>
      </c>
      <c r="L451" s="297" t="s">
        <v>148</v>
      </c>
      <c r="M451" s="299" t="s">
        <v>149</v>
      </c>
    </row>
    <row r="452" spans="1:13" x14ac:dyDescent="0.25">
      <c r="C452" s="100"/>
      <c r="D452" s="105"/>
      <c r="E452" s="296"/>
      <c r="F452" s="115" t="s">
        <v>150</v>
      </c>
      <c r="G452" s="115"/>
      <c r="H452" s="116" t="s">
        <v>150</v>
      </c>
      <c r="I452" s="115" t="s">
        <v>150</v>
      </c>
      <c r="J452" s="116"/>
      <c r="K452" s="116" t="s">
        <v>150</v>
      </c>
      <c r="L452" s="298"/>
      <c r="M452" s="300"/>
    </row>
    <row r="453" spans="1:13" x14ac:dyDescent="0.25">
      <c r="A453" s="100" t="str">
        <f>$E443</f>
        <v>RESIDENTIAL SERVICE CLASSIFICATION</v>
      </c>
      <c r="C453" s="117"/>
      <c r="D453" s="118" t="s">
        <v>151</v>
      </c>
      <c r="E453" s="119"/>
      <c r="F453" s="120">
        <v>23.48</v>
      </c>
      <c r="G453" s="121">
        <v>1</v>
      </c>
      <c r="H453" s="122">
        <f>G453*F453</f>
        <v>23.48</v>
      </c>
      <c r="I453" s="123">
        <v>26.72</v>
      </c>
      <c r="J453" s="124">
        <f>G453</f>
        <v>1</v>
      </c>
      <c r="K453" s="122">
        <f>J453*I453</f>
        <v>26.72</v>
      </c>
      <c r="L453" s="125">
        <f t="shared" ref="L453:L474" si="69">K453-H453</f>
        <v>3.2399999999999984</v>
      </c>
      <c r="M453" s="126">
        <f>IF(ISERROR(L453/H453), "", L453/H453)</f>
        <v>0.13798977853492328</v>
      </c>
    </row>
    <row r="454" spans="1:13" x14ac:dyDescent="0.25">
      <c r="A454" s="100" t="str">
        <f>A453</f>
        <v>RESIDENTIAL SERVICE CLASSIFICATION</v>
      </c>
      <c r="C454" s="117"/>
      <c r="D454" s="118" t="s">
        <v>152</v>
      </c>
      <c r="E454" s="119"/>
      <c r="F454" s="127">
        <v>3.3999999999999998E-3</v>
      </c>
      <c r="G454" s="121">
        <f>IF($E446&gt;0, $E446, $E445)</f>
        <v>342</v>
      </c>
      <c r="H454" s="122">
        <f t="shared" ref="H454:H466" si="70">G454*F454</f>
        <v>1.1627999999999998</v>
      </c>
      <c r="I454" s="128">
        <v>0</v>
      </c>
      <c r="J454" s="124">
        <f>IF($E446&gt;0, $E446, $E445)</f>
        <v>342</v>
      </c>
      <c r="K454" s="122">
        <f>J454*I454</f>
        <v>0</v>
      </c>
      <c r="L454" s="125">
        <f t="shared" si="69"/>
        <v>-1.1627999999999998</v>
      </c>
      <c r="M454" s="126">
        <f t="shared" ref="M454:M464" si="71">IF(ISERROR(L454/H454), "", L454/H454)</f>
        <v>-1</v>
      </c>
    </row>
    <row r="455" spans="1:13" x14ac:dyDescent="0.25">
      <c r="A455" s="100" t="str">
        <f t="shared" ref="A455:A496" si="72">A454</f>
        <v>RESIDENTIAL SERVICE CLASSIFICATION</v>
      </c>
      <c r="C455" s="117"/>
      <c r="D455" s="118" t="s">
        <v>153</v>
      </c>
      <c r="E455" s="119"/>
      <c r="F455" s="127"/>
      <c r="G455" s="121">
        <f>IF($E446&gt;0, $E446, $E445)</f>
        <v>342</v>
      </c>
      <c r="H455" s="122">
        <v>0</v>
      </c>
      <c r="I455" s="128"/>
      <c r="J455" s="124">
        <f>IF($E446&gt;0, $E446, $E445)</f>
        <v>342</v>
      </c>
      <c r="K455" s="122">
        <v>0</v>
      </c>
      <c r="L455" s="125"/>
      <c r="M455" s="126"/>
    </row>
    <row r="456" spans="1:13" x14ac:dyDescent="0.25">
      <c r="A456" s="100" t="str">
        <f t="shared" si="72"/>
        <v>RESIDENTIAL SERVICE CLASSIFICATION</v>
      </c>
      <c r="C456" s="117"/>
      <c r="D456" s="118" t="s">
        <v>154</v>
      </c>
      <c r="E456" s="119"/>
      <c r="F456" s="127"/>
      <c r="G456" s="121">
        <f>IF($E446&gt;0, $E446, $E445)</f>
        <v>342</v>
      </c>
      <c r="H456" s="122">
        <v>0</v>
      </c>
      <c r="I456" s="128"/>
      <c r="J456" s="121">
        <f>IF($E446&gt;0, $E446, $E445)</f>
        <v>342</v>
      </c>
      <c r="K456" s="122">
        <v>0</v>
      </c>
      <c r="L456" s="125">
        <f>K456-H456</f>
        <v>0</v>
      </c>
      <c r="M456" s="126" t="str">
        <f>IF(ISERROR(L456/H456), "", L456/H456)</f>
        <v/>
      </c>
    </row>
    <row r="457" spans="1:13" x14ac:dyDescent="0.25">
      <c r="A457" s="100" t="str">
        <f t="shared" si="72"/>
        <v>RESIDENTIAL SERVICE CLASSIFICATION</v>
      </c>
      <c r="C457" s="117"/>
      <c r="D457" s="129" t="s">
        <v>155</v>
      </c>
      <c r="E457" s="119"/>
      <c r="F457" s="120">
        <v>0</v>
      </c>
      <c r="G457" s="121">
        <v>1</v>
      </c>
      <c r="H457" s="122">
        <f t="shared" si="70"/>
        <v>0</v>
      </c>
      <c r="I457" s="123">
        <v>0</v>
      </c>
      <c r="J457" s="124">
        <f>G457</f>
        <v>1</v>
      </c>
      <c r="K457" s="122">
        <f t="shared" ref="K457:K464" si="73">J457*I457</f>
        <v>0</v>
      </c>
      <c r="L457" s="125">
        <f t="shared" si="69"/>
        <v>0</v>
      </c>
      <c r="M457" s="126" t="str">
        <f t="shared" si="71"/>
        <v/>
      </c>
    </row>
    <row r="458" spans="1:13" x14ac:dyDescent="0.25">
      <c r="A458" s="100" t="str">
        <f t="shared" si="72"/>
        <v>RESIDENTIAL SERVICE CLASSIFICATION</v>
      </c>
      <c r="C458" s="117"/>
      <c r="D458" s="118" t="s">
        <v>156</v>
      </c>
      <c r="E458" s="119"/>
      <c r="F458" s="127">
        <v>0</v>
      </c>
      <c r="G458" s="121">
        <f>IF($E446&gt;0, $E446, $E445)</f>
        <v>342</v>
      </c>
      <c r="H458" s="122">
        <f t="shared" si="70"/>
        <v>0</v>
      </c>
      <c r="I458" s="128">
        <v>0</v>
      </c>
      <c r="J458" s="124">
        <f>IF($E446&gt;0, $E446, $E445)</f>
        <v>342</v>
      </c>
      <c r="K458" s="122">
        <f t="shared" si="73"/>
        <v>0</v>
      </c>
      <c r="L458" s="125">
        <f t="shared" si="69"/>
        <v>0</v>
      </c>
      <c r="M458" s="126" t="str">
        <f t="shared" si="71"/>
        <v/>
      </c>
    </row>
    <row r="459" spans="1:13" x14ac:dyDescent="0.25">
      <c r="A459" s="100" t="str">
        <f t="shared" si="72"/>
        <v>RESIDENTIAL SERVICE CLASSIFICATION</v>
      </c>
      <c r="B459" s="130" t="s">
        <v>157</v>
      </c>
      <c r="C459" s="117">
        <f>B10</f>
        <v>8</v>
      </c>
      <c r="D459" s="131" t="s">
        <v>158</v>
      </c>
      <c r="E459" s="132"/>
      <c r="F459" s="133"/>
      <c r="G459" s="134"/>
      <c r="H459" s="135">
        <f>SUM(H453:H458)</f>
        <v>24.642800000000001</v>
      </c>
      <c r="I459" s="136"/>
      <c r="J459" s="137"/>
      <c r="K459" s="135">
        <f>SUM(K453:K458)</f>
        <v>26.72</v>
      </c>
      <c r="L459" s="138">
        <f t="shared" si="69"/>
        <v>2.0771999999999977</v>
      </c>
      <c r="M459" s="139">
        <f>IF((H459)=0,"",(L459/H459))</f>
        <v>8.4292369373610052E-2</v>
      </c>
    </row>
    <row r="460" spans="1:13" x14ac:dyDescent="0.25">
      <c r="A460" s="100" t="str">
        <f t="shared" si="72"/>
        <v>RESIDENTIAL SERVICE CLASSIFICATION</v>
      </c>
      <c r="C460" s="117"/>
      <c r="D460" s="140" t="s">
        <v>159</v>
      </c>
      <c r="E460" s="119"/>
      <c r="F460" s="127">
        <f>IF((E445*12&gt;=150000), 0, IF(E444="RPP",(F476*0.65+F477*0.17+F478*0.18),IF(E444="Non-RPP (Retailer)",F479,F480)))</f>
        <v>8.1990000000000007E-2</v>
      </c>
      <c r="G460" s="141">
        <f>IF(F460=0, 0, $E445*E447-E445)</f>
        <v>19.152000000000044</v>
      </c>
      <c r="H460" s="122">
        <f>G460*F460</f>
        <v>1.5702724800000036</v>
      </c>
      <c r="I460" s="128">
        <f>IF((E445*12&gt;=150000), 0, IF(E444="RPP",(I476*0.65+I477*0.17+I478*0.18),IF(E444="Non-RPP (Retailer)",I479,I480)))</f>
        <v>8.1990000000000007E-2</v>
      </c>
      <c r="J460" s="141">
        <f>IF(I460=0, 0, E445*E448-E445)</f>
        <v>19.152000000000044</v>
      </c>
      <c r="K460" s="122">
        <f>J460*I460</f>
        <v>1.5702724800000036</v>
      </c>
      <c r="L460" s="125">
        <f>K460-H460</f>
        <v>0</v>
      </c>
      <c r="M460" s="126">
        <f>IF(ISERROR(L460/H460), "", L460/H460)</f>
        <v>0</v>
      </c>
    </row>
    <row r="461" spans="1:13" ht="25.5" x14ac:dyDescent="0.25">
      <c r="A461" s="100" t="str">
        <f t="shared" si="72"/>
        <v>RESIDENTIAL SERVICE CLASSIFICATION</v>
      </c>
      <c r="C461" s="117"/>
      <c r="D461" s="140" t="s">
        <v>160</v>
      </c>
      <c r="E461" s="119"/>
      <c r="F461" s="127">
        <v>-1.4E-3</v>
      </c>
      <c r="G461" s="142">
        <f>IF($E446&gt;0, $E446, $E445)</f>
        <v>342</v>
      </c>
      <c r="H461" s="122">
        <f t="shared" si="70"/>
        <v>-0.4788</v>
      </c>
      <c r="I461" s="128">
        <v>-5.3E-3</v>
      </c>
      <c r="J461" s="142">
        <f>IF($E446&gt;0, $E446, $E445)</f>
        <v>342</v>
      </c>
      <c r="K461" s="122">
        <f t="shared" si="73"/>
        <v>-1.8126</v>
      </c>
      <c r="L461" s="125">
        <f t="shared" si="69"/>
        <v>-1.3338000000000001</v>
      </c>
      <c r="M461" s="126">
        <f t="shared" si="71"/>
        <v>2.785714285714286</v>
      </c>
    </row>
    <row r="462" spans="1:13" x14ac:dyDescent="0.25">
      <c r="A462" s="100" t="str">
        <f t="shared" si="72"/>
        <v>RESIDENTIAL SERVICE CLASSIFICATION</v>
      </c>
      <c r="C462" s="117"/>
      <c r="D462" s="140" t="s">
        <v>161</v>
      </c>
      <c r="E462" s="119"/>
      <c r="F462" s="127">
        <v>-1E-4</v>
      </c>
      <c r="G462" s="142">
        <f>IF($E446&gt;0, $E446, $E445)</f>
        <v>342</v>
      </c>
      <c r="H462" s="122">
        <f>G462*F462</f>
        <v>-3.4200000000000001E-2</v>
      </c>
      <c r="I462" s="128">
        <v>0</v>
      </c>
      <c r="J462" s="142">
        <f>IF($E446&gt;0, $E446, $E445)</f>
        <v>342</v>
      </c>
      <c r="K462" s="122">
        <f>J462*I462</f>
        <v>0</v>
      </c>
      <c r="L462" s="125">
        <f t="shared" si="69"/>
        <v>3.4200000000000001E-2</v>
      </c>
      <c r="M462" s="126">
        <f t="shared" si="71"/>
        <v>-1</v>
      </c>
    </row>
    <row r="463" spans="1:13" x14ac:dyDescent="0.25">
      <c r="A463" s="100" t="str">
        <f t="shared" si="72"/>
        <v>RESIDENTIAL SERVICE CLASSIFICATION</v>
      </c>
      <c r="C463" s="117"/>
      <c r="D463" s="140" t="s">
        <v>162</v>
      </c>
      <c r="E463" s="119"/>
      <c r="F463" s="127">
        <v>0</v>
      </c>
      <c r="G463" s="142">
        <f>E445</f>
        <v>342</v>
      </c>
      <c r="H463" s="122">
        <f>G463*F463</f>
        <v>0</v>
      </c>
      <c r="I463" s="128">
        <v>0</v>
      </c>
      <c r="J463" s="142">
        <f>E445</f>
        <v>342</v>
      </c>
      <c r="K463" s="122">
        <f t="shared" si="73"/>
        <v>0</v>
      </c>
      <c r="L463" s="125">
        <f t="shared" si="69"/>
        <v>0</v>
      </c>
      <c r="M463" s="126" t="str">
        <f t="shared" si="71"/>
        <v/>
      </c>
    </row>
    <row r="464" spans="1:13" x14ac:dyDescent="0.25">
      <c r="A464" s="100" t="str">
        <f t="shared" si="72"/>
        <v>RESIDENTIAL SERVICE CLASSIFICATION</v>
      </c>
      <c r="C464" s="117"/>
      <c r="D464" s="143" t="s">
        <v>163</v>
      </c>
      <c r="E464" s="119"/>
      <c r="F464" s="127">
        <v>2.5999999999999999E-3</v>
      </c>
      <c r="G464" s="142">
        <f>IF($E446&gt;0, $E446, $E445)</f>
        <v>342</v>
      </c>
      <c r="H464" s="122">
        <f t="shared" si="70"/>
        <v>0.88919999999999999</v>
      </c>
      <c r="I464" s="128">
        <v>2.5999999999999999E-3</v>
      </c>
      <c r="J464" s="142">
        <f>IF($E446&gt;0, $E446, $E445)</f>
        <v>342</v>
      </c>
      <c r="K464" s="122">
        <f t="shared" si="73"/>
        <v>0.88919999999999999</v>
      </c>
      <c r="L464" s="125">
        <f t="shared" si="69"/>
        <v>0</v>
      </c>
      <c r="M464" s="126">
        <f t="shared" si="71"/>
        <v>0</v>
      </c>
    </row>
    <row r="465" spans="1:13" ht="25.5" x14ac:dyDescent="0.25">
      <c r="A465" s="100" t="str">
        <f t="shared" si="72"/>
        <v>RESIDENTIAL SERVICE CLASSIFICATION</v>
      </c>
      <c r="C465" s="117"/>
      <c r="D465" s="144" t="s">
        <v>164</v>
      </c>
      <c r="E465" s="119"/>
      <c r="F465" s="145">
        <f>IF(OR(ISNUMBER(SEARCH("RESIDENTIAL", E443))=TRUE, ISNUMBER(SEARCH("GENERAL SERVICE LESS THAN 50", E443))=TRUE), SME, 0)</f>
        <v>0.56999999999999995</v>
      </c>
      <c r="G465" s="121">
        <v>1</v>
      </c>
      <c r="H465" s="122">
        <f>G465*F465</f>
        <v>0.56999999999999995</v>
      </c>
      <c r="I465" s="146">
        <f>IF(OR(ISNUMBER(SEARCH("RESIDENTIAL", E443))=TRUE, ISNUMBER(SEARCH("GENERAL SERVICE LESS THAN 50", E443))=TRUE), SME, 0)</f>
        <v>0.56999999999999995</v>
      </c>
      <c r="J465" s="121">
        <v>1</v>
      </c>
      <c r="K465" s="122">
        <f>J465*I465</f>
        <v>0.56999999999999995</v>
      </c>
      <c r="L465" s="125">
        <f t="shared" si="69"/>
        <v>0</v>
      </c>
      <c r="M465" s="126">
        <f>IF(ISERROR(L465/H465), "", L465/H465)</f>
        <v>0</v>
      </c>
    </row>
    <row r="466" spans="1:13" x14ac:dyDescent="0.25">
      <c r="A466" s="100" t="str">
        <f t="shared" si="72"/>
        <v>RESIDENTIAL SERVICE CLASSIFICATION</v>
      </c>
      <c r="C466" s="117"/>
      <c r="D466" s="143" t="s">
        <v>165</v>
      </c>
      <c r="E466" s="119"/>
      <c r="F466" s="120">
        <v>0</v>
      </c>
      <c r="G466" s="121">
        <v>1</v>
      </c>
      <c r="H466" s="122">
        <f t="shared" si="70"/>
        <v>0</v>
      </c>
      <c r="I466" s="123">
        <v>0</v>
      </c>
      <c r="J466" s="121">
        <v>1</v>
      </c>
      <c r="K466" s="122">
        <f>J466*I466</f>
        <v>0</v>
      </c>
      <c r="L466" s="125">
        <f>K466-H466</f>
        <v>0</v>
      </c>
      <c r="M466" s="126" t="str">
        <f>IF(ISERROR(L466/H466), "", L466/H466)</f>
        <v/>
      </c>
    </row>
    <row r="467" spans="1:13" x14ac:dyDescent="0.25">
      <c r="A467" s="100" t="str">
        <f t="shared" si="72"/>
        <v>RESIDENTIAL SERVICE CLASSIFICATION</v>
      </c>
      <c r="C467" s="117"/>
      <c r="D467" s="143" t="s">
        <v>166</v>
      </c>
      <c r="E467" s="119"/>
      <c r="F467" s="127"/>
      <c r="G467" s="142">
        <f>IF($E446&gt;0, $E446, $E445)</f>
        <v>342</v>
      </c>
      <c r="H467" s="122">
        <f>G467*F467</f>
        <v>0</v>
      </c>
      <c r="I467" s="128">
        <v>0</v>
      </c>
      <c r="J467" s="142">
        <f>IF($E446&gt;0, $E446, $E445)</f>
        <v>342</v>
      </c>
      <c r="K467" s="122">
        <f>J467*I467</f>
        <v>0</v>
      </c>
      <c r="L467" s="125">
        <f t="shared" si="69"/>
        <v>0</v>
      </c>
      <c r="M467" s="126" t="str">
        <f>IF(ISERROR(L467/H467), "", L467/H467)</f>
        <v/>
      </c>
    </row>
    <row r="468" spans="1:13" ht="25.5" x14ac:dyDescent="0.25">
      <c r="A468" s="100" t="str">
        <f t="shared" si="72"/>
        <v>RESIDENTIAL SERVICE CLASSIFICATION</v>
      </c>
      <c r="B468" s="105" t="s">
        <v>167</v>
      </c>
      <c r="C468" s="117">
        <f>B10</f>
        <v>8</v>
      </c>
      <c r="D468" s="147" t="s">
        <v>168</v>
      </c>
      <c r="E468" s="148"/>
      <c r="F468" s="149"/>
      <c r="G468" s="150"/>
      <c r="H468" s="151">
        <f>SUM(H459:H467)</f>
        <v>27.159272480000006</v>
      </c>
      <c r="I468" s="152"/>
      <c r="J468" s="153"/>
      <c r="K468" s="151">
        <f>SUM(K459:K467)</f>
        <v>27.936872480000002</v>
      </c>
      <c r="L468" s="138">
        <f t="shared" si="69"/>
        <v>0.77759999999999607</v>
      </c>
      <c r="M468" s="139">
        <f>IF((H468)=0,"",(L468/H468))</f>
        <v>2.8631105659130525E-2</v>
      </c>
    </row>
    <row r="469" spans="1:13" x14ac:dyDescent="0.25">
      <c r="A469" s="100" t="str">
        <f t="shared" si="72"/>
        <v>RESIDENTIAL SERVICE CLASSIFICATION</v>
      </c>
      <c r="C469" s="117"/>
      <c r="D469" s="154" t="s">
        <v>169</v>
      </c>
      <c r="E469" s="119"/>
      <c r="F469" s="127">
        <v>6.7999999999999996E-3</v>
      </c>
      <c r="G469" s="141">
        <f>IF($E446&gt;0, $E446, $E445*$E447)</f>
        <v>361.15200000000004</v>
      </c>
      <c r="H469" s="122">
        <f>G469*F469</f>
        <v>2.4558336000000001</v>
      </c>
      <c r="I469" s="128">
        <v>6.4999999999999997E-3</v>
      </c>
      <c r="J469" s="141">
        <f>IF($E446&gt;0, $E446, $E445*$E448)</f>
        <v>361.15200000000004</v>
      </c>
      <c r="K469" s="122">
        <f>J469*I469</f>
        <v>2.3474880000000002</v>
      </c>
      <c r="L469" s="125">
        <f t="shared" si="69"/>
        <v>-0.10834559999999982</v>
      </c>
      <c r="M469" s="126">
        <f>IF(ISERROR(L469/H469), "", L469/H469)</f>
        <v>-4.4117647058823456E-2</v>
      </c>
    </row>
    <row r="470" spans="1:13" ht="25.5" x14ac:dyDescent="0.25">
      <c r="A470" s="100" t="str">
        <f t="shared" si="72"/>
        <v>RESIDENTIAL SERVICE CLASSIFICATION</v>
      </c>
      <c r="C470" s="117"/>
      <c r="D470" s="155" t="s">
        <v>170</v>
      </c>
      <c r="E470" s="119"/>
      <c r="F470" s="127">
        <v>5.5999999999999999E-3</v>
      </c>
      <c r="G470" s="141">
        <f>IF($E446&gt;0, $E446, $E445*$E447)</f>
        <v>361.15200000000004</v>
      </c>
      <c r="H470" s="122">
        <f>G470*F470</f>
        <v>2.0224512000000003</v>
      </c>
      <c r="I470" s="128">
        <v>5.3E-3</v>
      </c>
      <c r="J470" s="141">
        <f>IF($E446&gt;0, $E446, $E445*$E448)</f>
        <v>361.15200000000004</v>
      </c>
      <c r="K470" s="122">
        <f>J470*I470</f>
        <v>1.9141056000000003</v>
      </c>
      <c r="L470" s="125">
        <f t="shared" si="69"/>
        <v>-0.10834560000000004</v>
      </c>
      <c r="M470" s="126">
        <f>IF(ISERROR(L470/H470), "", L470/H470)</f>
        <v>-5.3571428571428582E-2</v>
      </c>
    </row>
    <row r="471" spans="1:13" ht="25.5" x14ac:dyDescent="0.25">
      <c r="A471" s="100" t="str">
        <f t="shared" si="72"/>
        <v>RESIDENTIAL SERVICE CLASSIFICATION</v>
      </c>
      <c r="B471" s="105" t="s">
        <v>171</v>
      </c>
      <c r="C471" s="117">
        <f>B10</f>
        <v>8</v>
      </c>
      <c r="D471" s="147" t="s">
        <v>172</v>
      </c>
      <c r="E471" s="132"/>
      <c r="F471" s="149"/>
      <c r="G471" s="150"/>
      <c r="H471" s="151">
        <f>SUM(H468:H470)</f>
        <v>31.637557280000003</v>
      </c>
      <c r="I471" s="152"/>
      <c r="J471" s="137"/>
      <c r="K471" s="151">
        <f>SUM(K468:K470)</f>
        <v>32.198466080000003</v>
      </c>
      <c r="L471" s="138">
        <f t="shared" si="69"/>
        <v>0.56090879999999999</v>
      </c>
      <c r="M471" s="139">
        <f>IF((H471)=0,"",(L471/H471))</f>
        <v>1.7729206937053387E-2</v>
      </c>
    </row>
    <row r="472" spans="1:13" ht="25.5" x14ac:dyDescent="0.25">
      <c r="A472" s="100" t="str">
        <f t="shared" si="72"/>
        <v>RESIDENTIAL SERVICE CLASSIFICATION</v>
      </c>
      <c r="C472" s="117"/>
      <c r="D472" s="156" t="s">
        <v>173</v>
      </c>
      <c r="E472" s="119"/>
      <c r="F472" s="127">
        <v>3.6000000000000003E-3</v>
      </c>
      <c r="G472" s="141">
        <f>E445*E447</f>
        <v>361.15200000000004</v>
      </c>
      <c r="H472" s="157">
        <f t="shared" ref="H472:H478" si="74">G472*F472</f>
        <v>1.3001472000000003</v>
      </c>
      <c r="I472" s="128">
        <v>3.6000000000000003E-3</v>
      </c>
      <c r="J472" s="141">
        <f>E445*E448</f>
        <v>361.15200000000004</v>
      </c>
      <c r="K472" s="157">
        <f t="shared" ref="K472:K478" si="75">J472*I472</f>
        <v>1.3001472000000003</v>
      </c>
      <c r="L472" s="125">
        <f t="shared" si="69"/>
        <v>0</v>
      </c>
      <c r="M472" s="126">
        <f t="shared" ref="M472:M480" si="76">IF(ISERROR(L472/H472), "", L472/H472)</f>
        <v>0</v>
      </c>
    </row>
    <row r="473" spans="1:13" ht="25.5" x14ac:dyDescent="0.25">
      <c r="A473" s="100" t="str">
        <f t="shared" si="72"/>
        <v>RESIDENTIAL SERVICE CLASSIFICATION</v>
      </c>
      <c r="C473" s="117"/>
      <c r="D473" s="156" t="s">
        <v>174</v>
      </c>
      <c r="E473" s="119"/>
      <c r="F473" s="127">
        <f>'[1]17. Regulatory Charges'!$D$16</f>
        <v>2.9999999999999997E-4</v>
      </c>
      <c r="G473" s="141">
        <f>E445*E447</f>
        <v>361.15200000000004</v>
      </c>
      <c r="H473" s="157">
        <f t="shared" si="74"/>
        <v>0.1083456</v>
      </c>
      <c r="I473" s="128">
        <v>2.9999999999999997E-4</v>
      </c>
      <c r="J473" s="141">
        <f>E445*E448</f>
        <v>361.15200000000004</v>
      </c>
      <c r="K473" s="157">
        <f t="shared" si="75"/>
        <v>0.1083456</v>
      </c>
      <c r="L473" s="125">
        <f t="shared" si="69"/>
        <v>0</v>
      </c>
      <c r="M473" s="126">
        <f t="shared" si="76"/>
        <v>0</v>
      </c>
    </row>
    <row r="474" spans="1:13" x14ac:dyDescent="0.25">
      <c r="A474" s="100" t="str">
        <f t="shared" si="72"/>
        <v>RESIDENTIAL SERVICE CLASSIFICATION</v>
      </c>
      <c r="C474" s="117"/>
      <c r="D474" s="158" t="s">
        <v>175</v>
      </c>
      <c r="E474" s="119"/>
      <c r="F474" s="145">
        <v>0.25</v>
      </c>
      <c r="G474" s="121">
        <v>1</v>
      </c>
      <c r="H474" s="157">
        <f t="shared" si="74"/>
        <v>0.25</v>
      </c>
      <c r="I474" s="146">
        <f>'[1]17. Regulatory Charges'!$D$17</f>
        <v>0.25</v>
      </c>
      <c r="J474" s="124">
        <v>1</v>
      </c>
      <c r="K474" s="157">
        <f t="shared" si="75"/>
        <v>0.25</v>
      </c>
      <c r="L474" s="125">
        <f t="shared" si="69"/>
        <v>0</v>
      </c>
      <c r="M474" s="126">
        <f t="shared" si="76"/>
        <v>0</v>
      </c>
    </row>
    <row r="475" spans="1:13" ht="25.5" x14ac:dyDescent="0.25">
      <c r="A475" s="100" t="str">
        <f t="shared" si="72"/>
        <v>RESIDENTIAL SERVICE CLASSIFICATION</v>
      </c>
      <c r="C475" s="117"/>
      <c r="D475" s="156" t="s">
        <v>176</v>
      </c>
      <c r="E475" s="119"/>
      <c r="F475" s="127"/>
      <c r="G475" s="141"/>
      <c r="H475" s="157"/>
      <c r="I475" s="128"/>
      <c r="J475" s="141"/>
      <c r="K475" s="157"/>
      <c r="L475" s="125"/>
      <c r="M475" s="126"/>
    </row>
    <row r="476" spans="1:13" x14ac:dyDescent="0.25">
      <c r="A476" s="100" t="str">
        <f t="shared" si="72"/>
        <v>RESIDENTIAL SERVICE CLASSIFICATION</v>
      </c>
      <c r="B476" s="105" t="s">
        <v>117</v>
      </c>
      <c r="C476" s="117"/>
      <c r="D476" s="159" t="s">
        <v>177</v>
      </c>
      <c r="E476" s="119"/>
      <c r="F476" s="160">
        <f>OffPeak</f>
        <v>6.5000000000000002E-2</v>
      </c>
      <c r="G476" s="161">
        <f>IF(AND(E445*12&gt;=150000),0.65*E445*E447,0.65*E445)</f>
        <v>222.3</v>
      </c>
      <c r="H476" s="157">
        <f t="shared" si="74"/>
        <v>14.4495</v>
      </c>
      <c r="I476" s="162">
        <f>OffPeak</f>
        <v>6.5000000000000002E-2</v>
      </c>
      <c r="J476" s="161">
        <f>IF(AND(E445*12&gt;=150000),0.65*E445*E448,0.65*E445)</f>
        <v>222.3</v>
      </c>
      <c r="K476" s="157">
        <f t="shared" si="75"/>
        <v>14.4495</v>
      </c>
      <c r="L476" s="125">
        <f>K476-H476</f>
        <v>0</v>
      </c>
      <c r="M476" s="126">
        <f t="shared" si="76"/>
        <v>0</v>
      </c>
    </row>
    <row r="477" spans="1:13" x14ac:dyDescent="0.25">
      <c r="A477" s="100" t="str">
        <f t="shared" si="72"/>
        <v>RESIDENTIAL SERVICE CLASSIFICATION</v>
      </c>
      <c r="B477" s="105" t="s">
        <v>117</v>
      </c>
      <c r="C477" s="117"/>
      <c r="D477" s="159" t="s">
        <v>178</v>
      </c>
      <c r="E477" s="119"/>
      <c r="F477" s="160">
        <f>MidPeak</f>
        <v>9.4E-2</v>
      </c>
      <c r="G477" s="161">
        <f>IF(AND(E445*12&gt;=150000),0.17*E445*E447,0.17*E445)</f>
        <v>58.140000000000008</v>
      </c>
      <c r="H477" s="157">
        <f t="shared" si="74"/>
        <v>5.4651600000000009</v>
      </c>
      <c r="I477" s="162">
        <f>MidPeak</f>
        <v>9.4E-2</v>
      </c>
      <c r="J477" s="161">
        <f>IF(AND(E445*12&gt;=150000),0.17*E445*E448,0.17*E445)</f>
        <v>58.140000000000008</v>
      </c>
      <c r="K477" s="157">
        <f t="shared" si="75"/>
        <v>5.4651600000000009</v>
      </c>
      <c r="L477" s="125">
        <f>K477-H477</f>
        <v>0</v>
      </c>
      <c r="M477" s="126">
        <f t="shared" si="76"/>
        <v>0</v>
      </c>
    </row>
    <row r="478" spans="1:13" ht="15.75" thickBot="1" x14ac:dyDescent="0.3">
      <c r="A478" s="100" t="str">
        <f t="shared" si="72"/>
        <v>RESIDENTIAL SERVICE CLASSIFICATION</v>
      </c>
      <c r="B478" s="105" t="s">
        <v>117</v>
      </c>
      <c r="C478" s="117"/>
      <c r="D478" s="105" t="s">
        <v>179</v>
      </c>
      <c r="E478" s="119"/>
      <c r="F478" s="160">
        <f>OnPeak</f>
        <v>0.13200000000000001</v>
      </c>
      <c r="G478" s="161">
        <f>IF(AND(E445*12&gt;=150000),0.18*E445*E447,0.18*E445)</f>
        <v>61.559999999999995</v>
      </c>
      <c r="H478" s="157">
        <f t="shared" si="74"/>
        <v>8.1259199999999989</v>
      </c>
      <c r="I478" s="162">
        <f>OnPeak</f>
        <v>0.13200000000000001</v>
      </c>
      <c r="J478" s="161">
        <f>IF(AND(E445*12&gt;=150000),0.18*E445*E448,0.18*E445)</f>
        <v>61.559999999999995</v>
      </c>
      <c r="K478" s="157">
        <f t="shared" si="75"/>
        <v>8.1259199999999989</v>
      </c>
      <c r="L478" s="125">
        <f>K478-H478</f>
        <v>0</v>
      </c>
      <c r="M478" s="126">
        <f t="shared" si="76"/>
        <v>0</v>
      </c>
    </row>
    <row r="479" spans="1:13" ht="15.75" hidden="1" thickBot="1" x14ac:dyDescent="0.3">
      <c r="A479" s="100" t="str">
        <f t="shared" si="72"/>
        <v>RESIDENTIAL SERVICE CLASSIFICATION</v>
      </c>
      <c r="B479" s="100" t="s">
        <v>180</v>
      </c>
      <c r="C479" s="117"/>
      <c r="D479" s="159" t="s">
        <v>181</v>
      </c>
      <c r="E479" s="119"/>
      <c r="F479" s="163">
        <v>0.1101</v>
      </c>
      <c r="G479" s="161">
        <f>IF(AND(E445*12&gt;=150000),E445*E447,E445)</f>
        <v>342</v>
      </c>
      <c r="H479" s="157">
        <f>G479*F479</f>
        <v>37.654200000000003</v>
      </c>
      <c r="I479" s="164">
        <f>F479</f>
        <v>0.1101</v>
      </c>
      <c r="J479" s="161">
        <f>IF(AND(E445*12&gt;=150000),E445*E448,E445)</f>
        <v>342</v>
      </c>
      <c r="K479" s="157">
        <f>J479*I479</f>
        <v>37.654200000000003</v>
      </c>
      <c r="L479" s="125">
        <f>K479-H479</f>
        <v>0</v>
      </c>
      <c r="M479" s="126">
        <f t="shared" si="76"/>
        <v>0</v>
      </c>
    </row>
    <row r="480" spans="1:13" ht="15.75" hidden="1" thickBot="1" x14ac:dyDescent="0.3">
      <c r="A480" s="100" t="str">
        <f t="shared" si="72"/>
        <v>RESIDENTIAL SERVICE CLASSIFICATION</v>
      </c>
      <c r="B480" s="100" t="s">
        <v>121</v>
      </c>
      <c r="C480" s="117"/>
      <c r="D480" s="159" t="s">
        <v>182</v>
      </c>
      <c r="E480" s="119"/>
      <c r="F480" s="163">
        <v>0.1101</v>
      </c>
      <c r="G480" s="161">
        <f>IF(AND(E445*12&gt;=150000),E445*E447,E445)</f>
        <v>342</v>
      </c>
      <c r="H480" s="157">
        <f>G480*F480</f>
        <v>37.654200000000003</v>
      </c>
      <c r="I480" s="164">
        <f>F480</f>
        <v>0.1101</v>
      </c>
      <c r="J480" s="161">
        <f>IF(AND(E445*12&gt;=150000),E445*E448,E445)</f>
        <v>342</v>
      </c>
      <c r="K480" s="157">
        <f>J480*I480</f>
        <v>37.654200000000003</v>
      </c>
      <c r="L480" s="125">
        <f>K480-H480</f>
        <v>0</v>
      </c>
      <c r="M480" s="126">
        <f t="shared" si="76"/>
        <v>0</v>
      </c>
    </row>
    <row r="481" spans="1:13" ht="15.75" thickBot="1" x14ac:dyDescent="0.3">
      <c r="A481" s="100" t="str">
        <f t="shared" si="72"/>
        <v>RESIDENTIAL SERVICE CLASSIFICATION</v>
      </c>
      <c r="B481" s="105"/>
      <c r="C481" s="117"/>
      <c r="D481" s="165"/>
      <c r="E481" s="166"/>
      <c r="F481" s="167"/>
      <c r="G481" s="168"/>
      <c r="H481" s="169"/>
      <c r="I481" s="167"/>
      <c r="J481" s="170"/>
      <c r="K481" s="169"/>
      <c r="L481" s="171"/>
      <c r="M481" s="172"/>
    </row>
    <row r="482" spans="1:13" x14ac:dyDescent="0.25">
      <c r="A482" s="100" t="str">
        <f t="shared" si="72"/>
        <v>RESIDENTIAL SERVICE CLASSIFICATION</v>
      </c>
      <c r="B482" s="105" t="s">
        <v>117</v>
      </c>
      <c r="C482" s="117"/>
      <c r="D482" s="173" t="s">
        <v>183</v>
      </c>
      <c r="E482" s="158"/>
      <c r="F482" s="174"/>
      <c r="G482" s="175"/>
      <c r="H482" s="176">
        <f>SUM(H472:H478,H471)</f>
        <v>61.336630080000006</v>
      </c>
      <c r="I482" s="177"/>
      <c r="J482" s="177"/>
      <c r="K482" s="176">
        <f>SUM(K472:K478,K471)</f>
        <v>61.897538880000006</v>
      </c>
      <c r="L482" s="178">
        <f>K482-H482</f>
        <v>0.56090879999999999</v>
      </c>
      <c r="M482" s="179">
        <f>IF((H482)=0,"",(L482/H482))</f>
        <v>9.1447606311011714E-3</v>
      </c>
    </row>
    <row r="483" spans="1:13" x14ac:dyDescent="0.25">
      <c r="A483" s="100" t="str">
        <f t="shared" si="72"/>
        <v>RESIDENTIAL SERVICE CLASSIFICATION</v>
      </c>
      <c r="B483" s="105" t="s">
        <v>117</v>
      </c>
      <c r="C483" s="117"/>
      <c r="D483" s="180" t="s">
        <v>184</v>
      </c>
      <c r="E483" s="158"/>
      <c r="F483" s="174">
        <v>0.13</v>
      </c>
      <c r="G483" s="181"/>
      <c r="H483" s="182">
        <f>H482*F483</f>
        <v>7.9737619104000013</v>
      </c>
      <c r="I483" s="183">
        <v>0.13</v>
      </c>
      <c r="J483" s="121"/>
      <c r="K483" s="182">
        <f>K482*I483</f>
        <v>8.0466800544000012</v>
      </c>
      <c r="L483" s="184">
        <f>K483-H483</f>
        <v>7.2918143999999963E-2</v>
      </c>
      <c r="M483" s="185">
        <f>IF((H483)=0,"",(L483/H483))</f>
        <v>9.1447606311011662E-3</v>
      </c>
    </row>
    <row r="484" spans="1:13" x14ac:dyDescent="0.25">
      <c r="A484" s="100" t="str">
        <f t="shared" si="72"/>
        <v>RESIDENTIAL SERVICE CLASSIFICATION</v>
      </c>
      <c r="B484" s="105" t="s">
        <v>117</v>
      </c>
      <c r="C484" s="117"/>
      <c r="D484" s="180" t="s">
        <v>185</v>
      </c>
      <c r="E484" s="158"/>
      <c r="F484" s="174">
        <v>0.08</v>
      </c>
      <c r="G484" s="181"/>
      <c r="H484" s="182">
        <f>H482*-F484</f>
        <v>-4.9069304064000008</v>
      </c>
      <c r="I484" s="174">
        <v>0.08</v>
      </c>
      <c r="J484" s="121"/>
      <c r="K484" s="182">
        <f>K482*-I484</f>
        <v>-4.9518031104000002</v>
      </c>
      <c r="L484" s="184">
        <f>K484-H484</f>
        <v>-4.487270399999943E-2</v>
      </c>
      <c r="M484" s="185"/>
    </row>
    <row r="485" spans="1:13" ht="15.75" thickBot="1" x14ac:dyDescent="0.3">
      <c r="A485" s="100" t="str">
        <f t="shared" si="72"/>
        <v>RESIDENTIAL SERVICE CLASSIFICATION</v>
      </c>
      <c r="B485" s="105" t="s">
        <v>186</v>
      </c>
      <c r="C485" s="117">
        <f>B10</f>
        <v>8</v>
      </c>
      <c r="D485" s="301" t="s">
        <v>187</v>
      </c>
      <c r="E485" s="301"/>
      <c r="F485" s="186"/>
      <c r="G485" s="187"/>
      <c r="H485" s="188">
        <f>H482+H483+H484</f>
        <v>64.403461584000013</v>
      </c>
      <c r="I485" s="189"/>
      <c r="J485" s="189"/>
      <c r="K485" s="190">
        <f>K482+K483+K484</f>
        <v>64.992415824000005</v>
      </c>
      <c r="L485" s="191">
        <f>K485-H485</f>
        <v>0.58895423999999252</v>
      </c>
      <c r="M485" s="192">
        <f>IF((H485)=0,"",(L485/H485))</f>
        <v>9.1447606311010551E-3</v>
      </c>
    </row>
    <row r="486" spans="1:13" ht="15.75" hidden="1" thickBot="1" x14ac:dyDescent="0.3">
      <c r="A486" s="100" t="str">
        <f t="shared" si="72"/>
        <v>RESIDENTIAL SERVICE CLASSIFICATION</v>
      </c>
      <c r="B486" s="100" t="s">
        <v>117</v>
      </c>
      <c r="C486" s="117"/>
      <c r="D486" s="165"/>
      <c r="E486" s="166"/>
      <c r="F486" s="167"/>
      <c r="G486" s="168"/>
      <c r="H486" s="169"/>
      <c r="I486" s="167"/>
      <c r="J486" s="170"/>
      <c r="K486" s="169"/>
      <c r="L486" s="171"/>
      <c r="M486" s="172"/>
    </row>
    <row r="487" spans="1:13" ht="15.75" hidden="1" thickBot="1" x14ac:dyDescent="0.3">
      <c r="A487" s="100" t="str">
        <f t="shared" si="72"/>
        <v>RESIDENTIAL SERVICE CLASSIFICATION</v>
      </c>
      <c r="B487" s="100" t="s">
        <v>180</v>
      </c>
      <c r="C487" s="117"/>
      <c r="D487" s="173" t="s">
        <v>188</v>
      </c>
      <c r="E487" s="158"/>
      <c r="F487" s="174"/>
      <c r="G487" s="175"/>
      <c r="H487" s="176">
        <f>SUM(H479,H472:H475,H471)</f>
        <v>70.950250080000004</v>
      </c>
      <c r="I487" s="177"/>
      <c r="J487" s="177"/>
      <c r="K487" s="176">
        <f>SUM(K479,K472:K475,K471)</f>
        <v>71.511158880000011</v>
      </c>
      <c r="L487" s="178">
        <f>K487-H487</f>
        <v>0.56090880000000709</v>
      </c>
      <c r="M487" s="179">
        <f>IF((H487)=0,"",(L487/H487))</f>
        <v>7.9056634665495042E-3</v>
      </c>
    </row>
    <row r="488" spans="1:13" ht="15.75" hidden="1" thickBot="1" x14ac:dyDescent="0.3">
      <c r="A488" s="100" t="str">
        <f t="shared" si="72"/>
        <v>RESIDENTIAL SERVICE CLASSIFICATION</v>
      </c>
      <c r="B488" s="100" t="s">
        <v>180</v>
      </c>
      <c r="C488" s="117"/>
      <c r="D488" s="180" t="s">
        <v>184</v>
      </c>
      <c r="E488" s="158"/>
      <c r="F488" s="174">
        <v>0.13</v>
      </c>
      <c r="G488" s="175"/>
      <c r="H488" s="182">
        <f>H487*F488</f>
        <v>9.2235325104000001</v>
      </c>
      <c r="I488" s="174">
        <v>0.13</v>
      </c>
      <c r="J488" s="183"/>
      <c r="K488" s="182">
        <f>K487*I488</f>
        <v>9.296450654400001</v>
      </c>
      <c r="L488" s="184">
        <f>K488-H488</f>
        <v>7.2918144000000851E-2</v>
      </c>
      <c r="M488" s="185">
        <f>IF((H488)=0,"",(L488/H488))</f>
        <v>7.9056634665494972E-3</v>
      </c>
    </row>
    <row r="489" spans="1:13" ht="15.75" hidden="1" thickBot="1" x14ac:dyDescent="0.3">
      <c r="A489" s="100" t="str">
        <f t="shared" si="72"/>
        <v>RESIDENTIAL SERVICE CLASSIFICATION</v>
      </c>
      <c r="B489" s="100" t="s">
        <v>180</v>
      </c>
      <c r="C489" s="117"/>
      <c r="D489" s="180" t="s">
        <v>185</v>
      </c>
      <c r="E489" s="158"/>
      <c r="F489" s="174">
        <v>0.08</v>
      </c>
      <c r="G489" s="175"/>
      <c r="H489" s="182"/>
      <c r="I489" s="174">
        <v>0.08</v>
      </c>
      <c r="J489" s="183"/>
      <c r="K489" s="182"/>
      <c r="L489" s="184"/>
      <c r="M489" s="185"/>
    </row>
    <row r="490" spans="1:13" ht="15.75" hidden="1" thickBot="1" x14ac:dyDescent="0.3">
      <c r="A490" s="100" t="str">
        <f t="shared" si="72"/>
        <v>RESIDENTIAL SERVICE CLASSIFICATION</v>
      </c>
      <c r="B490" s="100" t="s">
        <v>189</v>
      </c>
      <c r="C490" s="117"/>
      <c r="D490" s="301" t="s">
        <v>188</v>
      </c>
      <c r="E490" s="301"/>
      <c r="F490" s="193"/>
      <c r="G490" s="194"/>
      <c r="H490" s="188">
        <f>SUM(H487,H488)</f>
        <v>80.173782590400009</v>
      </c>
      <c r="I490" s="195"/>
      <c r="J490" s="195"/>
      <c r="K490" s="188">
        <f>SUM(K487,K488)</f>
        <v>80.807609534400015</v>
      </c>
      <c r="L490" s="196">
        <f>K490-H490</f>
        <v>0.63382694400000616</v>
      </c>
      <c r="M490" s="197">
        <f>IF((H490)=0,"",(L490/H490))</f>
        <v>7.9056634665494816E-3</v>
      </c>
    </row>
    <row r="491" spans="1:13" ht="15.75" hidden="1" thickBot="1" x14ac:dyDescent="0.3">
      <c r="A491" s="100" t="str">
        <f t="shared" si="72"/>
        <v>RESIDENTIAL SERVICE CLASSIFICATION</v>
      </c>
      <c r="B491" s="100" t="s">
        <v>180</v>
      </c>
      <c r="C491" s="117"/>
      <c r="D491" s="165"/>
      <c r="E491" s="166"/>
      <c r="F491" s="198"/>
      <c r="G491" s="199"/>
      <c r="H491" s="200"/>
      <c r="I491" s="198"/>
      <c r="J491" s="168"/>
      <c r="K491" s="200"/>
      <c r="L491" s="201"/>
      <c r="M491" s="172"/>
    </row>
    <row r="492" spans="1:13" ht="15.75" hidden="1" thickBot="1" x14ac:dyDescent="0.3">
      <c r="A492" s="100" t="str">
        <f t="shared" si="72"/>
        <v>RESIDENTIAL SERVICE CLASSIFICATION</v>
      </c>
      <c r="B492" s="100" t="s">
        <v>121</v>
      </c>
      <c r="C492" s="117"/>
      <c r="D492" s="173" t="s">
        <v>190</v>
      </c>
      <c r="E492" s="158"/>
      <c r="F492" s="174"/>
      <c r="G492" s="175"/>
      <c r="H492" s="176">
        <f>SUM(H480,H472:H475,H471)</f>
        <v>70.950250080000004</v>
      </c>
      <c r="I492" s="177"/>
      <c r="J492" s="177"/>
      <c r="K492" s="176">
        <f>SUM(K480,K472:K475,K471)</f>
        <v>71.511158880000011</v>
      </c>
      <c r="L492" s="178">
        <f>K492-H492</f>
        <v>0.56090880000000709</v>
      </c>
      <c r="M492" s="179">
        <f>IF((H492)=0,"",(L492/H492))</f>
        <v>7.9056634665495042E-3</v>
      </c>
    </row>
    <row r="493" spans="1:13" ht="15.75" hidden="1" thickBot="1" x14ac:dyDescent="0.3">
      <c r="A493" s="100" t="str">
        <f t="shared" si="72"/>
        <v>RESIDENTIAL SERVICE CLASSIFICATION</v>
      </c>
      <c r="B493" s="100" t="s">
        <v>121</v>
      </c>
      <c r="C493" s="117"/>
      <c r="D493" s="180" t="s">
        <v>184</v>
      </c>
      <c r="E493" s="158"/>
      <c r="F493" s="174">
        <v>0.13</v>
      </c>
      <c r="G493" s="175"/>
      <c r="H493" s="182">
        <f>H492*F493</f>
        <v>9.2235325104000001</v>
      </c>
      <c r="I493" s="174">
        <v>0.13</v>
      </c>
      <c r="J493" s="183"/>
      <c r="K493" s="182">
        <f>K492*I493</f>
        <v>9.296450654400001</v>
      </c>
      <c r="L493" s="184">
        <f>K493-H493</f>
        <v>7.2918144000000851E-2</v>
      </c>
      <c r="M493" s="185">
        <f>IF((H493)=0,"",(L493/H493))</f>
        <v>7.9056634665494972E-3</v>
      </c>
    </row>
    <row r="494" spans="1:13" ht="15.75" hidden="1" thickBot="1" x14ac:dyDescent="0.3">
      <c r="A494" s="100" t="str">
        <f t="shared" si="72"/>
        <v>RESIDENTIAL SERVICE CLASSIFICATION</v>
      </c>
      <c r="B494" s="100" t="s">
        <v>121</v>
      </c>
      <c r="C494" s="117"/>
      <c r="D494" s="180" t="s">
        <v>185</v>
      </c>
      <c r="E494" s="158"/>
      <c r="F494" s="174">
        <v>0.08</v>
      </c>
      <c r="G494" s="175"/>
      <c r="H494" s="182"/>
      <c r="I494" s="174">
        <v>0.08</v>
      </c>
      <c r="J494" s="183"/>
      <c r="K494" s="182"/>
      <c r="L494" s="184"/>
      <c r="M494" s="185"/>
    </row>
    <row r="495" spans="1:13" ht="15.75" hidden="1" thickBot="1" x14ac:dyDescent="0.3">
      <c r="A495" s="100" t="str">
        <f t="shared" si="72"/>
        <v>RESIDENTIAL SERVICE CLASSIFICATION</v>
      </c>
      <c r="B495" s="100" t="s">
        <v>191</v>
      </c>
      <c r="C495" s="117"/>
      <c r="D495" s="301" t="s">
        <v>190</v>
      </c>
      <c r="E495" s="301"/>
      <c r="F495" s="193"/>
      <c r="G495" s="194"/>
      <c r="H495" s="188">
        <f>SUM(H492,H493)</f>
        <v>80.173782590400009</v>
      </c>
      <c r="I495" s="195"/>
      <c r="J495" s="195"/>
      <c r="K495" s="188">
        <f>SUM(K492,K493)</f>
        <v>80.807609534400015</v>
      </c>
      <c r="L495" s="196">
        <f>K495-H495</f>
        <v>0.63382694400000616</v>
      </c>
      <c r="M495" s="197">
        <f>IF((H495)=0,"",(L495/H495))</f>
        <v>7.9056634665494816E-3</v>
      </c>
    </row>
    <row r="496" spans="1:13" ht="15.75" thickBot="1" x14ac:dyDescent="0.3">
      <c r="A496" s="100" t="str">
        <f t="shared" si="72"/>
        <v>RESIDENTIAL SERVICE CLASSIFICATION</v>
      </c>
      <c r="B496" s="100" t="s">
        <v>121</v>
      </c>
      <c r="C496" s="117"/>
      <c r="D496" s="165"/>
      <c r="E496" s="166"/>
      <c r="F496" s="202"/>
      <c r="G496" s="203"/>
      <c r="H496" s="204"/>
      <c r="I496" s="202"/>
      <c r="J496" s="205"/>
      <c r="K496" s="204"/>
      <c r="L496" s="206"/>
      <c r="M496" s="207"/>
    </row>
    <row r="499" spans="1:13" x14ac:dyDescent="0.25">
      <c r="C499" s="100"/>
      <c r="D499" s="101" t="s">
        <v>134</v>
      </c>
      <c r="E499" s="302" t="str">
        <f>D11</f>
        <v>RESIDENTIAL SERVICE CLASSIFICATION</v>
      </c>
      <c r="F499" s="302"/>
      <c r="G499" s="302"/>
      <c r="H499" s="302"/>
      <c r="I499" s="302"/>
      <c r="J499" s="302"/>
      <c r="K499" s="100" t="str">
        <f>IF(N11="DEMAND - INTERVAL","RTSR - INTERVAL METERED","")</f>
        <v/>
      </c>
    </row>
    <row r="500" spans="1:13" x14ac:dyDescent="0.25">
      <c r="C500" s="100"/>
      <c r="D500" s="101" t="s">
        <v>135</v>
      </c>
      <c r="E500" s="303" t="str">
        <f>H11</f>
        <v>RPP</v>
      </c>
      <c r="F500" s="303"/>
      <c r="G500" s="303"/>
      <c r="H500" s="102"/>
      <c r="I500" s="102"/>
    </row>
    <row r="501" spans="1:13" ht="15.75" x14ac:dyDescent="0.25">
      <c r="C501" s="100"/>
      <c r="D501" s="101" t="s">
        <v>136</v>
      </c>
      <c r="E501" s="103">
        <f>K11</f>
        <v>1000</v>
      </c>
      <c r="F501" s="104" t="s">
        <v>137</v>
      </c>
      <c r="G501" s="105"/>
      <c r="J501" s="106"/>
      <c r="K501" s="106"/>
      <c r="L501" s="106"/>
      <c r="M501" s="106"/>
    </row>
    <row r="502" spans="1:13" ht="15.75" x14ac:dyDescent="0.25">
      <c r="C502" s="100"/>
      <c r="D502" s="101" t="s">
        <v>138</v>
      </c>
      <c r="E502" s="103">
        <f>L11</f>
        <v>0</v>
      </c>
      <c r="F502" s="107" t="s">
        <v>139</v>
      </c>
      <c r="G502" s="108"/>
      <c r="H502" s="109"/>
      <c r="I502" s="109"/>
      <c r="J502" s="109"/>
    </row>
    <row r="503" spans="1:13" x14ac:dyDescent="0.25">
      <c r="C503" s="100"/>
      <c r="D503" s="101" t="s">
        <v>140</v>
      </c>
      <c r="E503" s="110">
        <f>I11</f>
        <v>1.056</v>
      </c>
    </row>
    <row r="504" spans="1:13" x14ac:dyDescent="0.25">
      <c r="C504" s="100"/>
      <c r="D504" s="101" t="s">
        <v>141</v>
      </c>
      <c r="E504" s="110">
        <f>J11</f>
        <v>1.056</v>
      </c>
    </row>
    <row r="505" spans="1:13" x14ac:dyDescent="0.25">
      <c r="C505" s="100"/>
      <c r="D505" s="105"/>
    </row>
    <row r="506" spans="1:13" x14ac:dyDescent="0.25">
      <c r="C506" s="100"/>
      <c r="D506" s="105"/>
      <c r="E506" s="111"/>
      <c r="F506" s="304" t="s">
        <v>142</v>
      </c>
      <c r="G506" s="305"/>
      <c r="H506" s="306"/>
      <c r="I506" s="304" t="s">
        <v>143</v>
      </c>
      <c r="J506" s="305"/>
      <c r="K506" s="306"/>
      <c r="L506" s="304" t="s">
        <v>144</v>
      </c>
      <c r="M506" s="306"/>
    </row>
    <row r="507" spans="1:13" x14ac:dyDescent="0.25">
      <c r="C507" s="100"/>
      <c r="D507" s="105"/>
      <c r="E507" s="295"/>
      <c r="F507" s="112" t="s">
        <v>145</v>
      </c>
      <c r="G507" s="112" t="s">
        <v>146</v>
      </c>
      <c r="H507" s="113" t="s">
        <v>147</v>
      </c>
      <c r="I507" s="112" t="s">
        <v>145</v>
      </c>
      <c r="J507" s="114" t="s">
        <v>146</v>
      </c>
      <c r="K507" s="113" t="s">
        <v>147</v>
      </c>
      <c r="L507" s="297" t="s">
        <v>148</v>
      </c>
      <c r="M507" s="299" t="s">
        <v>149</v>
      </c>
    </row>
    <row r="508" spans="1:13" x14ac:dyDescent="0.25">
      <c r="C508" s="100"/>
      <c r="D508" s="105"/>
      <c r="E508" s="296"/>
      <c r="F508" s="115" t="s">
        <v>150</v>
      </c>
      <c r="G508" s="115"/>
      <c r="H508" s="116" t="s">
        <v>150</v>
      </c>
      <c r="I508" s="115" t="s">
        <v>150</v>
      </c>
      <c r="J508" s="116"/>
      <c r="K508" s="116" t="s">
        <v>150</v>
      </c>
      <c r="L508" s="298"/>
      <c r="M508" s="300"/>
    </row>
    <row r="509" spans="1:13" x14ac:dyDescent="0.25">
      <c r="A509" s="100" t="str">
        <f>$E499</f>
        <v>RESIDENTIAL SERVICE CLASSIFICATION</v>
      </c>
      <c r="C509" s="117"/>
      <c r="D509" s="118" t="s">
        <v>151</v>
      </c>
      <c r="E509" s="119"/>
      <c r="F509" s="120">
        <v>23.48</v>
      </c>
      <c r="G509" s="121">
        <v>1</v>
      </c>
      <c r="H509" s="122">
        <f>G509*F509</f>
        <v>23.48</v>
      </c>
      <c r="I509" s="123">
        <v>26.72</v>
      </c>
      <c r="J509" s="124">
        <f>G509</f>
        <v>1</v>
      </c>
      <c r="K509" s="122">
        <f>J509*I509</f>
        <v>26.72</v>
      </c>
      <c r="L509" s="125">
        <f t="shared" ref="L509:L530" si="77">K509-H509</f>
        <v>3.2399999999999984</v>
      </c>
      <c r="M509" s="126">
        <f>IF(ISERROR(L509/H509), "", L509/H509)</f>
        <v>0.13798977853492328</v>
      </c>
    </row>
    <row r="510" spans="1:13" x14ac:dyDescent="0.25">
      <c r="A510" s="100" t="str">
        <f>A509</f>
        <v>RESIDENTIAL SERVICE CLASSIFICATION</v>
      </c>
      <c r="C510" s="117"/>
      <c r="D510" s="118" t="s">
        <v>152</v>
      </c>
      <c r="E510" s="119"/>
      <c r="F510" s="127">
        <v>3.3999999999999998E-3</v>
      </c>
      <c r="G510" s="121">
        <f>IF($E502&gt;0, $E502, $E501)</f>
        <v>1000</v>
      </c>
      <c r="H510" s="122">
        <f t="shared" ref="H510:H522" si="78">G510*F510</f>
        <v>3.4</v>
      </c>
      <c r="I510" s="128">
        <v>0</v>
      </c>
      <c r="J510" s="124">
        <f>IF($E502&gt;0, $E502, $E501)</f>
        <v>1000</v>
      </c>
      <c r="K510" s="122">
        <f>J510*I510</f>
        <v>0</v>
      </c>
      <c r="L510" s="125">
        <f t="shared" si="77"/>
        <v>-3.4</v>
      </c>
      <c r="M510" s="126">
        <f t="shared" ref="M510:M520" si="79">IF(ISERROR(L510/H510), "", L510/H510)</f>
        <v>-1</v>
      </c>
    </row>
    <row r="511" spans="1:13" x14ac:dyDescent="0.25">
      <c r="A511" s="100" t="str">
        <f t="shared" ref="A511:A552" si="80">A510</f>
        <v>RESIDENTIAL SERVICE CLASSIFICATION</v>
      </c>
      <c r="C511" s="117"/>
      <c r="D511" s="118" t="s">
        <v>153</v>
      </c>
      <c r="E511" s="119"/>
      <c r="F511" s="127"/>
      <c r="G511" s="121">
        <f>IF($E502&gt;0, $E502, $E501)</f>
        <v>1000</v>
      </c>
      <c r="H511" s="122">
        <v>0</v>
      </c>
      <c r="I511" s="128"/>
      <c r="J511" s="124">
        <f>IF($E502&gt;0, $E502, $E501)</f>
        <v>1000</v>
      </c>
      <c r="K511" s="122">
        <v>0</v>
      </c>
      <c r="L511" s="125"/>
      <c r="M511" s="126"/>
    </row>
    <row r="512" spans="1:13" x14ac:dyDescent="0.25">
      <c r="A512" s="100" t="str">
        <f t="shared" si="80"/>
        <v>RESIDENTIAL SERVICE CLASSIFICATION</v>
      </c>
      <c r="C512" s="117"/>
      <c r="D512" s="118" t="s">
        <v>154</v>
      </c>
      <c r="E512" s="119"/>
      <c r="F512" s="127"/>
      <c r="G512" s="121">
        <f>IF($E502&gt;0, $E502, $E501)</f>
        <v>1000</v>
      </c>
      <c r="H512" s="122">
        <v>0</v>
      </c>
      <c r="I512" s="128"/>
      <c r="J512" s="121">
        <f>IF($E502&gt;0, $E502, $E501)</f>
        <v>1000</v>
      </c>
      <c r="K512" s="122">
        <v>0</v>
      </c>
      <c r="L512" s="125">
        <f>K512-H512</f>
        <v>0</v>
      </c>
      <c r="M512" s="126" t="str">
        <f>IF(ISERROR(L512/H512), "", L512/H512)</f>
        <v/>
      </c>
    </row>
    <row r="513" spans="1:13" x14ac:dyDescent="0.25">
      <c r="A513" s="100" t="str">
        <f t="shared" si="80"/>
        <v>RESIDENTIAL SERVICE CLASSIFICATION</v>
      </c>
      <c r="C513" s="117"/>
      <c r="D513" s="129" t="s">
        <v>155</v>
      </c>
      <c r="E513" s="119"/>
      <c r="F513" s="120">
        <v>0</v>
      </c>
      <c r="G513" s="121">
        <v>1</v>
      </c>
      <c r="H513" s="122">
        <f t="shared" si="78"/>
        <v>0</v>
      </c>
      <c r="I513" s="123">
        <v>0</v>
      </c>
      <c r="J513" s="124">
        <f>G513</f>
        <v>1</v>
      </c>
      <c r="K513" s="122">
        <f t="shared" ref="K513:K520" si="81">J513*I513</f>
        <v>0</v>
      </c>
      <c r="L513" s="125">
        <f t="shared" si="77"/>
        <v>0</v>
      </c>
      <c r="M513" s="126" t="str">
        <f t="shared" si="79"/>
        <v/>
      </c>
    </row>
    <row r="514" spans="1:13" x14ac:dyDescent="0.25">
      <c r="A514" s="100" t="str">
        <f t="shared" si="80"/>
        <v>RESIDENTIAL SERVICE CLASSIFICATION</v>
      </c>
      <c r="C514" s="117"/>
      <c r="D514" s="118" t="s">
        <v>156</v>
      </c>
      <c r="E514" s="119"/>
      <c r="F514" s="127">
        <v>0</v>
      </c>
      <c r="G514" s="121">
        <f>IF($E502&gt;0, $E502, $E501)</f>
        <v>1000</v>
      </c>
      <c r="H514" s="122">
        <f t="shared" si="78"/>
        <v>0</v>
      </c>
      <c r="I514" s="128">
        <v>0</v>
      </c>
      <c r="J514" s="124">
        <f>IF($E502&gt;0, $E502, $E501)</f>
        <v>1000</v>
      </c>
      <c r="K514" s="122">
        <f t="shared" si="81"/>
        <v>0</v>
      </c>
      <c r="L514" s="125">
        <f t="shared" si="77"/>
        <v>0</v>
      </c>
      <c r="M514" s="126" t="str">
        <f t="shared" si="79"/>
        <v/>
      </c>
    </row>
    <row r="515" spans="1:13" x14ac:dyDescent="0.25">
      <c r="A515" s="100" t="str">
        <f t="shared" si="80"/>
        <v>RESIDENTIAL SERVICE CLASSIFICATION</v>
      </c>
      <c r="B515" s="130" t="s">
        <v>157</v>
      </c>
      <c r="C515" s="117">
        <f>B11</f>
        <v>9</v>
      </c>
      <c r="D515" s="131" t="s">
        <v>158</v>
      </c>
      <c r="E515" s="132"/>
      <c r="F515" s="133"/>
      <c r="G515" s="134"/>
      <c r="H515" s="135">
        <f>SUM(H509:H514)</f>
        <v>26.88</v>
      </c>
      <c r="I515" s="136"/>
      <c r="J515" s="137"/>
      <c r="K515" s="135">
        <f>SUM(K509:K514)</f>
        <v>26.72</v>
      </c>
      <c r="L515" s="138">
        <f t="shared" si="77"/>
        <v>-0.16000000000000014</v>
      </c>
      <c r="M515" s="139">
        <f>IF((H515)=0,"",(L515/H515))</f>
        <v>-5.9523809523809581E-3</v>
      </c>
    </row>
    <row r="516" spans="1:13" x14ac:dyDescent="0.25">
      <c r="A516" s="100" t="str">
        <f t="shared" si="80"/>
        <v>RESIDENTIAL SERVICE CLASSIFICATION</v>
      </c>
      <c r="C516" s="117"/>
      <c r="D516" s="140" t="s">
        <v>159</v>
      </c>
      <c r="E516" s="119"/>
      <c r="F516" s="127">
        <f>IF((E501*12&gt;=150000), 0, IF(E500="RPP",(F532*0.65+F533*0.17+F534*0.18),IF(E500="Non-RPP (Retailer)",F535,F536)))</f>
        <v>8.1990000000000007E-2</v>
      </c>
      <c r="G516" s="141">
        <f>IF(F516=0, 0, $E501*E503-E501)</f>
        <v>56</v>
      </c>
      <c r="H516" s="122">
        <f>G516*F516</f>
        <v>4.5914400000000004</v>
      </c>
      <c r="I516" s="128">
        <f>IF((E501*12&gt;=150000), 0, IF(E500="RPP",(I532*0.65+I533*0.17+I534*0.18),IF(E500="Non-RPP (Retailer)",I535,I536)))</f>
        <v>8.1990000000000007E-2</v>
      </c>
      <c r="J516" s="141">
        <f>IF(I516=0, 0, E501*E504-E501)</f>
        <v>56</v>
      </c>
      <c r="K516" s="122">
        <f>J516*I516</f>
        <v>4.5914400000000004</v>
      </c>
      <c r="L516" s="125">
        <f>K516-H516</f>
        <v>0</v>
      </c>
      <c r="M516" s="126">
        <f>IF(ISERROR(L516/H516), "", L516/H516)</f>
        <v>0</v>
      </c>
    </row>
    <row r="517" spans="1:13" ht="25.5" x14ac:dyDescent="0.25">
      <c r="A517" s="100" t="str">
        <f t="shared" si="80"/>
        <v>RESIDENTIAL SERVICE CLASSIFICATION</v>
      </c>
      <c r="C517" s="117"/>
      <c r="D517" s="140" t="s">
        <v>160</v>
      </c>
      <c r="E517" s="119"/>
      <c r="F517" s="127">
        <v>-1.4E-3</v>
      </c>
      <c r="G517" s="142">
        <f>IF($E502&gt;0, $E502, $E501)</f>
        <v>1000</v>
      </c>
      <c r="H517" s="122">
        <f t="shared" si="78"/>
        <v>-1.4</v>
      </c>
      <c r="I517" s="128">
        <v>-5.3E-3</v>
      </c>
      <c r="J517" s="142">
        <f>IF($E502&gt;0, $E502, $E501)</f>
        <v>1000</v>
      </c>
      <c r="K517" s="122">
        <f t="shared" si="81"/>
        <v>-5.3</v>
      </c>
      <c r="L517" s="125">
        <f t="shared" si="77"/>
        <v>-3.9</v>
      </c>
      <c r="M517" s="126">
        <f t="shared" si="79"/>
        <v>2.785714285714286</v>
      </c>
    </row>
    <row r="518" spans="1:13" x14ac:dyDescent="0.25">
      <c r="A518" s="100" t="str">
        <f t="shared" si="80"/>
        <v>RESIDENTIAL SERVICE CLASSIFICATION</v>
      </c>
      <c r="C518" s="117"/>
      <c r="D518" s="140" t="s">
        <v>161</v>
      </c>
      <c r="E518" s="119"/>
      <c r="F518" s="127">
        <v>-1E-4</v>
      </c>
      <c r="G518" s="142">
        <f>IF($E502&gt;0, $E502, $E501)</f>
        <v>1000</v>
      </c>
      <c r="H518" s="122">
        <f>G518*F518</f>
        <v>-0.1</v>
      </c>
      <c r="I518" s="128">
        <v>0</v>
      </c>
      <c r="J518" s="142">
        <f>IF($E502&gt;0, $E502, $E501)</f>
        <v>1000</v>
      </c>
      <c r="K518" s="122">
        <f>J518*I518</f>
        <v>0</v>
      </c>
      <c r="L518" s="125">
        <f t="shared" si="77"/>
        <v>0.1</v>
      </c>
      <c r="M518" s="126">
        <f t="shared" si="79"/>
        <v>-1</v>
      </c>
    </row>
    <row r="519" spans="1:13" x14ac:dyDescent="0.25">
      <c r="A519" s="100" t="str">
        <f t="shared" si="80"/>
        <v>RESIDENTIAL SERVICE CLASSIFICATION</v>
      </c>
      <c r="C519" s="117"/>
      <c r="D519" s="140" t="s">
        <v>162</v>
      </c>
      <c r="E519" s="119"/>
      <c r="F519" s="127">
        <v>0</v>
      </c>
      <c r="G519" s="142">
        <f>E501</f>
        <v>1000</v>
      </c>
      <c r="H519" s="122">
        <f>G519*F519</f>
        <v>0</v>
      </c>
      <c r="I519" s="128">
        <v>0</v>
      </c>
      <c r="J519" s="142">
        <f>E501</f>
        <v>1000</v>
      </c>
      <c r="K519" s="122">
        <f t="shared" si="81"/>
        <v>0</v>
      </c>
      <c r="L519" s="125">
        <f t="shared" si="77"/>
        <v>0</v>
      </c>
      <c r="M519" s="126" t="str">
        <f t="shared" si="79"/>
        <v/>
      </c>
    </row>
    <row r="520" spans="1:13" x14ac:dyDescent="0.25">
      <c r="A520" s="100" t="str">
        <f t="shared" si="80"/>
        <v>RESIDENTIAL SERVICE CLASSIFICATION</v>
      </c>
      <c r="C520" s="117"/>
      <c r="D520" s="143" t="s">
        <v>163</v>
      </c>
      <c r="E520" s="119"/>
      <c r="F520" s="127">
        <v>2.5999999999999999E-3</v>
      </c>
      <c r="G520" s="142">
        <f>IF($E502&gt;0, $E502, $E501)</f>
        <v>1000</v>
      </c>
      <c r="H520" s="122">
        <f t="shared" si="78"/>
        <v>2.6</v>
      </c>
      <c r="I520" s="128">
        <v>2.5999999999999999E-3</v>
      </c>
      <c r="J520" s="142">
        <f>IF($E502&gt;0, $E502, $E501)</f>
        <v>1000</v>
      </c>
      <c r="K520" s="122">
        <f t="shared" si="81"/>
        <v>2.6</v>
      </c>
      <c r="L520" s="125">
        <f t="shared" si="77"/>
        <v>0</v>
      </c>
      <c r="M520" s="126">
        <f t="shared" si="79"/>
        <v>0</v>
      </c>
    </row>
    <row r="521" spans="1:13" ht="25.5" x14ac:dyDescent="0.25">
      <c r="A521" s="100" t="str">
        <f t="shared" si="80"/>
        <v>RESIDENTIAL SERVICE CLASSIFICATION</v>
      </c>
      <c r="C521" s="117"/>
      <c r="D521" s="144" t="s">
        <v>164</v>
      </c>
      <c r="E521" s="119"/>
      <c r="F521" s="145">
        <f>IF(OR(ISNUMBER(SEARCH("RESIDENTIAL", E499))=TRUE, ISNUMBER(SEARCH("GENERAL SERVICE LESS THAN 50", E499))=TRUE), SME, 0)</f>
        <v>0.56999999999999995</v>
      </c>
      <c r="G521" s="121">
        <v>1</v>
      </c>
      <c r="H521" s="122">
        <f>G521*F521</f>
        <v>0.56999999999999995</v>
      </c>
      <c r="I521" s="146">
        <f>IF(OR(ISNUMBER(SEARCH("RESIDENTIAL", E499))=TRUE, ISNUMBER(SEARCH("GENERAL SERVICE LESS THAN 50", E499))=TRUE), SME, 0)</f>
        <v>0.56999999999999995</v>
      </c>
      <c r="J521" s="121">
        <v>1</v>
      </c>
      <c r="K521" s="122">
        <f>J521*I521</f>
        <v>0.56999999999999995</v>
      </c>
      <c r="L521" s="125">
        <f t="shared" si="77"/>
        <v>0</v>
      </c>
      <c r="M521" s="126">
        <f>IF(ISERROR(L521/H521), "", L521/H521)</f>
        <v>0</v>
      </c>
    </row>
    <row r="522" spans="1:13" x14ac:dyDescent="0.25">
      <c r="A522" s="100" t="str">
        <f t="shared" si="80"/>
        <v>RESIDENTIAL SERVICE CLASSIFICATION</v>
      </c>
      <c r="C522" s="117"/>
      <c r="D522" s="143" t="s">
        <v>165</v>
      </c>
      <c r="E522" s="119"/>
      <c r="F522" s="120">
        <v>0</v>
      </c>
      <c r="G522" s="121">
        <v>1</v>
      </c>
      <c r="H522" s="122">
        <f t="shared" si="78"/>
        <v>0</v>
      </c>
      <c r="I522" s="123">
        <v>0</v>
      </c>
      <c r="J522" s="121">
        <v>1</v>
      </c>
      <c r="K522" s="122">
        <f>J522*I522</f>
        <v>0</v>
      </c>
      <c r="L522" s="125">
        <f>K522-H522</f>
        <v>0</v>
      </c>
      <c r="M522" s="126" t="str">
        <f>IF(ISERROR(L522/H522), "", L522/H522)</f>
        <v/>
      </c>
    </row>
    <row r="523" spans="1:13" x14ac:dyDescent="0.25">
      <c r="A523" s="100" t="str">
        <f t="shared" si="80"/>
        <v>RESIDENTIAL SERVICE CLASSIFICATION</v>
      </c>
      <c r="C523" s="117"/>
      <c r="D523" s="143" t="s">
        <v>166</v>
      </c>
      <c r="E523" s="119"/>
      <c r="F523" s="127"/>
      <c r="G523" s="142">
        <f>IF($E502&gt;0, $E502, $E501)</f>
        <v>1000</v>
      </c>
      <c r="H523" s="122">
        <f>G523*F523</f>
        <v>0</v>
      </c>
      <c r="I523" s="128">
        <v>0</v>
      </c>
      <c r="J523" s="142">
        <f>IF($E502&gt;0, $E502, $E501)</f>
        <v>1000</v>
      </c>
      <c r="K523" s="122">
        <f>J523*I523</f>
        <v>0</v>
      </c>
      <c r="L523" s="125">
        <f t="shared" si="77"/>
        <v>0</v>
      </c>
      <c r="M523" s="126" t="str">
        <f>IF(ISERROR(L523/H523), "", L523/H523)</f>
        <v/>
      </c>
    </row>
    <row r="524" spans="1:13" ht="25.5" x14ac:dyDescent="0.25">
      <c r="A524" s="100" t="str">
        <f t="shared" si="80"/>
        <v>RESIDENTIAL SERVICE CLASSIFICATION</v>
      </c>
      <c r="B524" s="105" t="s">
        <v>167</v>
      </c>
      <c r="C524" s="117">
        <f>B11</f>
        <v>9</v>
      </c>
      <c r="D524" s="147" t="s">
        <v>168</v>
      </c>
      <c r="E524" s="148"/>
      <c r="F524" s="149"/>
      <c r="G524" s="150"/>
      <c r="H524" s="151">
        <f>SUM(H515:H523)</f>
        <v>33.141440000000003</v>
      </c>
      <c r="I524" s="152"/>
      <c r="J524" s="153"/>
      <c r="K524" s="151">
        <f>SUM(K515:K523)</f>
        <v>29.181439999999998</v>
      </c>
      <c r="L524" s="138">
        <f t="shared" si="77"/>
        <v>-3.9600000000000044</v>
      </c>
      <c r="M524" s="139">
        <f>IF((H524)=0,"",(L524/H524))</f>
        <v>-0.11948786775710422</v>
      </c>
    </row>
    <row r="525" spans="1:13" x14ac:dyDescent="0.25">
      <c r="A525" s="100" t="str">
        <f t="shared" si="80"/>
        <v>RESIDENTIAL SERVICE CLASSIFICATION</v>
      </c>
      <c r="C525" s="117"/>
      <c r="D525" s="154" t="s">
        <v>169</v>
      </c>
      <c r="E525" s="119"/>
      <c r="F525" s="127">
        <v>6.7999999999999996E-3</v>
      </c>
      <c r="G525" s="141">
        <f>IF($E502&gt;0, $E502, $E501*$E503)</f>
        <v>1056</v>
      </c>
      <c r="H525" s="122">
        <f>G525*F525</f>
        <v>7.1807999999999996</v>
      </c>
      <c r="I525" s="128">
        <v>6.4999999999999997E-3</v>
      </c>
      <c r="J525" s="141">
        <f>IF($E502&gt;0, $E502, $E501*$E504)</f>
        <v>1056</v>
      </c>
      <c r="K525" s="122">
        <f>J525*I525</f>
        <v>6.8639999999999999</v>
      </c>
      <c r="L525" s="125">
        <f t="shared" si="77"/>
        <v>-0.31679999999999975</v>
      </c>
      <c r="M525" s="126">
        <f>IF(ISERROR(L525/H525), "", L525/H525)</f>
        <v>-4.4117647058823498E-2</v>
      </c>
    </row>
    <row r="526" spans="1:13" ht="25.5" x14ac:dyDescent="0.25">
      <c r="A526" s="100" t="str">
        <f t="shared" si="80"/>
        <v>RESIDENTIAL SERVICE CLASSIFICATION</v>
      </c>
      <c r="C526" s="117"/>
      <c r="D526" s="155" t="s">
        <v>170</v>
      </c>
      <c r="E526" s="119"/>
      <c r="F526" s="127">
        <v>5.5999999999999999E-3</v>
      </c>
      <c r="G526" s="141">
        <f>IF($E502&gt;0, $E502, $E501*$E503)</f>
        <v>1056</v>
      </c>
      <c r="H526" s="122">
        <f>G526*F526</f>
        <v>5.9135999999999997</v>
      </c>
      <c r="I526" s="128">
        <v>5.3E-3</v>
      </c>
      <c r="J526" s="141">
        <f>IF($E502&gt;0, $E502, $E501*$E504)</f>
        <v>1056</v>
      </c>
      <c r="K526" s="122">
        <f>J526*I526</f>
        <v>5.5968</v>
      </c>
      <c r="L526" s="125">
        <f t="shared" si="77"/>
        <v>-0.31679999999999975</v>
      </c>
      <c r="M526" s="126">
        <f>IF(ISERROR(L526/H526), "", L526/H526)</f>
        <v>-5.3571428571428534E-2</v>
      </c>
    </row>
    <row r="527" spans="1:13" ht="25.5" x14ac:dyDescent="0.25">
      <c r="A527" s="100" t="str">
        <f t="shared" si="80"/>
        <v>RESIDENTIAL SERVICE CLASSIFICATION</v>
      </c>
      <c r="B527" s="105" t="s">
        <v>171</v>
      </c>
      <c r="C527" s="117">
        <f>B11</f>
        <v>9</v>
      </c>
      <c r="D527" s="147" t="s">
        <v>172</v>
      </c>
      <c r="E527" s="132"/>
      <c r="F527" s="149"/>
      <c r="G527" s="150"/>
      <c r="H527" s="151">
        <f>SUM(H524:H526)</f>
        <v>46.235840000000003</v>
      </c>
      <c r="I527" s="152"/>
      <c r="J527" s="137"/>
      <c r="K527" s="151">
        <f>SUM(K524:K526)</f>
        <v>41.642240000000001</v>
      </c>
      <c r="L527" s="138">
        <f t="shared" si="77"/>
        <v>-4.5936000000000021</v>
      </c>
      <c r="M527" s="139">
        <f>IF((H527)=0,"",(L527/H527))</f>
        <v>-9.9351498750752706E-2</v>
      </c>
    </row>
    <row r="528" spans="1:13" ht="25.5" x14ac:dyDescent="0.25">
      <c r="A528" s="100" t="str">
        <f t="shared" si="80"/>
        <v>RESIDENTIAL SERVICE CLASSIFICATION</v>
      </c>
      <c r="C528" s="117"/>
      <c r="D528" s="156" t="s">
        <v>173</v>
      </c>
      <c r="E528" s="119"/>
      <c r="F528" s="127">
        <v>3.6000000000000003E-3</v>
      </c>
      <c r="G528" s="141">
        <f>E501*E503</f>
        <v>1056</v>
      </c>
      <c r="H528" s="157">
        <f t="shared" ref="H528:H534" si="82">G528*F528</f>
        <v>3.8016000000000005</v>
      </c>
      <c r="I528" s="128">
        <v>3.6000000000000003E-3</v>
      </c>
      <c r="J528" s="141">
        <f>E501*E504</f>
        <v>1056</v>
      </c>
      <c r="K528" s="157">
        <f t="shared" ref="K528:K534" si="83">J528*I528</f>
        <v>3.8016000000000005</v>
      </c>
      <c r="L528" s="125">
        <f t="shared" si="77"/>
        <v>0</v>
      </c>
      <c r="M528" s="126">
        <f t="shared" ref="M528:M536" si="84">IF(ISERROR(L528/H528), "", L528/H528)</f>
        <v>0</v>
      </c>
    </row>
    <row r="529" spans="1:13" ht="25.5" x14ac:dyDescent="0.25">
      <c r="A529" s="100" t="str">
        <f t="shared" si="80"/>
        <v>RESIDENTIAL SERVICE CLASSIFICATION</v>
      </c>
      <c r="C529" s="117"/>
      <c r="D529" s="156" t="s">
        <v>174</v>
      </c>
      <c r="E529" s="119"/>
      <c r="F529" s="127">
        <f>'[1]17. Regulatory Charges'!$D$16</f>
        <v>2.9999999999999997E-4</v>
      </c>
      <c r="G529" s="141">
        <f>E501*E503</f>
        <v>1056</v>
      </c>
      <c r="H529" s="157">
        <f t="shared" si="82"/>
        <v>0.31679999999999997</v>
      </c>
      <c r="I529" s="128">
        <v>2.9999999999999997E-4</v>
      </c>
      <c r="J529" s="141">
        <f>E501*E504</f>
        <v>1056</v>
      </c>
      <c r="K529" s="157">
        <f t="shared" si="83"/>
        <v>0.31679999999999997</v>
      </c>
      <c r="L529" s="125">
        <f t="shared" si="77"/>
        <v>0</v>
      </c>
      <c r="M529" s="126">
        <f t="shared" si="84"/>
        <v>0</v>
      </c>
    </row>
    <row r="530" spans="1:13" x14ac:dyDescent="0.25">
      <c r="A530" s="100" t="str">
        <f t="shared" si="80"/>
        <v>RESIDENTIAL SERVICE CLASSIFICATION</v>
      </c>
      <c r="C530" s="117"/>
      <c r="D530" s="158" t="s">
        <v>175</v>
      </c>
      <c r="E530" s="119"/>
      <c r="F530" s="145">
        <v>0.25</v>
      </c>
      <c r="G530" s="121">
        <v>1</v>
      </c>
      <c r="H530" s="157">
        <f t="shared" si="82"/>
        <v>0.25</v>
      </c>
      <c r="I530" s="146">
        <f>'[1]17. Regulatory Charges'!$D$17</f>
        <v>0.25</v>
      </c>
      <c r="J530" s="124">
        <v>1</v>
      </c>
      <c r="K530" s="157">
        <f t="shared" si="83"/>
        <v>0.25</v>
      </c>
      <c r="L530" s="125">
        <f t="shared" si="77"/>
        <v>0</v>
      </c>
      <c r="M530" s="126">
        <f t="shared" si="84"/>
        <v>0</v>
      </c>
    </row>
    <row r="531" spans="1:13" ht="25.5" x14ac:dyDescent="0.25">
      <c r="A531" s="100" t="str">
        <f t="shared" si="80"/>
        <v>RESIDENTIAL SERVICE CLASSIFICATION</v>
      </c>
      <c r="C531" s="117"/>
      <c r="D531" s="156" t="s">
        <v>176</v>
      </c>
      <c r="E531" s="119"/>
      <c r="F531" s="127"/>
      <c r="G531" s="141"/>
      <c r="H531" s="157"/>
      <c r="I531" s="128"/>
      <c r="J531" s="141"/>
      <c r="K531" s="157"/>
      <c r="L531" s="125"/>
      <c r="M531" s="126"/>
    </row>
    <row r="532" spans="1:13" x14ac:dyDescent="0.25">
      <c r="A532" s="100" t="str">
        <f t="shared" si="80"/>
        <v>RESIDENTIAL SERVICE CLASSIFICATION</v>
      </c>
      <c r="B532" s="105" t="s">
        <v>117</v>
      </c>
      <c r="C532" s="117"/>
      <c r="D532" s="159" t="s">
        <v>177</v>
      </c>
      <c r="E532" s="119"/>
      <c r="F532" s="160">
        <f>OffPeak</f>
        <v>6.5000000000000002E-2</v>
      </c>
      <c r="G532" s="161">
        <f>IF(AND(E501*12&gt;=150000),0.65*E501*E503,0.65*E501)</f>
        <v>650</v>
      </c>
      <c r="H532" s="157">
        <f t="shared" si="82"/>
        <v>42.25</v>
      </c>
      <c r="I532" s="162">
        <f>OffPeak</f>
        <v>6.5000000000000002E-2</v>
      </c>
      <c r="J532" s="161">
        <f>IF(AND(E501*12&gt;=150000),0.65*E501*E504,0.65*E501)</f>
        <v>650</v>
      </c>
      <c r="K532" s="157">
        <f t="shared" si="83"/>
        <v>42.25</v>
      </c>
      <c r="L532" s="125">
        <f>K532-H532</f>
        <v>0</v>
      </c>
      <c r="M532" s="126">
        <f t="shared" si="84"/>
        <v>0</v>
      </c>
    </row>
    <row r="533" spans="1:13" x14ac:dyDescent="0.25">
      <c r="A533" s="100" t="str">
        <f t="shared" si="80"/>
        <v>RESIDENTIAL SERVICE CLASSIFICATION</v>
      </c>
      <c r="B533" s="105" t="s">
        <v>117</v>
      </c>
      <c r="C533" s="117"/>
      <c r="D533" s="159" t="s">
        <v>178</v>
      </c>
      <c r="E533" s="119"/>
      <c r="F533" s="160">
        <f>MidPeak</f>
        <v>9.4E-2</v>
      </c>
      <c r="G533" s="161">
        <f>IF(AND(E501*12&gt;=150000),0.17*E501*E503,0.17*E501)</f>
        <v>170</v>
      </c>
      <c r="H533" s="157">
        <f t="shared" si="82"/>
        <v>15.98</v>
      </c>
      <c r="I533" s="162">
        <f>MidPeak</f>
        <v>9.4E-2</v>
      </c>
      <c r="J533" s="161">
        <f>IF(AND(E501*12&gt;=150000),0.17*E501*E504,0.17*E501)</f>
        <v>170</v>
      </c>
      <c r="K533" s="157">
        <f t="shared" si="83"/>
        <v>15.98</v>
      </c>
      <c r="L533" s="125">
        <f>K533-H533</f>
        <v>0</v>
      </c>
      <c r="M533" s="126">
        <f t="shared" si="84"/>
        <v>0</v>
      </c>
    </row>
    <row r="534" spans="1:13" ht="15.75" thickBot="1" x14ac:dyDescent="0.3">
      <c r="A534" s="100" t="str">
        <f t="shared" si="80"/>
        <v>RESIDENTIAL SERVICE CLASSIFICATION</v>
      </c>
      <c r="B534" s="105" t="s">
        <v>117</v>
      </c>
      <c r="C534" s="117"/>
      <c r="D534" s="105" t="s">
        <v>179</v>
      </c>
      <c r="E534" s="119"/>
      <c r="F534" s="160">
        <f>OnPeak</f>
        <v>0.13200000000000001</v>
      </c>
      <c r="G534" s="161">
        <f>IF(AND(E501*12&gt;=150000),0.18*E501*E503,0.18*E501)</f>
        <v>180</v>
      </c>
      <c r="H534" s="157">
        <f t="shared" si="82"/>
        <v>23.76</v>
      </c>
      <c r="I534" s="162">
        <f>OnPeak</f>
        <v>0.13200000000000001</v>
      </c>
      <c r="J534" s="161">
        <f>IF(AND(E501*12&gt;=150000),0.18*E501*E504,0.18*E501)</f>
        <v>180</v>
      </c>
      <c r="K534" s="157">
        <f t="shared" si="83"/>
        <v>23.76</v>
      </c>
      <c r="L534" s="125">
        <f>K534-H534</f>
        <v>0</v>
      </c>
      <c r="M534" s="126">
        <f t="shared" si="84"/>
        <v>0</v>
      </c>
    </row>
    <row r="535" spans="1:13" ht="15.75" hidden="1" thickBot="1" x14ac:dyDescent="0.3">
      <c r="A535" s="100" t="str">
        <f t="shared" si="80"/>
        <v>RESIDENTIAL SERVICE CLASSIFICATION</v>
      </c>
      <c r="B535" s="100" t="s">
        <v>180</v>
      </c>
      <c r="C535" s="117"/>
      <c r="D535" s="159" t="s">
        <v>181</v>
      </c>
      <c r="E535" s="119"/>
      <c r="F535" s="163">
        <v>0.1101</v>
      </c>
      <c r="G535" s="161">
        <f>IF(AND(E501*12&gt;=150000),E501*E503,E501)</f>
        <v>1000</v>
      </c>
      <c r="H535" s="157">
        <f>G535*F535</f>
        <v>110.10000000000001</v>
      </c>
      <c r="I535" s="164">
        <f>F535</f>
        <v>0.1101</v>
      </c>
      <c r="J535" s="161">
        <f>IF(AND(E501*12&gt;=150000),E501*E504,E501)</f>
        <v>1000</v>
      </c>
      <c r="K535" s="157">
        <f>J535*I535</f>
        <v>110.10000000000001</v>
      </c>
      <c r="L535" s="125">
        <f>K535-H535</f>
        <v>0</v>
      </c>
      <c r="M535" s="126">
        <f t="shared" si="84"/>
        <v>0</v>
      </c>
    </row>
    <row r="536" spans="1:13" ht="15.75" hidden="1" thickBot="1" x14ac:dyDescent="0.3">
      <c r="A536" s="100" t="str">
        <f t="shared" si="80"/>
        <v>RESIDENTIAL SERVICE CLASSIFICATION</v>
      </c>
      <c r="B536" s="100" t="s">
        <v>121</v>
      </c>
      <c r="C536" s="117"/>
      <c r="D536" s="159" t="s">
        <v>182</v>
      </c>
      <c r="E536" s="119"/>
      <c r="F536" s="163">
        <v>0.1101</v>
      </c>
      <c r="G536" s="161">
        <f>IF(AND(E501*12&gt;=150000),E501*E503,E501)</f>
        <v>1000</v>
      </c>
      <c r="H536" s="157">
        <f>G536*F536</f>
        <v>110.10000000000001</v>
      </c>
      <c r="I536" s="164">
        <f>F536</f>
        <v>0.1101</v>
      </c>
      <c r="J536" s="161">
        <f>IF(AND(E501*12&gt;=150000),E501*E504,E501)</f>
        <v>1000</v>
      </c>
      <c r="K536" s="157">
        <f>J536*I536</f>
        <v>110.10000000000001</v>
      </c>
      <c r="L536" s="125">
        <f>K536-H536</f>
        <v>0</v>
      </c>
      <c r="M536" s="126">
        <f t="shared" si="84"/>
        <v>0</v>
      </c>
    </row>
    <row r="537" spans="1:13" ht="15.75" thickBot="1" x14ac:dyDescent="0.3">
      <c r="A537" s="100" t="str">
        <f t="shared" si="80"/>
        <v>RESIDENTIAL SERVICE CLASSIFICATION</v>
      </c>
      <c r="B537" s="105"/>
      <c r="C537" s="117"/>
      <c r="D537" s="165"/>
      <c r="E537" s="166"/>
      <c r="F537" s="167"/>
      <c r="G537" s="168"/>
      <c r="H537" s="169"/>
      <c r="I537" s="167"/>
      <c r="J537" s="170"/>
      <c r="K537" s="169"/>
      <c r="L537" s="171"/>
      <c r="M537" s="172"/>
    </row>
    <row r="538" spans="1:13" x14ac:dyDescent="0.25">
      <c r="A538" s="100" t="str">
        <f t="shared" si="80"/>
        <v>RESIDENTIAL SERVICE CLASSIFICATION</v>
      </c>
      <c r="B538" s="105" t="s">
        <v>117</v>
      </c>
      <c r="C538" s="117"/>
      <c r="D538" s="173" t="s">
        <v>183</v>
      </c>
      <c r="E538" s="158"/>
      <c r="F538" s="174"/>
      <c r="G538" s="175"/>
      <c r="H538" s="176">
        <f>SUM(H528:H534,H527)</f>
        <v>132.59424000000001</v>
      </c>
      <c r="I538" s="177"/>
      <c r="J538" s="177"/>
      <c r="K538" s="176">
        <f>SUM(K528:K534,K527)</f>
        <v>128.00064</v>
      </c>
      <c r="L538" s="178">
        <f>K538-H538</f>
        <v>-4.5936000000000092</v>
      </c>
      <c r="M538" s="179">
        <f>IF((H538)=0,"",(L538/H538))</f>
        <v>-3.4644038836076203E-2</v>
      </c>
    </row>
    <row r="539" spans="1:13" x14ac:dyDescent="0.25">
      <c r="A539" s="100" t="str">
        <f t="shared" si="80"/>
        <v>RESIDENTIAL SERVICE CLASSIFICATION</v>
      </c>
      <c r="B539" s="105" t="s">
        <v>117</v>
      </c>
      <c r="C539" s="117"/>
      <c r="D539" s="180" t="s">
        <v>184</v>
      </c>
      <c r="E539" s="158"/>
      <c r="F539" s="174">
        <v>0.13</v>
      </c>
      <c r="G539" s="181"/>
      <c r="H539" s="182">
        <f>H538*F539</f>
        <v>17.237251200000003</v>
      </c>
      <c r="I539" s="183">
        <v>0.13</v>
      </c>
      <c r="J539" s="121"/>
      <c r="K539" s="182">
        <f>K538*I539</f>
        <v>16.640083199999999</v>
      </c>
      <c r="L539" s="184">
        <f>K539-H539</f>
        <v>-0.59716800000000347</v>
      </c>
      <c r="M539" s="185">
        <f>IF((H539)=0,"",(L539/H539))</f>
        <v>-3.4644038836076335E-2</v>
      </c>
    </row>
    <row r="540" spans="1:13" x14ac:dyDescent="0.25">
      <c r="A540" s="100" t="str">
        <f t="shared" si="80"/>
        <v>RESIDENTIAL SERVICE CLASSIFICATION</v>
      </c>
      <c r="B540" s="105" t="s">
        <v>117</v>
      </c>
      <c r="C540" s="117"/>
      <c r="D540" s="180" t="s">
        <v>185</v>
      </c>
      <c r="E540" s="158"/>
      <c r="F540" s="174">
        <v>0.08</v>
      </c>
      <c r="G540" s="181"/>
      <c r="H540" s="182">
        <f>H538*-F540</f>
        <v>-10.607539200000002</v>
      </c>
      <c r="I540" s="174">
        <v>0.08</v>
      </c>
      <c r="J540" s="121"/>
      <c r="K540" s="182">
        <f>K538*-I540</f>
        <v>-10.2400512</v>
      </c>
      <c r="L540" s="184">
        <f>K540-H540</f>
        <v>0.36748800000000159</v>
      </c>
      <c r="M540" s="185"/>
    </row>
    <row r="541" spans="1:13" ht="15.75" thickBot="1" x14ac:dyDescent="0.3">
      <c r="A541" s="100" t="str">
        <f t="shared" si="80"/>
        <v>RESIDENTIAL SERVICE CLASSIFICATION</v>
      </c>
      <c r="B541" s="105" t="s">
        <v>186</v>
      </c>
      <c r="C541" s="117">
        <f>B11</f>
        <v>9</v>
      </c>
      <c r="D541" s="301" t="s">
        <v>187</v>
      </c>
      <c r="E541" s="301"/>
      <c r="F541" s="186"/>
      <c r="G541" s="187"/>
      <c r="H541" s="188">
        <f>H538+H539+H540</f>
        <v>139.22395200000003</v>
      </c>
      <c r="I541" s="189"/>
      <c r="J541" s="189"/>
      <c r="K541" s="190">
        <f>K538+K539+K540</f>
        <v>134.40067199999999</v>
      </c>
      <c r="L541" s="191">
        <f>K541-H541</f>
        <v>-4.8232800000000395</v>
      </c>
      <c r="M541" s="192">
        <f>IF((H541)=0,"",(L541/H541))</f>
        <v>-3.4644038836076411E-2</v>
      </c>
    </row>
    <row r="542" spans="1:13" ht="15.75" thickBot="1" x14ac:dyDescent="0.3">
      <c r="A542" s="100" t="str">
        <f t="shared" si="80"/>
        <v>RESIDENTIAL SERVICE CLASSIFICATION</v>
      </c>
      <c r="B542" s="100" t="s">
        <v>117</v>
      </c>
      <c r="C542" s="117"/>
      <c r="D542" s="165"/>
      <c r="E542" s="166"/>
      <c r="F542" s="167"/>
      <c r="G542" s="168"/>
      <c r="H542" s="169"/>
      <c r="I542" s="167"/>
      <c r="J542" s="170"/>
      <c r="K542" s="169"/>
      <c r="L542" s="171"/>
      <c r="M542" s="172"/>
    </row>
    <row r="543" spans="1:13" hidden="1" x14ac:dyDescent="0.25">
      <c r="A543" s="100" t="str">
        <f t="shared" si="80"/>
        <v>RESIDENTIAL SERVICE CLASSIFICATION</v>
      </c>
      <c r="B543" s="100" t="s">
        <v>180</v>
      </c>
      <c r="C543" s="117"/>
      <c r="D543" s="173" t="s">
        <v>188</v>
      </c>
      <c r="E543" s="158"/>
      <c r="F543" s="174"/>
      <c r="G543" s="175"/>
      <c r="H543" s="176">
        <f>SUM(H535,H528:H531,H527)</f>
        <v>160.70424</v>
      </c>
      <c r="I543" s="177"/>
      <c r="J543" s="177"/>
      <c r="K543" s="176">
        <f>SUM(K535,K528:K531,K527)</f>
        <v>156.11063999999999</v>
      </c>
      <c r="L543" s="178">
        <f>K543-H543</f>
        <v>-4.5936000000000092</v>
      </c>
      <c r="M543" s="179">
        <f>IF((H543)=0,"",(L543/H543))</f>
        <v>-2.8584186702230192E-2</v>
      </c>
    </row>
    <row r="544" spans="1:13" hidden="1" x14ac:dyDescent="0.25">
      <c r="A544" s="100" t="str">
        <f t="shared" si="80"/>
        <v>RESIDENTIAL SERVICE CLASSIFICATION</v>
      </c>
      <c r="B544" s="100" t="s">
        <v>180</v>
      </c>
      <c r="C544" s="117"/>
      <c r="D544" s="180" t="s">
        <v>184</v>
      </c>
      <c r="E544" s="158"/>
      <c r="F544" s="174">
        <v>0.13</v>
      </c>
      <c r="G544" s="175"/>
      <c r="H544" s="182">
        <f>H543*F544</f>
        <v>20.891551200000002</v>
      </c>
      <c r="I544" s="174">
        <v>0.13</v>
      </c>
      <c r="J544" s="183"/>
      <c r="K544" s="182">
        <f>K543*I544</f>
        <v>20.294383199999999</v>
      </c>
      <c r="L544" s="184">
        <f>K544-H544</f>
        <v>-0.59716800000000347</v>
      </c>
      <c r="M544" s="185">
        <f>IF((H544)=0,"",(L544/H544))</f>
        <v>-2.8584186702230296E-2</v>
      </c>
    </row>
    <row r="545" spans="1:13" hidden="1" x14ac:dyDescent="0.25">
      <c r="A545" s="100" t="str">
        <f t="shared" si="80"/>
        <v>RESIDENTIAL SERVICE CLASSIFICATION</v>
      </c>
      <c r="B545" s="100" t="s">
        <v>180</v>
      </c>
      <c r="C545" s="117"/>
      <c r="D545" s="180" t="s">
        <v>185</v>
      </c>
      <c r="E545" s="158"/>
      <c r="F545" s="174">
        <v>0.08</v>
      </c>
      <c r="G545" s="175"/>
      <c r="H545" s="182"/>
      <c r="I545" s="174">
        <v>0.08</v>
      </c>
      <c r="J545" s="183"/>
      <c r="K545" s="182"/>
      <c r="L545" s="184"/>
      <c r="M545" s="185"/>
    </row>
    <row r="546" spans="1:13" hidden="1" x14ac:dyDescent="0.25">
      <c r="A546" s="100" t="str">
        <f t="shared" si="80"/>
        <v>RESIDENTIAL SERVICE CLASSIFICATION</v>
      </c>
      <c r="B546" s="100" t="s">
        <v>189</v>
      </c>
      <c r="C546" s="117"/>
      <c r="D546" s="301" t="s">
        <v>188</v>
      </c>
      <c r="E546" s="301"/>
      <c r="F546" s="193"/>
      <c r="G546" s="194"/>
      <c r="H546" s="188">
        <f>SUM(H543,H544)</f>
        <v>181.59579120000001</v>
      </c>
      <c r="I546" s="195"/>
      <c r="J546" s="195"/>
      <c r="K546" s="188">
        <f>SUM(K543,K544)</f>
        <v>176.40502319999999</v>
      </c>
      <c r="L546" s="196">
        <f>K546-H546</f>
        <v>-5.1907680000000198</v>
      </c>
      <c r="M546" s="197">
        <f>IF((H546)=0,"",(L546/H546))</f>
        <v>-2.858418670223024E-2</v>
      </c>
    </row>
    <row r="547" spans="1:13" ht="15.75" hidden="1" thickBot="1" x14ac:dyDescent="0.3">
      <c r="A547" s="100" t="str">
        <f t="shared" si="80"/>
        <v>RESIDENTIAL SERVICE CLASSIFICATION</v>
      </c>
      <c r="B547" s="100" t="s">
        <v>180</v>
      </c>
      <c r="C547" s="117"/>
      <c r="D547" s="165"/>
      <c r="E547" s="166"/>
      <c r="F547" s="198"/>
      <c r="G547" s="199"/>
      <c r="H547" s="200"/>
      <c r="I547" s="198"/>
      <c r="J547" s="168"/>
      <c r="K547" s="200"/>
      <c r="L547" s="201"/>
      <c r="M547" s="172"/>
    </row>
    <row r="548" spans="1:13" hidden="1" x14ac:dyDescent="0.25">
      <c r="A548" s="100" t="str">
        <f t="shared" si="80"/>
        <v>RESIDENTIAL SERVICE CLASSIFICATION</v>
      </c>
      <c r="B548" s="100" t="s">
        <v>121</v>
      </c>
      <c r="C548" s="117"/>
      <c r="D548" s="173" t="s">
        <v>190</v>
      </c>
      <c r="E548" s="158"/>
      <c r="F548" s="174"/>
      <c r="G548" s="175"/>
      <c r="H548" s="176">
        <f>SUM(H536,H528:H531,H527)</f>
        <v>160.70424</v>
      </c>
      <c r="I548" s="177"/>
      <c r="J548" s="177"/>
      <c r="K548" s="176">
        <f>SUM(K536,K528:K531,K527)</f>
        <v>156.11063999999999</v>
      </c>
      <c r="L548" s="178">
        <f>K548-H548</f>
        <v>-4.5936000000000092</v>
      </c>
      <c r="M548" s="179">
        <f>IF((H548)=0,"",(L548/H548))</f>
        <v>-2.8584186702230192E-2</v>
      </c>
    </row>
    <row r="549" spans="1:13" hidden="1" x14ac:dyDescent="0.25">
      <c r="A549" s="100" t="str">
        <f t="shared" si="80"/>
        <v>RESIDENTIAL SERVICE CLASSIFICATION</v>
      </c>
      <c r="B549" s="100" t="s">
        <v>121</v>
      </c>
      <c r="C549" s="117"/>
      <c r="D549" s="180" t="s">
        <v>184</v>
      </c>
      <c r="E549" s="158"/>
      <c r="F549" s="174">
        <v>0.13</v>
      </c>
      <c r="G549" s="175"/>
      <c r="H549" s="182">
        <f>H548*F549</f>
        <v>20.891551200000002</v>
      </c>
      <c r="I549" s="174">
        <v>0.13</v>
      </c>
      <c r="J549" s="183"/>
      <c r="K549" s="182">
        <f>K548*I549</f>
        <v>20.294383199999999</v>
      </c>
      <c r="L549" s="184">
        <f>K549-H549</f>
        <v>-0.59716800000000347</v>
      </c>
      <c r="M549" s="185">
        <f>IF((H549)=0,"",(L549/H549))</f>
        <v>-2.8584186702230296E-2</v>
      </c>
    </row>
    <row r="550" spans="1:13" hidden="1" x14ac:dyDescent="0.25">
      <c r="A550" s="100" t="str">
        <f t="shared" si="80"/>
        <v>RESIDENTIAL SERVICE CLASSIFICATION</v>
      </c>
      <c r="B550" s="100" t="s">
        <v>121</v>
      </c>
      <c r="C550" s="117"/>
      <c r="D550" s="180" t="s">
        <v>185</v>
      </c>
      <c r="E550" s="158"/>
      <c r="F550" s="174">
        <v>0.08</v>
      </c>
      <c r="G550" s="175"/>
      <c r="H550" s="182"/>
      <c r="I550" s="174">
        <v>0.08</v>
      </c>
      <c r="J550" s="183"/>
      <c r="K550" s="182"/>
      <c r="L550" s="184"/>
      <c r="M550" s="185"/>
    </row>
    <row r="551" spans="1:13" hidden="1" x14ac:dyDescent="0.25">
      <c r="A551" s="100" t="str">
        <f t="shared" si="80"/>
        <v>RESIDENTIAL SERVICE CLASSIFICATION</v>
      </c>
      <c r="B551" s="100" t="s">
        <v>191</v>
      </c>
      <c r="C551" s="117"/>
      <c r="D551" s="301" t="s">
        <v>190</v>
      </c>
      <c r="E551" s="301"/>
      <c r="F551" s="193"/>
      <c r="G551" s="194"/>
      <c r="H551" s="188">
        <f>SUM(H548,H549)</f>
        <v>181.59579120000001</v>
      </c>
      <c r="I551" s="195"/>
      <c r="J551" s="195"/>
      <c r="K551" s="188">
        <f>SUM(K548,K549)</f>
        <v>176.40502319999999</v>
      </c>
      <c r="L551" s="196">
        <f>K551-H551</f>
        <v>-5.1907680000000198</v>
      </c>
      <c r="M551" s="197">
        <f>IF((H551)=0,"",(L551/H551))</f>
        <v>-2.858418670223024E-2</v>
      </c>
    </row>
    <row r="552" spans="1:13" ht="15.75" hidden="1" thickBot="1" x14ac:dyDescent="0.3">
      <c r="A552" s="100" t="str">
        <f t="shared" si="80"/>
        <v>RESIDENTIAL SERVICE CLASSIFICATION</v>
      </c>
      <c r="B552" s="100" t="s">
        <v>121</v>
      </c>
      <c r="C552" s="117"/>
      <c r="D552" s="165"/>
      <c r="E552" s="166"/>
      <c r="F552" s="202"/>
      <c r="G552" s="203"/>
      <c r="H552" s="204"/>
      <c r="I552" s="202"/>
      <c r="J552" s="205"/>
      <c r="K552" s="204"/>
      <c r="L552" s="206"/>
      <c r="M552" s="207"/>
    </row>
    <row r="555" spans="1:13" x14ac:dyDescent="0.25">
      <c r="C555" s="100"/>
      <c r="D555" s="101" t="s">
        <v>134</v>
      </c>
      <c r="E555" s="302" t="str">
        <f>D12</f>
        <v>RESIDENTIAL SERVICE CLASSIFICATION</v>
      </c>
      <c r="F555" s="302"/>
      <c r="G555" s="302"/>
      <c r="H555" s="302"/>
      <c r="I555" s="302"/>
      <c r="J555" s="302"/>
      <c r="K555" s="100" t="str">
        <f>IF(N12="DEMAND - INTERVAL","RTSR - INTERVAL METERED","")</f>
        <v/>
      </c>
    </row>
    <row r="556" spans="1:13" x14ac:dyDescent="0.25">
      <c r="C556" s="100"/>
      <c r="D556" s="101" t="s">
        <v>135</v>
      </c>
      <c r="E556" s="303" t="str">
        <f>H12</f>
        <v>RPP</v>
      </c>
      <c r="F556" s="303"/>
      <c r="G556" s="303"/>
      <c r="H556" s="102"/>
      <c r="I556" s="102"/>
    </row>
    <row r="557" spans="1:13" ht="15.75" x14ac:dyDescent="0.25">
      <c r="C557" s="100"/>
      <c r="D557" s="101" t="s">
        <v>136</v>
      </c>
      <c r="E557" s="103">
        <f>K12</f>
        <v>2500</v>
      </c>
      <c r="F557" s="104" t="s">
        <v>137</v>
      </c>
      <c r="G557" s="105"/>
      <c r="J557" s="106"/>
      <c r="K557" s="106"/>
      <c r="L557" s="106"/>
      <c r="M557" s="106"/>
    </row>
    <row r="558" spans="1:13" ht="15.75" x14ac:dyDescent="0.25">
      <c r="C558" s="100"/>
      <c r="D558" s="101" t="s">
        <v>138</v>
      </c>
      <c r="E558" s="103">
        <f>L12</f>
        <v>0</v>
      </c>
      <c r="F558" s="107" t="s">
        <v>139</v>
      </c>
      <c r="G558" s="108"/>
      <c r="H558" s="109"/>
      <c r="I558" s="109"/>
      <c r="J558" s="109"/>
    </row>
    <row r="559" spans="1:13" x14ac:dyDescent="0.25">
      <c r="C559" s="100"/>
      <c r="D559" s="101" t="s">
        <v>140</v>
      </c>
      <c r="E559" s="110">
        <f>I12</f>
        <v>1.056</v>
      </c>
    </row>
    <row r="560" spans="1:13" x14ac:dyDescent="0.25">
      <c r="C560" s="100"/>
      <c r="D560" s="101" t="s">
        <v>141</v>
      </c>
      <c r="E560" s="110">
        <f>J12</f>
        <v>1.056</v>
      </c>
    </row>
    <row r="561" spans="1:13" x14ac:dyDescent="0.25">
      <c r="C561" s="100"/>
      <c r="D561" s="105"/>
    </row>
    <row r="562" spans="1:13" x14ac:dyDescent="0.25">
      <c r="C562" s="100"/>
      <c r="D562" s="105"/>
      <c r="E562" s="111"/>
      <c r="F562" s="304" t="s">
        <v>142</v>
      </c>
      <c r="G562" s="305"/>
      <c r="H562" s="306"/>
      <c r="I562" s="304" t="s">
        <v>143</v>
      </c>
      <c r="J562" s="305"/>
      <c r="K562" s="306"/>
      <c r="L562" s="304" t="s">
        <v>144</v>
      </c>
      <c r="M562" s="306"/>
    </row>
    <row r="563" spans="1:13" x14ac:dyDescent="0.25">
      <c r="C563" s="100"/>
      <c r="D563" s="105"/>
      <c r="E563" s="295"/>
      <c r="F563" s="112" t="s">
        <v>145</v>
      </c>
      <c r="G563" s="112" t="s">
        <v>146</v>
      </c>
      <c r="H563" s="113" t="s">
        <v>147</v>
      </c>
      <c r="I563" s="112" t="s">
        <v>145</v>
      </c>
      <c r="J563" s="114" t="s">
        <v>146</v>
      </c>
      <c r="K563" s="113" t="s">
        <v>147</v>
      </c>
      <c r="L563" s="297" t="s">
        <v>148</v>
      </c>
      <c r="M563" s="299" t="s">
        <v>149</v>
      </c>
    </row>
    <row r="564" spans="1:13" x14ac:dyDescent="0.25">
      <c r="C564" s="100"/>
      <c r="D564" s="105"/>
      <c r="E564" s="296"/>
      <c r="F564" s="115" t="s">
        <v>150</v>
      </c>
      <c r="G564" s="115"/>
      <c r="H564" s="116" t="s">
        <v>150</v>
      </c>
      <c r="I564" s="115" t="s">
        <v>150</v>
      </c>
      <c r="J564" s="116"/>
      <c r="K564" s="116" t="s">
        <v>150</v>
      </c>
      <c r="L564" s="298"/>
      <c r="M564" s="300"/>
    </row>
    <row r="565" spans="1:13" x14ac:dyDescent="0.25">
      <c r="A565" s="100" t="str">
        <f>$E555</f>
        <v>RESIDENTIAL SERVICE CLASSIFICATION</v>
      </c>
      <c r="C565" s="117"/>
      <c r="D565" s="118" t="s">
        <v>151</v>
      </c>
      <c r="E565" s="119"/>
      <c r="F565" s="120">
        <v>23.48</v>
      </c>
      <c r="G565" s="121">
        <v>1</v>
      </c>
      <c r="H565" s="122">
        <f>G565*F565</f>
        <v>23.48</v>
      </c>
      <c r="I565" s="123">
        <v>26.72</v>
      </c>
      <c r="J565" s="124">
        <f>G565</f>
        <v>1</v>
      </c>
      <c r="K565" s="122">
        <f>J565*I565</f>
        <v>26.72</v>
      </c>
      <c r="L565" s="125">
        <f t="shared" ref="L565:L586" si="85">K565-H565</f>
        <v>3.2399999999999984</v>
      </c>
      <c r="M565" s="126">
        <f>IF(ISERROR(L565/H565), "", L565/H565)</f>
        <v>0.13798977853492328</v>
      </c>
    </row>
    <row r="566" spans="1:13" x14ac:dyDescent="0.25">
      <c r="A566" s="100" t="str">
        <f>A565</f>
        <v>RESIDENTIAL SERVICE CLASSIFICATION</v>
      </c>
      <c r="C566" s="117"/>
      <c r="D566" s="118" t="s">
        <v>152</v>
      </c>
      <c r="E566" s="119"/>
      <c r="F566" s="127">
        <v>3.3999999999999998E-3</v>
      </c>
      <c r="G566" s="121">
        <f>IF($E558&gt;0, $E558, $E557)</f>
        <v>2500</v>
      </c>
      <c r="H566" s="122">
        <f t="shared" ref="H566:H578" si="86">G566*F566</f>
        <v>8.5</v>
      </c>
      <c r="I566" s="128">
        <v>0</v>
      </c>
      <c r="J566" s="124">
        <f>IF($E558&gt;0, $E558, $E557)</f>
        <v>2500</v>
      </c>
      <c r="K566" s="122">
        <f>J566*I566</f>
        <v>0</v>
      </c>
      <c r="L566" s="125">
        <f t="shared" si="85"/>
        <v>-8.5</v>
      </c>
      <c r="M566" s="126">
        <f t="shared" ref="M566:M576" si="87">IF(ISERROR(L566/H566), "", L566/H566)</f>
        <v>-1</v>
      </c>
    </row>
    <row r="567" spans="1:13" x14ac:dyDescent="0.25">
      <c r="A567" s="100" t="str">
        <f t="shared" ref="A567:A608" si="88">A566</f>
        <v>RESIDENTIAL SERVICE CLASSIFICATION</v>
      </c>
      <c r="C567" s="117"/>
      <c r="D567" s="118" t="s">
        <v>153</v>
      </c>
      <c r="E567" s="119"/>
      <c r="F567" s="127"/>
      <c r="G567" s="121">
        <f>IF($E558&gt;0, $E558, $E557)</f>
        <v>2500</v>
      </c>
      <c r="H567" s="122">
        <v>0</v>
      </c>
      <c r="I567" s="128"/>
      <c r="J567" s="124">
        <f>IF($E558&gt;0, $E558, $E557)</f>
        <v>2500</v>
      </c>
      <c r="K567" s="122">
        <v>0</v>
      </c>
      <c r="L567" s="125"/>
      <c r="M567" s="126"/>
    </row>
    <row r="568" spans="1:13" x14ac:dyDescent="0.25">
      <c r="A568" s="100" t="str">
        <f t="shared" si="88"/>
        <v>RESIDENTIAL SERVICE CLASSIFICATION</v>
      </c>
      <c r="C568" s="117"/>
      <c r="D568" s="118" t="s">
        <v>154</v>
      </c>
      <c r="E568" s="119"/>
      <c r="F568" s="127"/>
      <c r="G568" s="121">
        <f>IF($E558&gt;0, $E558, $E557)</f>
        <v>2500</v>
      </c>
      <c r="H568" s="122">
        <v>0</v>
      </c>
      <c r="I568" s="128"/>
      <c r="J568" s="121">
        <f>IF($E558&gt;0, $E558, $E557)</f>
        <v>2500</v>
      </c>
      <c r="K568" s="122">
        <v>0</v>
      </c>
      <c r="L568" s="125">
        <f>K568-H568</f>
        <v>0</v>
      </c>
      <c r="M568" s="126" t="str">
        <f>IF(ISERROR(L568/H568), "", L568/H568)</f>
        <v/>
      </c>
    </row>
    <row r="569" spans="1:13" x14ac:dyDescent="0.25">
      <c r="A569" s="100" t="str">
        <f t="shared" si="88"/>
        <v>RESIDENTIAL SERVICE CLASSIFICATION</v>
      </c>
      <c r="C569" s="117"/>
      <c r="D569" s="129" t="s">
        <v>155</v>
      </c>
      <c r="E569" s="119"/>
      <c r="F569" s="120">
        <v>0</v>
      </c>
      <c r="G569" s="121">
        <v>1</v>
      </c>
      <c r="H569" s="122">
        <f t="shared" si="86"/>
        <v>0</v>
      </c>
      <c r="I569" s="123">
        <v>0</v>
      </c>
      <c r="J569" s="124">
        <f>G569</f>
        <v>1</v>
      </c>
      <c r="K569" s="122">
        <f t="shared" ref="K569:K576" si="89">J569*I569</f>
        <v>0</v>
      </c>
      <c r="L569" s="125">
        <f t="shared" si="85"/>
        <v>0</v>
      </c>
      <c r="M569" s="126" t="str">
        <f t="shared" si="87"/>
        <v/>
      </c>
    </row>
    <row r="570" spans="1:13" x14ac:dyDescent="0.25">
      <c r="A570" s="100" t="str">
        <f t="shared" si="88"/>
        <v>RESIDENTIAL SERVICE CLASSIFICATION</v>
      </c>
      <c r="C570" s="117"/>
      <c r="D570" s="118" t="s">
        <v>156</v>
      </c>
      <c r="E570" s="119"/>
      <c r="F570" s="127">
        <v>0</v>
      </c>
      <c r="G570" s="121">
        <f>IF($E558&gt;0, $E558, $E557)</f>
        <v>2500</v>
      </c>
      <c r="H570" s="122">
        <f t="shared" si="86"/>
        <v>0</v>
      </c>
      <c r="I570" s="128">
        <v>0</v>
      </c>
      <c r="J570" s="124">
        <f>IF($E558&gt;0, $E558, $E557)</f>
        <v>2500</v>
      </c>
      <c r="K570" s="122">
        <f t="shared" si="89"/>
        <v>0</v>
      </c>
      <c r="L570" s="125">
        <f t="shared" si="85"/>
        <v>0</v>
      </c>
      <c r="M570" s="126" t="str">
        <f t="shared" si="87"/>
        <v/>
      </c>
    </row>
    <row r="571" spans="1:13" x14ac:dyDescent="0.25">
      <c r="A571" s="100" t="str">
        <f t="shared" si="88"/>
        <v>RESIDENTIAL SERVICE CLASSIFICATION</v>
      </c>
      <c r="B571" s="130" t="s">
        <v>157</v>
      </c>
      <c r="C571" s="117">
        <f>B12</f>
        <v>10</v>
      </c>
      <c r="D571" s="131" t="s">
        <v>158</v>
      </c>
      <c r="E571" s="132"/>
      <c r="F571" s="133"/>
      <c r="G571" s="134"/>
      <c r="H571" s="135">
        <f>SUM(H565:H570)</f>
        <v>31.98</v>
      </c>
      <c r="I571" s="136"/>
      <c r="J571" s="137"/>
      <c r="K571" s="135">
        <f>SUM(K565:K570)</f>
        <v>26.72</v>
      </c>
      <c r="L571" s="138">
        <f t="shared" si="85"/>
        <v>-5.2600000000000016</v>
      </c>
      <c r="M571" s="139">
        <f>IF((H571)=0,"",(L571/H571))</f>
        <v>-0.16447779862414014</v>
      </c>
    </row>
    <row r="572" spans="1:13" x14ac:dyDescent="0.25">
      <c r="A572" s="100" t="str">
        <f t="shared" si="88"/>
        <v>RESIDENTIAL SERVICE CLASSIFICATION</v>
      </c>
      <c r="C572" s="117"/>
      <c r="D572" s="140" t="s">
        <v>159</v>
      </c>
      <c r="E572" s="119"/>
      <c r="F572" s="127">
        <f>IF((E557*12&gt;=150000), 0, IF(E556="RPP",(F588*0.65+F589*0.17+F590*0.18),IF(E556="Non-RPP (Retailer)",F591,F592)))</f>
        <v>8.1990000000000007E-2</v>
      </c>
      <c r="G572" s="141">
        <f>IF(F572=0, 0, $E557*E559-E557)</f>
        <v>140</v>
      </c>
      <c r="H572" s="122">
        <f>G572*F572</f>
        <v>11.4786</v>
      </c>
      <c r="I572" s="128">
        <f>IF((E557*12&gt;=150000), 0, IF(E556="RPP",(I588*0.65+I589*0.17+I590*0.18),IF(E556="Non-RPP (Retailer)",I591,I592)))</f>
        <v>8.1990000000000007E-2</v>
      </c>
      <c r="J572" s="141">
        <f>IF(I572=0, 0, E557*E560-E557)</f>
        <v>140</v>
      </c>
      <c r="K572" s="122">
        <f>J572*I572</f>
        <v>11.4786</v>
      </c>
      <c r="L572" s="125">
        <f>K572-H572</f>
        <v>0</v>
      </c>
      <c r="M572" s="126">
        <f>IF(ISERROR(L572/H572), "", L572/H572)</f>
        <v>0</v>
      </c>
    </row>
    <row r="573" spans="1:13" ht="25.5" x14ac:dyDescent="0.25">
      <c r="A573" s="100" t="str">
        <f t="shared" si="88"/>
        <v>RESIDENTIAL SERVICE CLASSIFICATION</v>
      </c>
      <c r="C573" s="117"/>
      <c r="D573" s="140" t="s">
        <v>160</v>
      </c>
      <c r="E573" s="119"/>
      <c r="F573" s="127">
        <v>-1.4E-3</v>
      </c>
      <c r="G573" s="142">
        <f>IF($E558&gt;0, $E558, $E557)</f>
        <v>2500</v>
      </c>
      <c r="H573" s="122">
        <f t="shared" si="86"/>
        <v>-3.5</v>
      </c>
      <c r="I573" s="128">
        <v>-5.3E-3</v>
      </c>
      <c r="J573" s="142">
        <f>IF($E558&gt;0, $E558, $E557)</f>
        <v>2500</v>
      </c>
      <c r="K573" s="122">
        <f t="shared" si="89"/>
        <v>-13.25</v>
      </c>
      <c r="L573" s="125">
        <f t="shared" si="85"/>
        <v>-9.75</v>
      </c>
      <c r="M573" s="126">
        <f t="shared" si="87"/>
        <v>2.7857142857142856</v>
      </c>
    </row>
    <row r="574" spans="1:13" x14ac:dyDescent="0.25">
      <c r="A574" s="100" t="str">
        <f t="shared" si="88"/>
        <v>RESIDENTIAL SERVICE CLASSIFICATION</v>
      </c>
      <c r="C574" s="117"/>
      <c r="D574" s="140" t="s">
        <v>161</v>
      </c>
      <c r="E574" s="119"/>
      <c r="F574" s="127">
        <v>-1E-4</v>
      </c>
      <c r="G574" s="142">
        <f>IF($E558&gt;0, $E558, $E557)</f>
        <v>2500</v>
      </c>
      <c r="H574" s="122">
        <f>G574*F574</f>
        <v>-0.25</v>
      </c>
      <c r="I574" s="128">
        <v>0</v>
      </c>
      <c r="J574" s="142">
        <f>IF($E558&gt;0, $E558, $E557)</f>
        <v>2500</v>
      </c>
      <c r="K574" s="122">
        <f>J574*I574</f>
        <v>0</v>
      </c>
      <c r="L574" s="125">
        <f t="shared" si="85"/>
        <v>0.25</v>
      </c>
      <c r="M574" s="126">
        <f t="shared" si="87"/>
        <v>-1</v>
      </c>
    </row>
    <row r="575" spans="1:13" x14ac:dyDescent="0.25">
      <c r="A575" s="100" t="str">
        <f t="shared" si="88"/>
        <v>RESIDENTIAL SERVICE CLASSIFICATION</v>
      </c>
      <c r="C575" s="117"/>
      <c r="D575" s="140" t="s">
        <v>162</v>
      </c>
      <c r="E575" s="119"/>
      <c r="F575" s="127">
        <v>0</v>
      </c>
      <c r="G575" s="142">
        <f>E557</f>
        <v>2500</v>
      </c>
      <c r="H575" s="122">
        <f>G575*F575</f>
        <v>0</v>
      </c>
      <c r="I575" s="128">
        <v>0</v>
      </c>
      <c r="J575" s="142">
        <f>E557</f>
        <v>2500</v>
      </c>
      <c r="K575" s="122">
        <f t="shared" si="89"/>
        <v>0</v>
      </c>
      <c r="L575" s="125">
        <f t="shared" si="85"/>
        <v>0</v>
      </c>
      <c r="M575" s="126" t="str">
        <f t="shared" si="87"/>
        <v/>
      </c>
    </row>
    <row r="576" spans="1:13" x14ac:dyDescent="0.25">
      <c r="A576" s="100" t="str">
        <f t="shared" si="88"/>
        <v>RESIDENTIAL SERVICE CLASSIFICATION</v>
      </c>
      <c r="C576" s="117"/>
      <c r="D576" s="143" t="s">
        <v>163</v>
      </c>
      <c r="E576" s="119"/>
      <c r="F576" s="127">
        <v>2.5999999999999999E-3</v>
      </c>
      <c r="G576" s="142">
        <f>IF($E558&gt;0, $E558, $E557)</f>
        <v>2500</v>
      </c>
      <c r="H576" s="122">
        <f t="shared" si="86"/>
        <v>6.5</v>
      </c>
      <c r="I576" s="128">
        <v>2.5999999999999999E-3</v>
      </c>
      <c r="J576" s="142">
        <f>IF($E558&gt;0, $E558, $E557)</f>
        <v>2500</v>
      </c>
      <c r="K576" s="122">
        <f t="shared" si="89"/>
        <v>6.5</v>
      </c>
      <c r="L576" s="125">
        <f t="shared" si="85"/>
        <v>0</v>
      </c>
      <c r="M576" s="126">
        <f t="shared" si="87"/>
        <v>0</v>
      </c>
    </row>
    <row r="577" spans="1:13" ht="25.5" x14ac:dyDescent="0.25">
      <c r="A577" s="100" t="str">
        <f t="shared" si="88"/>
        <v>RESIDENTIAL SERVICE CLASSIFICATION</v>
      </c>
      <c r="C577" s="117"/>
      <c r="D577" s="144" t="s">
        <v>164</v>
      </c>
      <c r="E577" s="119"/>
      <c r="F577" s="145">
        <f>IF(OR(ISNUMBER(SEARCH("RESIDENTIAL", E555))=TRUE, ISNUMBER(SEARCH("GENERAL SERVICE LESS THAN 50", E555))=TRUE), SME, 0)</f>
        <v>0.56999999999999995</v>
      </c>
      <c r="G577" s="121">
        <v>1</v>
      </c>
      <c r="H577" s="122">
        <f>G577*F577</f>
        <v>0.56999999999999995</v>
      </c>
      <c r="I577" s="146">
        <f>IF(OR(ISNUMBER(SEARCH("RESIDENTIAL", E555))=TRUE, ISNUMBER(SEARCH("GENERAL SERVICE LESS THAN 50", E555))=TRUE), SME, 0)</f>
        <v>0.56999999999999995</v>
      </c>
      <c r="J577" s="121">
        <v>1</v>
      </c>
      <c r="K577" s="122">
        <f>J577*I577</f>
        <v>0.56999999999999995</v>
      </c>
      <c r="L577" s="125">
        <f t="shared" si="85"/>
        <v>0</v>
      </c>
      <c r="M577" s="126">
        <f>IF(ISERROR(L577/H577), "", L577/H577)</f>
        <v>0</v>
      </c>
    </row>
    <row r="578" spans="1:13" x14ac:dyDescent="0.25">
      <c r="A578" s="100" t="str">
        <f t="shared" si="88"/>
        <v>RESIDENTIAL SERVICE CLASSIFICATION</v>
      </c>
      <c r="C578" s="117"/>
      <c r="D578" s="143" t="s">
        <v>165</v>
      </c>
      <c r="E578" s="119"/>
      <c r="F578" s="120">
        <v>0</v>
      </c>
      <c r="G578" s="121">
        <v>1</v>
      </c>
      <c r="H578" s="122">
        <f t="shared" si="86"/>
        <v>0</v>
      </c>
      <c r="I578" s="123">
        <v>0</v>
      </c>
      <c r="J578" s="121">
        <v>1</v>
      </c>
      <c r="K578" s="122">
        <f>J578*I578</f>
        <v>0</v>
      </c>
      <c r="L578" s="125">
        <f>K578-H578</f>
        <v>0</v>
      </c>
      <c r="M578" s="126" t="str">
        <f>IF(ISERROR(L578/H578), "", L578/H578)</f>
        <v/>
      </c>
    </row>
    <row r="579" spans="1:13" x14ac:dyDescent="0.25">
      <c r="A579" s="100" t="str">
        <f t="shared" si="88"/>
        <v>RESIDENTIAL SERVICE CLASSIFICATION</v>
      </c>
      <c r="C579" s="117"/>
      <c r="D579" s="143" t="s">
        <v>166</v>
      </c>
      <c r="E579" s="119"/>
      <c r="F579" s="127"/>
      <c r="G579" s="142">
        <f>IF($E558&gt;0, $E558, $E557)</f>
        <v>2500</v>
      </c>
      <c r="H579" s="122">
        <f>G579*F579</f>
        <v>0</v>
      </c>
      <c r="I579" s="128">
        <v>0</v>
      </c>
      <c r="J579" s="142">
        <f>IF($E558&gt;0, $E558, $E557)</f>
        <v>2500</v>
      </c>
      <c r="K579" s="122">
        <f>J579*I579</f>
        <v>0</v>
      </c>
      <c r="L579" s="125">
        <f t="shared" si="85"/>
        <v>0</v>
      </c>
      <c r="M579" s="126" t="str">
        <f>IF(ISERROR(L579/H579), "", L579/H579)</f>
        <v/>
      </c>
    </row>
    <row r="580" spans="1:13" ht="25.5" x14ac:dyDescent="0.25">
      <c r="A580" s="100" t="str">
        <f t="shared" si="88"/>
        <v>RESIDENTIAL SERVICE CLASSIFICATION</v>
      </c>
      <c r="B580" s="105" t="s">
        <v>167</v>
      </c>
      <c r="C580" s="117">
        <f>B12</f>
        <v>10</v>
      </c>
      <c r="D580" s="147" t="s">
        <v>168</v>
      </c>
      <c r="E580" s="148"/>
      <c r="F580" s="149"/>
      <c r="G580" s="150"/>
      <c r="H580" s="151">
        <f>SUM(H571:H579)</f>
        <v>46.778600000000004</v>
      </c>
      <c r="I580" s="152"/>
      <c r="J580" s="153"/>
      <c r="K580" s="151">
        <f>SUM(K571:K579)</f>
        <v>32.018599999999999</v>
      </c>
      <c r="L580" s="138">
        <f t="shared" si="85"/>
        <v>-14.760000000000005</v>
      </c>
      <c r="M580" s="139">
        <f>IF((H580)=0,"",(L580/H580))</f>
        <v>-0.31552889569161974</v>
      </c>
    </row>
    <row r="581" spans="1:13" x14ac:dyDescent="0.25">
      <c r="A581" s="100" t="str">
        <f t="shared" si="88"/>
        <v>RESIDENTIAL SERVICE CLASSIFICATION</v>
      </c>
      <c r="C581" s="117"/>
      <c r="D581" s="154" t="s">
        <v>169</v>
      </c>
      <c r="E581" s="119"/>
      <c r="F581" s="127">
        <v>6.7999999999999996E-3</v>
      </c>
      <c r="G581" s="141">
        <f>IF($E558&gt;0, $E558, $E557*$E559)</f>
        <v>2640</v>
      </c>
      <c r="H581" s="122">
        <f>G581*F581</f>
        <v>17.951999999999998</v>
      </c>
      <c r="I581" s="128">
        <v>6.4999999999999997E-3</v>
      </c>
      <c r="J581" s="141">
        <f>IF($E558&gt;0, $E558, $E557*$E560)</f>
        <v>2640</v>
      </c>
      <c r="K581" s="122">
        <f>J581*I581</f>
        <v>17.16</v>
      </c>
      <c r="L581" s="125">
        <f t="shared" si="85"/>
        <v>-0.79199999999999804</v>
      </c>
      <c r="M581" s="126">
        <f>IF(ISERROR(L581/H581), "", L581/H581)</f>
        <v>-4.4117647058823421E-2</v>
      </c>
    </row>
    <row r="582" spans="1:13" ht="25.5" x14ac:dyDescent="0.25">
      <c r="A582" s="100" t="str">
        <f t="shared" si="88"/>
        <v>RESIDENTIAL SERVICE CLASSIFICATION</v>
      </c>
      <c r="C582" s="117"/>
      <c r="D582" s="155" t="s">
        <v>170</v>
      </c>
      <c r="E582" s="119"/>
      <c r="F582" s="127">
        <v>5.5999999999999999E-3</v>
      </c>
      <c r="G582" s="141">
        <f>IF($E558&gt;0, $E558, $E557*$E559)</f>
        <v>2640</v>
      </c>
      <c r="H582" s="122">
        <f>G582*F582</f>
        <v>14.784000000000001</v>
      </c>
      <c r="I582" s="128">
        <v>5.3E-3</v>
      </c>
      <c r="J582" s="141">
        <f>IF($E558&gt;0, $E558, $E557*$E560)</f>
        <v>2640</v>
      </c>
      <c r="K582" s="122">
        <f>J582*I582</f>
        <v>13.992000000000001</v>
      </c>
      <c r="L582" s="125">
        <f t="shared" si="85"/>
        <v>-0.79199999999999982</v>
      </c>
      <c r="M582" s="126">
        <f>IF(ISERROR(L582/H582), "", L582/H582)</f>
        <v>-5.3571428571428555E-2</v>
      </c>
    </row>
    <row r="583" spans="1:13" ht="25.5" x14ac:dyDescent="0.25">
      <c r="A583" s="100" t="str">
        <f t="shared" si="88"/>
        <v>RESIDENTIAL SERVICE CLASSIFICATION</v>
      </c>
      <c r="B583" s="105" t="s">
        <v>171</v>
      </c>
      <c r="C583" s="117">
        <f>B12</f>
        <v>10</v>
      </c>
      <c r="D583" s="147" t="s">
        <v>172</v>
      </c>
      <c r="E583" s="132"/>
      <c r="F583" s="149"/>
      <c r="G583" s="150"/>
      <c r="H583" s="151">
        <f>SUM(H580:H582)</f>
        <v>79.514600000000016</v>
      </c>
      <c r="I583" s="152"/>
      <c r="J583" s="137"/>
      <c r="K583" s="151">
        <f>SUM(K580:K582)</f>
        <v>63.170600000000007</v>
      </c>
      <c r="L583" s="138">
        <f t="shared" si="85"/>
        <v>-16.344000000000008</v>
      </c>
      <c r="M583" s="139">
        <f>IF((H583)=0,"",(L583/H583))</f>
        <v>-0.20554715737738735</v>
      </c>
    </row>
    <row r="584" spans="1:13" ht="25.5" x14ac:dyDescent="0.25">
      <c r="A584" s="100" t="str">
        <f t="shared" si="88"/>
        <v>RESIDENTIAL SERVICE CLASSIFICATION</v>
      </c>
      <c r="C584" s="117"/>
      <c r="D584" s="156" t="s">
        <v>173</v>
      </c>
      <c r="E584" s="119"/>
      <c r="F584" s="127">
        <v>3.6000000000000003E-3</v>
      </c>
      <c r="G584" s="141">
        <f>E557*E559</f>
        <v>2640</v>
      </c>
      <c r="H584" s="157">
        <f t="shared" ref="H584:H590" si="90">G584*F584</f>
        <v>9.5040000000000013</v>
      </c>
      <c r="I584" s="128">
        <v>3.6000000000000003E-3</v>
      </c>
      <c r="J584" s="141">
        <f>E557*E560</f>
        <v>2640</v>
      </c>
      <c r="K584" s="157">
        <f t="shared" ref="K584:K590" si="91">J584*I584</f>
        <v>9.5040000000000013</v>
      </c>
      <c r="L584" s="125">
        <f t="shared" si="85"/>
        <v>0</v>
      </c>
      <c r="M584" s="126">
        <f t="shared" ref="M584:M592" si="92">IF(ISERROR(L584/H584), "", L584/H584)</f>
        <v>0</v>
      </c>
    </row>
    <row r="585" spans="1:13" ht="25.5" x14ac:dyDescent="0.25">
      <c r="A585" s="100" t="str">
        <f t="shared" si="88"/>
        <v>RESIDENTIAL SERVICE CLASSIFICATION</v>
      </c>
      <c r="C585" s="117"/>
      <c r="D585" s="156" t="s">
        <v>174</v>
      </c>
      <c r="E585" s="119"/>
      <c r="F585" s="127">
        <f>'[1]17. Regulatory Charges'!$D$16</f>
        <v>2.9999999999999997E-4</v>
      </c>
      <c r="G585" s="141">
        <f>E557*E559</f>
        <v>2640</v>
      </c>
      <c r="H585" s="157">
        <f t="shared" si="90"/>
        <v>0.79199999999999993</v>
      </c>
      <c r="I585" s="128">
        <v>2.9999999999999997E-4</v>
      </c>
      <c r="J585" s="141">
        <f>E557*E560</f>
        <v>2640</v>
      </c>
      <c r="K585" s="157">
        <f t="shared" si="91"/>
        <v>0.79199999999999993</v>
      </c>
      <c r="L585" s="125">
        <f t="shared" si="85"/>
        <v>0</v>
      </c>
      <c r="M585" s="126">
        <f t="shared" si="92"/>
        <v>0</v>
      </c>
    </row>
    <row r="586" spans="1:13" x14ac:dyDescent="0.25">
      <c r="A586" s="100" t="str">
        <f t="shared" si="88"/>
        <v>RESIDENTIAL SERVICE CLASSIFICATION</v>
      </c>
      <c r="C586" s="117"/>
      <c r="D586" s="158" t="s">
        <v>175</v>
      </c>
      <c r="E586" s="119"/>
      <c r="F586" s="145">
        <v>0.25</v>
      </c>
      <c r="G586" s="121">
        <v>1</v>
      </c>
      <c r="H586" s="157">
        <f t="shared" si="90"/>
        <v>0.25</v>
      </c>
      <c r="I586" s="146">
        <f>'[1]17. Regulatory Charges'!$D$17</f>
        <v>0.25</v>
      </c>
      <c r="J586" s="124">
        <v>1</v>
      </c>
      <c r="K586" s="157">
        <f t="shared" si="91"/>
        <v>0.25</v>
      </c>
      <c r="L586" s="125">
        <f t="shared" si="85"/>
        <v>0</v>
      </c>
      <c r="M586" s="126">
        <f t="shared" si="92"/>
        <v>0</v>
      </c>
    </row>
    <row r="587" spans="1:13" ht="25.5" x14ac:dyDescent="0.25">
      <c r="A587" s="100" t="str">
        <f t="shared" si="88"/>
        <v>RESIDENTIAL SERVICE CLASSIFICATION</v>
      </c>
      <c r="C587" s="117"/>
      <c r="D587" s="156" t="s">
        <v>176</v>
      </c>
      <c r="E587" s="119"/>
      <c r="F587" s="127"/>
      <c r="G587" s="141"/>
      <c r="H587" s="157"/>
      <c r="I587" s="128"/>
      <c r="J587" s="141"/>
      <c r="K587" s="157"/>
      <c r="L587" s="125"/>
      <c r="M587" s="126"/>
    </row>
    <row r="588" spans="1:13" x14ac:dyDescent="0.25">
      <c r="A588" s="100" t="str">
        <f t="shared" si="88"/>
        <v>RESIDENTIAL SERVICE CLASSIFICATION</v>
      </c>
      <c r="B588" s="105" t="s">
        <v>117</v>
      </c>
      <c r="C588" s="117"/>
      <c r="D588" s="159" t="s">
        <v>177</v>
      </c>
      <c r="E588" s="119"/>
      <c r="F588" s="160">
        <f>OffPeak</f>
        <v>6.5000000000000002E-2</v>
      </c>
      <c r="G588" s="161">
        <f>IF(AND(E557*12&gt;=150000),0.65*E557*E559,0.65*E557)</f>
        <v>1625</v>
      </c>
      <c r="H588" s="157">
        <f t="shared" si="90"/>
        <v>105.625</v>
      </c>
      <c r="I588" s="162">
        <f>OffPeak</f>
        <v>6.5000000000000002E-2</v>
      </c>
      <c r="J588" s="161">
        <f>IF(AND(E557*12&gt;=150000),0.65*E557*E560,0.65*E557)</f>
        <v>1625</v>
      </c>
      <c r="K588" s="157">
        <f t="shared" si="91"/>
        <v>105.625</v>
      </c>
      <c r="L588" s="125">
        <f>K588-H588</f>
        <v>0</v>
      </c>
      <c r="M588" s="126">
        <f t="shared" si="92"/>
        <v>0</v>
      </c>
    </row>
    <row r="589" spans="1:13" x14ac:dyDescent="0.25">
      <c r="A589" s="100" t="str">
        <f t="shared" si="88"/>
        <v>RESIDENTIAL SERVICE CLASSIFICATION</v>
      </c>
      <c r="B589" s="105" t="s">
        <v>117</v>
      </c>
      <c r="C589" s="117"/>
      <c r="D589" s="159" t="s">
        <v>178</v>
      </c>
      <c r="E589" s="119"/>
      <c r="F589" s="160">
        <f>MidPeak</f>
        <v>9.4E-2</v>
      </c>
      <c r="G589" s="161">
        <f>IF(AND(E557*12&gt;=150000),0.17*E557*E559,0.17*E557)</f>
        <v>425.00000000000006</v>
      </c>
      <c r="H589" s="157">
        <f t="shared" si="90"/>
        <v>39.950000000000003</v>
      </c>
      <c r="I589" s="162">
        <f>MidPeak</f>
        <v>9.4E-2</v>
      </c>
      <c r="J589" s="161">
        <f>IF(AND(E557*12&gt;=150000),0.17*E557*E560,0.17*E557)</f>
        <v>425.00000000000006</v>
      </c>
      <c r="K589" s="157">
        <f t="shared" si="91"/>
        <v>39.950000000000003</v>
      </c>
      <c r="L589" s="125">
        <f>K589-H589</f>
        <v>0</v>
      </c>
      <c r="M589" s="126">
        <f t="shared" si="92"/>
        <v>0</v>
      </c>
    </row>
    <row r="590" spans="1:13" ht="15.75" thickBot="1" x14ac:dyDescent="0.3">
      <c r="A590" s="100" t="str">
        <f t="shared" si="88"/>
        <v>RESIDENTIAL SERVICE CLASSIFICATION</v>
      </c>
      <c r="B590" s="105" t="s">
        <v>117</v>
      </c>
      <c r="C590" s="117"/>
      <c r="D590" s="105" t="s">
        <v>179</v>
      </c>
      <c r="E590" s="119"/>
      <c r="F590" s="160">
        <f>OnPeak</f>
        <v>0.13200000000000001</v>
      </c>
      <c r="G590" s="161">
        <f>IF(AND(E557*12&gt;=150000),0.18*E557*E559,0.18*E557)</f>
        <v>450</v>
      </c>
      <c r="H590" s="157">
        <f t="shared" si="90"/>
        <v>59.400000000000006</v>
      </c>
      <c r="I590" s="162">
        <f>OnPeak</f>
        <v>0.13200000000000001</v>
      </c>
      <c r="J590" s="161">
        <f>IF(AND(E557*12&gt;=150000),0.18*E557*E560,0.18*E557)</f>
        <v>450</v>
      </c>
      <c r="K590" s="157">
        <f t="shared" si="91"/>
        <v>59.400000000000006</v>
      </c>
      <c r="L590" s="125">
        <f>K590-H590</f>
        <v>0</v>
      </c>
      <c r="M590" s="126">
        <f t="shared" si="92"/>
        <v>0</v>
      </c>
    </row>
    <row r="591" spans="1:13" ht="15.75" hidden="1" thickBot="1" x14ac:dyDescent="0.3">
      <c r="A591" s="100" t="str">
        <f t="shared" si="88"/>
        <v>RESIDENTIAL SERVICE CLASSIFICATION</v>
      </c>
      <c r="B591" s="100" t="s">
        <v>180</v>
      </c>
      <c r="C591" s="117"/>
      <c r="D591" s="159" t="s">
        <v>181</v>
      </c>
      <c r="E591" s="119"/>
      <c r="F591" s="163">
        <v>0.1101</v>
      </c>
      <c r="G591" s="161">
        <f>IF(AND(E557*12&gt;=150000),E557*E559,E557)</f>
        <v>2500</v>
      </c>
      <c r="H591" s="157">
        <f>G591*F591</f>
        <v>275.25</v>
      </c>
      <c r="I591" s="164">
        <f>F591</f>
        <v>0.1101</v>
      </c>
      <c r="J591" s="161">
        <f>IF(AND(E557*12&gt;=150000),E557*E560,E557)</f>
        <v>2500</v>
      </c>
      <c r="K591" s="157">
        <f>J591*I591</f>
        <v>275.25</v>
      </c>
      <c r="L591" s="125">
        <f>K591-H591</f>
        <v>0</v>
      </c>
      <c r="M591" s="126">
        <f t="shared" si="92"/>
        <v>0</v>
      </c>
    </row>
    <row r="592" spans="1:13" ht="15.75" hidden="1" thickBot="1" x14ac:dyDescent="0.3">
      <c r="A592" s="100" t="str">
        <f t="shared" si="88"/>
        <v>RESIDENTIAL SERVICE CLASSIFICATION</v>
      </c>
      <c r="B592" s="100" t="s">
        <v>121</v>
      </c>
      <c r="C592" s="117"/>
      <c r="D592" s="159" t="s">
        <v>182</v>
      </c>
      <c r="E592" s="119"/>
      <c r="F592" s="163">
        <v>0.1101</v>
      </c>
      <c r="G592" s="161">
        <f>IF(AND(E557*12&gt;=150000),E557*E559,E557)</f>
        <v>2500</v>
      </c>
      <c r="H592" s="157">
        <f>G592*F592</f>
        <v>275.25</v>
      </c>
      <c r="I592" s="164">
        <f>F592</f>
        <v>0.1101</v>
      </c>
      <c r="J592" s="161">
        <f>IF(AND(E557*12&gt;=150000),E557*E560,E557)</f>
        <v>2500</v>
      </c>
      <c r="K592" s="157">
        <f>J592*I592</f>
        <v>275.25</v>
      </c>
      <c r="L592" s="125">
        <f>K592-H592</f>
        <v>0</v>
      </c>
      <c r="M592" s="126">
        <f t="shared" si="92"/>
        <v>0</v>
      </c>
    </row>
    <row r="593" spans="1:13" ht="15.75" thickBot="1" x14ac:dyDescent="0.3">
      <c r="A593" s="100" t="str">
        <f t="shared" si="88"/>
        <v>RESIDENTIAL SERVICE CLASSIFICATION</v>
      </c>
      <c r="B593" s="105"/>
      <c r="C593" s="117"/>
      <c r="D593" s="165"/>
      <c r="E593" s="166"/>
      <c r="F593" s="167"/>
      <c r="G593" s="168"/>
      <c r="H593" s="169"/>
      <c r="I593" s="167"/>
      <c r="J593" s="170"/>
      <c r="K593" s="169"/>
      <c r="L593" s="171"/>
      <c r="M593" s="172"/>
    </row>
    <row r="594" spans="1:13" x14ac:dyDescent="0.25">
      <c r="A594" s="100" t="str">
        <f t="shared" si="88"/>
        <v>RESIDENTIAL SERVICE CLASSIFICATION</v>
      </c>
      <c r="B594" s="105" t="s">
        <v>117</v>
      </c>
      <c r="C594" s="117"/>
      <c r="D594" s="173" t="s">
        <v>183</v>
      </c>
      <c r="E594" s="158"/>
      <c r="F594" s="174"/>
      <c r="G594" s="175"/>
      <c r="H594" s="176">
        <f>SUM(H584:H590,H583)</f>
        <v>295.03560000000004</v>
      </c>
      <c r="I594" s="177"/>
      <c r="J594" s="177"/>
      <c r="K594" s="176">
        <f>SUM(K584:K590,K583)</f>
        <v>278.69159999999999</v>
      </c>
      <c r="L594" s="178">
        <f>K594-H594</f>
        <v>-16.344000000000051</v>
      </c>
      <c r="M594" s="179">
        <f>IF((H594)=0,"",(L594/H594))</f>
        <v>-5.5396704668860465E-2</v>
      </c>
    </row>
    <row r="595" spans="1:13" x14ac:dyDescent="0.25">
      <c r="A595" s="100" t="str">
        <f t="shared" si="88"/>
        <v>RESIDENTIAL SERVICE CLASSIFICATION</v>
      </c>
      <c r="B595" s="105" t="s">
        <v>117</v>
      </c>
      <c r="C595" s="117"/>
      <c r="D595" s="180" t="s">
        <v>184</v>
      </c>
      <c r="E595" s="158"/>
      <c r="F595" s="174">
        <v>0.13</v>
      </c>
      <c r="G595" s="181"/>
      <c r="H595" s="182">
        <f>H594*F595</f>
        <v>38.354628000000005</v>
      </c>
      <c r="I595" s="183">
        <v>0.13</v>
      </c>
      <c r="J595" s="121"/>
      <c r="K595" s="182">
        <f>K594*I595</f>
        <v>36.229908000000002</v>
      </c>
      <c r="L595" s="184">
        <f>K595-H595</f>
        <v>-2.1247200000000035</v>
      </c>
      <c r="M595" s="185">
        <f>IF((H595)=0,"",(L595/H595))</f>
        <v>-5.5396704668860382E-2</v>
      </c>
    </row>
    <row r="596" spans="1:13" x14ac:dyDescent="0.25">
      <c r="A596" s="100" t="str">
        <f t="shared" si="88"/>
        <v>RESIDENTIAL SERVICE CLASSIFICATION</v>
      </c>
      <c r="B596" s="105" t="s">
        <v>117</v>
      </c>
      <c r="C596" s="117"/>
      <c r="D596" s="180" t="s">
        <v>185</v>
      </c>
      <c r="E596" s="158"/>
      <c r="F596" s="174">
        <v>0.08</v>
      </c>
      <c r="G596" s="181"/>
      <c r="H596" s="182">
        <f>H594*-F596</f>
        <v>-23.602848000000005</v>
      </c>
      <c r="I596" s="174">
        <v>0.08</v>
      </c>
      <c r="J596" s="121"/>
      <c r="K596" s="182">
        <f>K594*-I596</f>
        <v>-22.295328000000001</v>
      </c>
      <c r="L596" s="184">
        <f>K596-H596</f>
        <v>1.3075200000000038</v>
      </c>
      <c r="M596" s="185"/>
    </row>
    <row r="597" spans="1:13" ht="15.75" thickBot="1" x14ac:dyDescent="0.3">
      <c r="A597" s="100" t="str">
        <f t="shared" si="88"/>
        <v>RESIDENTIAL SERVICE CLASSIFICATION</v>
      </c>
      <c r="B597" s="105" t="s">
        <v>186</v>
      </c>
      <c r="C597" s="117">
        <f>B12</f>
        <v>10</v>
      </c>
      <c r="D597" s="301" t="s">
        <v>187</v>
      </c>
      <c r="E597" s="301"/>
      <c r="F597" s="186"/>
      <c r="G597" s="187"/>
      <c r="H597" s="188">
        <f>H594+H595+H596</f>
        <v>309.78738000000004</v>
      </c>
      <c r="I597" s="189"/>
      <c r="J597" s="189"/>
      <c r="K597" s="190">
        <f>K594+K595+K596</f>
        <v>292.62618000000003</v>
      </c>
      <c r="L597" s="191">
        <f>K597-H597</f>
        <v>-17.161200000000008</v>
      </c>
      <c r="M597" s="192">
        <f>IF((H597)=0,"",(L597/H597))</f>
        <v>-5.5396704668860319E-2</v>
      </c>
    </row>
    <row r="598" spans="1:13" ht="15.75" hidden="1" thickBot="1" x14ac:dyDescent="0.3">
      <c r="A598" s="100" t="str">
        <f t="shared" si="88"/>
        <v>RESIDENTIAL SERVICE CLASSIFICATION</v>
      </c>
      <c r="B598" s="100" t="s">
        <v>117</v>
      </c>
      <c r="C598" s="117"/>
      <c r="D598" s="165"/>
      <c r="E598" s="166"/>
      <c r="F598" s="167"/>
      <c r="G598" s="168"/>
      <c r="H598" s="169"/>
      <c r="I598" s="167"/>
      <c r="J598" s="170"/>
      <c r="K598" s="169"/>
      <c r="L598" s="171"/>
      <c r="M598" s="172"/>
    </row>
    <row r="599" spans="1:13" ht="15.75" hidden="1" thickBot="1" x14ac:dyDescent="0.3">
      <c r="A599" s="100" t="str">
        <f t="shared" si="88"/>
        <v>RESIDENTIAL SERVICE CLASSIFICATION</v>
      </c>
      <c r="B599" s="100" t="s">
        <v>180</v>
      </c>
      <c r="C599" s="117"/>
      <c r="D599" s="173" t="s">
        <v>188</v>
      </c>
      <c r="E599" s="158"/>
      <c r="F599" s="174"/>
      <c r="G599" s="175"/>
      <c r="H599" s="176">
        <f>SUM(H591,H584:H587,H583)</f>
        <v>365.31060000000002</v>
      </c>
      <c r="I599" s="177"/>
      <c r="J599" s="177"/>
      <c r="K599" s="176">
        <f>SUM(K591,K584:K587,K583)</f>
        <v>348.96659999999997</v>
      </c>
      <c r="L599" s="178">
        <f>K599-H599</f>
        <v>-16.344000000000051</v>
      </c>
      <c r="M599" s="179">
        <f>IF((H599)=0,"",(L599/H599))</f>
        <v>-4.4740010281661823E-2</v>
      </c>
    </row>
    <row r="600" spans="1:13" ht="15.75" hidden="1" thickBot="1" x14ac:dyDescent="0.3">
      <c r="A600" s="100" t="str">
        <f t="shared" si="88"/>
        <v>RESIDENTIAL SERVICE CLASSIFICATION</v>
      </c>
      <c r="B600" s="100" t="s">
        <v>180</v>
      </c>
      <c r="C600" s="117"/>
      <c r="D600" s="180" t="s">
        <v>184</v>
      </c>
      <c r="E600" s="158"/>
      <c r="F600" s="174">
        <v>0.13</v>
      </c>
      <c r="G600" s="175"/>
      <c r="H600" s="182">
        <f>H599*F600</f>
        <v>47.490378000000007</v>
      </c>
      <c r="I600" s="174">
        <v>0.13</v>
      </c>
      <c r="J600" s="183"/>
      <c r="K600" s="182">
        <f>K599*I600</f>
        <v>45.365657999999996</v>
      </c>
      <c r="L600" s="184">
        <f>K600-H600</f>
        <v>-2.1247200000000106</v>
      </c>
      <c r="M600" s="185">
        <f>IF((H600)=0,"",(L600/H600))</f>
        <v>-4.4740010281661906E-2</v>
      </c>
    </row>
    <row r="601" spans="1:13" ht="15.75" hidden="1" thickBot="1" x14ac:dyDescent="0.3">
      <c r="A601" s="100" t="str">
        <f t="shared" si="88"/>
        <v>RESIDENTIAL SERVICE CLASSIFICATION</v>
      </c>
      <c r="B601" s="100" t="s">
        <v>180</v>
      </c>
      <c r="C601" s="117"/>
      <c r="D601" s="180" t="s">
        <v>185</v>
      </c>
      <c r="E601" s="158"/>
      <c r="F601" s="174">
        <v>0.08</v>
      </c>
      <c r="G601" s="175"/>
      <c r="H601" s="182"/>
      <c r="I601" s="174">
        <v>0.08</v>
      </c>
      <c r="J601" s="183"/>
      <c r="K601" s="182"/>
      <c r="L601" s="184"/>
      <c r="M601" s="185"/>
    </row>
    <row r="602" spans="1:13" ht="15.75" hidden="1" thickBot="1" x14ac:dyDescent="0.3">
      <c r="A602" s="100" t="str">
        <f t="shared" si="88"/>
        <v>RESIDENTIAL SERVICE CLASSIFICATION</v>
      </c>
      <c r="B602" s="100" t="s">
        <v>189</v>
      </c>
      <c r="C602" s="117"/>
      <c r="D602" s="301" t="s">
        <v>188</v>
      </c>
      <c r="E602" s="301"/>
      <c r="F602" s="193"/>
      <c r="G602" s="194"/>
      <c r="H602" s="188">
        <f>SUM(H599,H600)</f>
        <v>412.80097800000004</v>
      </c>
      <c r="I602" s="195"/>
      <c r="J602" s="195"/>
      <c r="K602" s="188">
        <f>SUM(K599,K600)</f>
        <v>394.33225799999997</v>
      </c>
      <c r="L602" s="196">
        <f>K602-H602</f>
        <v>-18.468720000000076</v>
      </c>
      <c r="M602" s="197">
        <f>IF((H602)=0,"",(L602/H602))</f>
        <v>-4.4740010281661864E-2</v>
      </c>
    </row>
    <row r="603" spans="1:13" ht="15.75" hidden="1" thickBot="1" x14ac:dyDescent="0.3">
      <c r="A603" s="100" t="str">
        <f t="shared" si="88"/>
        <v>RESIDENTIAL SERVICE CLASSIFICATION</v>
      </c>
      <c r="B603" s="100" t="s">
        <v>180</v>
      </c>
      <c r="C603" s="117"/>
      <c r="D603" s="165"/>
      <c r="E603" s="166"/>
      <c r="F603" s="198"/>
      <c r="G603" s="199"/>
      <c r="H603" s="200"/>
      <c r="I603" s="198"/>
      <c r="J603" s="168"/>
      <c r="K603" s="200"/>
      <c r="L603" s="201"/>
      <c r="M603" s="172"/>
    </row>
    <row r="604" spans="1:13" ht="15.75" hidden="1" thickBot="1" x14ac:dyDescent="0.3">
      <c r="A604" s="100" t="str">
        <f t="shared" si="88"/>
        <v>RESIDENTIAL SERVICE CLASSIFICATION</v>
      </c>
      <c r="B604" s="100" t="s">
        <v>121</v>
      </c>
      <c r="C604" s="117"/>
      <c r="D604" s="173" t="s">
        <v>190</v>
      </c>
      <c r="E604" s="158"/>
      <c r="F604" s="174"/>
      <c r="G604" s="175"/>
      <c r="H604" s="176">
        <f>SUM(H592,H584:H587,H583)</f>
        <v>365.31060000000002</v>
      </c>
      <c r="I604" s="177"/>
      <c r="J604" s="177"/>
      <c r="K604" s="176">
        <f>SUM(K592,K584:K587,K583)</f>
        <v>348.96659999999997</v>
      </c>
      <c r="L604" s="178">
        <f>K604-H604</f>
        <v>-16.344000000000051</v>
      </c>
      <c r="M604" s="179">
        <f>IF((H604)=0,"",(L604/H604))</f>
        <v>-4.4740010281661823E-2</v>
      </c>
    </row>
    <row r="605" spans="1:13" ht="15.75" hidden="1" thickBot="1" x14ac:dyDescent="0.3">
      <c r="A605" s="100" t="str">
        <f t="shared" si="88"/>
        <v>RESIDENTIAL SERVICE CLASSIFICATION</v>
      </c>
      <c r="B605" s="100" t="s">
        <v>121</v>
      </c>
      <c r="C605" s="117"/>
      <c r="D605" s="180" t="s">
        <v>184</v>
      </c>
      <c r="E605" s="158"/>
      <c r="F605" s="174">
        <v>0.13</v>
      </c>
      <c r="G605" s="175"/>
      <c r="H605" s="182">
        <f>H604*F605</f>
        <v>47.490378000000007</v>
      </c>
      <c r="I605" s="174">
        <v>0.13</v>
      </c>
      <c r="J605" s="183"/>
      <c r="K605" s="182">
        <f>K604*I605</f>
        <v>45.365657999999996</v>
      </c>
      <c r="L605" s="184">
        <f>K605-H605</f>
        <v>-2.1247200000000106</v>
      </c>
      <c r="M605" s="185">
        <f>IF((H605)=0,"",(L605/H605))</f>
        <v>-4.4740010281661906E-2</v>
      </c>
    </row>
    <row r="606" spans="1:13" ht="15.75" hidden="1" thickBot="1" x14ac:dyDescent="0.3">
      <c r="A606" s="100" t="str">
        <f t="shared" si="88"/>
        <v>RESIDENTIAL SERVICE CLASSIFICATION</v>
      </c>
      <c r="B606" s="100" t="s">
        <v>121</v>
      </c>
      <c r="C606" s="117"/>
      <c r="D606" s="180" t="s">
        <v>185</v>
      </c>
      <c r="E606" s="158"/>
      <c r="F606" s="174">
        <v>0.08</v>
      </c>
      <c r="G606" s="175"/>
      <c r="H606" s="182"/>
      <c r="I606" s="174">
        <v>0.08</v>
      </c>
      <c r="J606" s="183"/>
      <c r="K606" s="182"/>
      <c r="L606" s="184"/>
      <c r="M606" s="185"/>
    </row>
    <row r="607" spans="1:13" ht="15.75" hidden="1" thickBot="1" x14ac:dyDescent="0.3">
      <c r="A607" s="100" t="str">
        <f t="shared" si="88"/>
        <v>RESIDENTIAL SERVICE CLASSIFICATION</v>
      </c>
      <c r="B607" s="100" t="s">
        <v>191</v>
      </c>
      <c r="C607" s="117"/>
      <c r="D607" s="301" t="s">
        <v>190</v>
      </c>
      <c r="E607" s="301"/>
      <c r="F607" s="193"/>
      <c r="G607" s="194"/>
      <c r="H607" s="188">
        <f>SUM(H604,H605)</f>
        <v>412.80097800000004</v>
      </c>
      <c r="I607" s="195"/>
      <c r="J607" s="195"/>
      <c r="K607" s="188">
        <f>SUM(K604,K605)</f>
        <v>394.33225799999997</v>
      </c>
      <c r="L607" s="196">
        <f>K607-H607</f>
        <v>-18.468720000000076</v>
      </c>
      <c r="M607" s="197">
        <f>IF((H607)=0,"",(L607/H607))</f>
        <v>-4.4740010281661864E-2</v>
      </c>
    </row>
    <row r="608" spans="1:13" ht="15.75" thickBot="1" x14ac:dyDescent="0.3">
      <c r="A608" s="100" t="str">
        <f t="shared" si="88"/>
        <v>RESIDENTIAL SERVICE CLASSIFICATION</v>
      </c>
      <c r="B608" s="100" t="s">
        <v>121</v>
      </c>
      <c r="C608" s="117"/>
      <c r="D608" s="165"/>
      <c r="E608" s="166"/>
      <c r="F608" s="202"/>
      <c r="G608" s="203"/>
      <c r="H608" s="204"/>
      <c r="I608" s="202"/>
      <c r="J608" s="205"/>
      <c r="K608" s="204"/>
      <c r="L608" s="206"/>
      <c r="M608" s="207"/>
    </row>
    <row r="611" spans="1:13" x14ac:dyDescent="0.25">
      <c r="C611" s="100"/>
      <c r="D611" s="101" t="s">
        <v>134</v>
      </c>
      <c r="E611" s="302" t="str">
        <f>D13</f>
        <v>GENERAL SERVICE LESS THAN 50 KW SERVICE CLASSIFICATION</v>
      </c>
      <c r="F611" s="302"/>
      <c r="G611" s="302"/>
      <c r="H611" s="302"/>
      <c r="I611" s="302"/>
      <c r="J611" s="302"/>
      <c r="K611" s="100" t="str">
        <f>IF(N13="DEMAND - INTERVAL","RTSR - INTERVAL METERED","")</f>
        <v/>
      </c>
    </row>
    <row r="612" spans="1:13" x14ac:dyDescent="0.25">
      <c r="C612" s="100"/>
      <c r="D612" s="101" t="s">
        <v>135</v>
      </c>
      <c r="E612" s="303" t="str">
        <f>H13</f>
        <v>RPP</v>
      </c>
      <c r="F612" s="303"/>
      <c r="G612" s="303"/>
      <c r="H612" s="102"/>
      <c r="I612" s="102"/>
    </row>
    <row r="613" spans="1:13" ht="15.75" x14ac:dyDescent="0.25">
      <c r="C613" s="100"/>
      <c r="D613" s="101" t="s">
        <v>136</v>
      </c>
      <c r="E613" s="103">
        <f>K13</f>
        <v>500</v>
      </c>
      <c r="F613" s="104" t="s">
        <v>137</v>
      </c>
      <c r="G613" s="105"/>
      <c r="J613" s="106"/>
      <c r="K613" s="106"/>
      <c r="L613" s="106"/>
      <c r="M613" s="106"/>
    </row>
    <row r="614" spans="1:13" ht="15.75" x14ac:dyDescent="0.25">
      <c r="C614" s="100"/>
      <c r="D614" s="101" t="s">
        <v>138</v>
      </c>
      <c r="E614" s="103">
        <f>L13</f>
        <v>0</v>
      </c>
      <c r="F614" s="107" t="s">
        <v>139</v>
      </c>
      <c r="G614" s="108"/>
      <c r="H614" s="109"/>
      <c r="I614" s="109"/>
      <c r="J614" s="109"/>
    </row>
    <row r="615" spans="1:13" x14ac:dyDescent="0.25">
      <c r="C615" s="100"/>
      <c r="D615" s="101" t="s">
        <v>140</v>
      </c>
      <c r="E615" s="110">
        <f>I13</f>
        <v>1.056</v>
      </c>
    </row>
    <row r="616" spans="1:13" x14ac:dyDescent="0.25">
      <c r="C616" s="100"/>
      <c r="D616" s="101" t="s">
        <v>141</v>
      </c>
      <c r="E616" s="110">
        <f>J13</f>
        <v>1.056</v>
      </c>
    </row>
    <row r="617" spans="1:13" x14ac:dyDescent="0.25">
      <c r="C617" s="100"/>
      <c r="D617" s="105"/>
    </row>
    <row r="618" spans="1:13" x14ac:dyDescent="0.25">
      <c r="C618" s="100"/>
      <c r="D618" s="105"/>
      <c r="E618" s="111"/>
      <c r="F618" s="304" t="s">
        <v>142</v>
      </c>
      <c r="G618" s="305"/>
      <c r="H618" s="306"/>
      <c r="I618" s="304" t="s">
        <v>143</v>
      </c>
      <c r="J618" s="305"/>
      <c r="K618" s="306"/>
      <c r="L618" s="304" t="s">
        <v>144</v>
      </c>
      <c r="M618" s="306"/>
    </row>
    <row r="619" spans="1:13" x14ac:dyDescent="0.25">
      <c r="C619" s="100"/>
      <c r="D619" s="105"/>
      <c r="E619" s="295"/>
      <c r="F619" s="112" t="s">
        <v>145</v>
      </c>
      <c r="G619" s="112" t="s">
        <v>146</v>
      </c>
      <c r="H619" s="113" t="s">
        <v>147</v>
      </c>
      <c r="I619" s="112" t="s">
        <v>145</v>
      </c>
      <c r="J619" s="114" t="s">
        <v>146</v>
      </c>
      <c r="K619" s="113" t="s">
        <v>147</v>
      </c>
      <c r="L619" s="297" t="s">
        <v>148</v>
      </c>
      <c r="M619" s="299" t="s">
        <v>149</v>
      </c>
    </row>
    <row r="620" spans="1:13" x14ac:dyDescent="0.25">
      <c r="C620" s="100"/>
      <c r="D620" s="105"/>
      <c r="E620" s="296"/>
      <c r="F620" s="115" t="s">
        <v>150</v>
      </c>
      <c r="G620" s="115"/>
      <c r="H620" s="116" t="s">
        <v>150</v>
      </c>
      <c r="I620" s="115" t="s">
        <v>150</v>
      </c>
      <c r="J620" s="116"/>
      <c r="K620" s="116" t="s">
        <v>150</v>
      </c>
      <c r="L620" s="298"/>
      <c r="M620" s="300"/>
    </row>
    <row r="621" spans="1:13" x14ac:dyDescent="0.25">
      <c r="A621" s="100" t="str">
        <f>$E611</f>
        <v>GENERAL SERVICE LESS THAN 50 KW SERVICE CLASSIFICATION</v>
      </c>
      <c r="C621" s="117"/>
      <c r="D621" s="118" t="s">
        <v>151</v>
      </c>
      <c r="E621" s="119"/>
      <c r="F621" s="120">
        <v>28.37</v>
      </c>
      <c r="G621" s="121">
        <v>1</v>
      </c>
      <c r="H621" s="122">
        <f>G621*F621</f>
        <v>28.37</v>
      </c>
      <c r="I621" s="123">
        <v>28.71</v>
      </c>
      <c r="J621" s="124">
        <f>G621</f>
        <v>1</v>
      </c>
      <c r="K621" s="122">
        <f>J621*I621</f>
        <v>28.71</v>
      </c>
      <c r="L621" s="125">
        <f t="shared" ref="L621:L642" si="93">K621-H621</f>
        <v>0.33999999999999986</v>
      </c>
      <c r="M621" s="126">
        <f>IF(ISERROR(L621/H621), "", L621/H621)</f>
        <v>1.198449065914698E-2</v>
      </c>
    </row>
    <row r="622" spans="1:13" x14ac:dyDescent="0.25">
      <c r="A622" s="100" t="str">
        <f>A621</f>
        <v>GENERAL SERVICE LESS THAN 50 KW SERVICE CLASSIFICATION</v>
      </c>
      <c r="C622" s="117"/>
      <c r="D622" s="118" t="s">
        <v>152</v>
      </c>
      <c r="E622" s="119"/>
      <c r="F622" s="127">
        <v>1.0200000000000001E-2</v>
      </c>
      <c r="G622" s="121">
        <f>IF($E614&gt;0, $E614, $E613)</f>
        <v>500</v>
      </c>
      <c r="H622" s="122">
        <f t="shared" ref="H622:H634" si="94">G622*F622</f>
        <v>5.1000000000000005</v>
      </c>
      <c r="I622" s="128">
        <v>1.03E-2</v>
      </c>
      <c r="J622" s="124">
        <f>IF($E614&gt;0, $E614, $E613)</f>
        <v>500</v>
      </c>
      <c r="K622" s="122">
        <f>J622*I622</f>
        <v>5.15</v>
      </c>
      <c r="L622" s="125">
        <f t="shared" si="93"/>
        <v>4.9999999999999822E-2</v>
      </c>
      <c r="M622" s="126">
        <f t="shared" ref="M622:M632" si="95">IF(ISERROR(L622/H622), "", L622/H622)</f>
        <v>9.8039215686274144E-3</v>
      </c>
    </row>
    <row r="623" spans="1:13" x14ac:dyDescent="0.25">
      <c r="A623" s="100" t="str">
        <f t="shared" ref="A623:A664" si="96">A622</f>
        <v>GENERAL SERVICE LESS THAN 50 KW SERVICE CLASSIFICATION</v>
      </c>
      <c r="C623" s="117"/>
      <c r="D623" s="118" t="s">
        <v>153</v>
      </c>
      <c r="E623" s="119"/>
      <c r="F623" s="127"/>
      <c r="G623" s="121">
        <f>IF($E614&gt;0, $E614, $E613)</f>
        <v>500</v>
      </c>
      <c r="H623" s="122">
        <v>0</v>
      </c>
      <c r="I623" s="128"/>
      <c r="J623" s="124">
        <f>IF($E614&gt;0, $E614, $E613)</f>
        <v>500</v>
      </c>
      <c r="K623" s="122">
        <v>0</v>
      </c>
      <c r="L623" s="125"/>
      <c r="M623" s="126"/>
    </row>
    <row r="624" spans="1:13" x14ac:dyDescent="0.25">
      <c r="A624" s="100" t="str">
        <f t="shared" si="96"/>
        <v>GENERAL SERVICE LESS THAN 50 KW SERVICE CLASSIFICATION</v>
      </c>
      <c r="C624" s="117"/>
      <c r="D624" s="118" t="s">
        <v>154</v>
      </c>
      <c r="E624" s="119"/>
      <c r="F624" s="127"/>
      <c r="G624" s="121">
        <f>IF($E614&gt;0, $E614, $E613)</f>
        <v>500</v>
      </c>
      <c r="H624" s="122">
        <v>0</v>
      </c>
      <c r="I624" s="128"/>
      <c r="J624" s="121">
        <f>IF($E614&gt;0, $E614, $E613)</f>
        <v>500</v>
      </c>
      <c r="K624" s="122">
        <v>0</v>
      </c>
      <c r="L624" s="125">
        <f>K624-H624</f>
        <v>0</v>
      </c>
      <c r="M624" s="126" t="str">
        <f>IF(ISERROR(L624/H624), "", L624/H624)</f>
        <v/>
      </c>
    </row>
    <row r="625" spans="1:13" x14ac:dyDescent="0.25">
      <c r="A625" s="100" t="str">
        <f t="shared" si="96"/>
        <v>GENERAL SERVICE LESS THAN 50 KW SERVICE CLASSIFICATION</v>
      </c>
      <c r="C625" s="117"/>
      <c r="D625" s="129" t="s">
        <v>155</v>
      </c>
      <c r="E625" s="119"/>
      <c r="F625" s="120">
        <v>0</v>
      </c>
      <c r="G625" s="121">
        <v>1</v>
      </c>
      <c r="H625" s="122">
        <f t="shared" si="94"/>
        <v>0</v>
      </c>
      <c r="I625" s="123">
        <v>0</v>
      </c>
      <c r="J625" s="124">
        <f>G625</f>
        <v>1</v>
      </c>
      <c r="K625" s="122">
        <f t="shared" ref="K625:K632" si="97">J625*I625</f>
        <v>0</v>
      </c>
      <c r="L625" s="125">
        <f t="shared" si="93"/>
        <v>0</v>
      </c>
      <c r="M625" s="126" t="str">
        <f t="shared" si="95"/>
        <v/>
      </c>
    </row>
    <row r="626" spans="1:13" x14ac:dyDescent="0.25">
      <c r="A626" s="100" t="str">
        <f t="shared" si="96"/>
        <v>GENERAL SERVICE LESS THAN 50 KW SERVICE CLASSIFICATION</v>
      </c>
      <c r="C626" s="117"/>
      <c r="D626" s="118" t="s">
        <v>156</v>
      </c>
      <c r="E626" s="119"/>
      <c r="F626" s="127">
        <v>0</v>
      </c>
      <c r="G626" s="121">
        <f>IF($E614&gt;0, $E614, $E613)</f>
        <v>500</v>
      </c>
      <c r="H626" s="122">
        <f t="shared" si="94"/>
        <v>0</v>
      </c>
      <c r="I626" s="128">
        <v>0</v>
      </c>
      <c r="J626" s="124">
        <f>IF($E614&gt;0, $E614, $E613)</f>
        <v>500</v>
      </c>
      <c r="K626" s="122">
        <f t="shared" si="97"/>
        <v>0</v>
      </c>
      <c r="L626" s="125">
        <f t="shared" si="93"/>
        <v>0</v>
      </c>
      <c r="M626" s="126" t="str">
        <f t="shared" si="95"/>
        <v/>
      </c>
    </row>
    <row r="627" spans="1:13" x14ac:dyDescent="0.25">
      <c r="A627" s="100" t="str">
        <f t="shared" si="96"/>
        <v>GENERAL SERVICE LESS THAN 50 KW SERVICE CLASSIFICATION</v>
      </c>
      <c r="B627" s="130" t="s">
        <v>157</v>
      </c>
      <c r="C627" s="117">
        <f>B13</f>
        <v>11</v>
      </c>
      <c r="D627" s="131" t="s">
        <v>158</v>
      </c>
      <c r="E627" s="132"/>
      <c r="F627" s="133"/>
      <c r="G627" s="134"/>
      <c r="H627" s="135">
        <f>SUM(H621:H626)</f>
        <v>33.47</v>
      </c>
      <c r="I627" s="136"/>
      <c r="J627" s="137"/>
      <c r="K627" s="135">
        <f>SUM(K621:K626)</f>
        <v>33.86</v>
      </c>
      <c r="L627" s="138">
        <f t="shared" si="93"/>
        <v>0.39000000000000057</v>
      </c>
      <c r="M627" s="139">
        <f>IF((H627)=0,"",(L627/H627))</f>
        <v>1.1652225873916958E-2</v>
      </c>
    </row>
    <row r="628" spans="1:13" x14ac:dyDescent="0.25">
      <c r="A628" s="100" t="str">
        <f t="shared" si="96"/>
        <v>GENERAL SERVICE LESS THAN 50 KW SERVICE CLASSIFICATION</v>
      </c>
      <c r="C628" s="117"/>
      <c r="D628" s="140" t="s">
        <v>159</v>
      </c>
      <c r="E628" s="119"/>
      <c r="F628" s="127">
        <f>IF((E613*12&gt;=150000), 0, IF(E612="RPP",(F644*0.65+F645*0.17+F646*0.18),IF(E612="Non-RPP (Retailer)",F647,F648)))</f>
        <v>8.1990000000000007E-2</v>
      </c>
      <c r="G628" s="141">
        <f>IF(F628=0, 0, $E613*E615-E613)</f>
        <v>28</v>
      </c>
      <c r="H628" s="122">
        <f>G628*F628</f>
        <v>2.2957200000000002</v>
      </c>
      <c r="I628" s="128">
        <f>IF((E613*12&gt;=150000), 0, IF(E612="RPP",(I644*0.65+I645*0.17+I646*0.18),IF(E612="Non-RPP (Retailer)",I647,I648)))</f>
        <v>8.1990000000000007E-2</v>
      </c>
      <c r="J628" s="141">
        <f>IF(I628=0, 0, E613*E616-E613)</f>
        <v>28</v>
      </c>
      <c r="K628" s="122">
        <f>J628*I628</f>
        <v>2.2957200000000002</v>
      </c>
      <c r="L628" s="125">
        <f>K628-H628</f>
        <v>0</v>
      </c>
      <c r="M628" s="126">
        <f>IF(ISERROR(L628/H628), "", L628/H628)</f>
        <v>0</v>
      </c>
    </row>
    <row r="629" spans="1:13" ht="25.5" x14ac:dyDescent="0.25">
      <c r="A629" s="100" t="str">
        <f t="shared" si="96"/>
        <v>GENERAL SERVICE LESS THAN 50 KW SERVICE CLASSIFICATION</v>
      </c>
      <c r="C629" s="117"/>
      <c r="D629" s="140" t="s">
        <v>160</v>
      </c>
      <c r="E629" s="119"/>
      <c r="F629" s="127">
        <v>-1.4E-3</v>
      </c>
      <c r="G629" s="142">
        <f>IF($E614&gt;0, $E614, $E613)</f>
        <v>500</v>
      </c>
      <c r="H629" s="122">
        <f t="shared" si="94"/>
        <v>-0.7</v>
      </c>
      <c r="I629" s="128">
        <v>-5.3E-3</v>
      </c>
      <c r="J629" s="142">
        <f>IF($E614&gt;0, $E614, $E613)</f>
        <v>500</v>
      </c>
      <c r="K629" s="122">
        <f t="shared" si="97"/>
        <v>-2.65</v>
      </c>
      <c r="L629" s="125">
        <f t="shared" si="93"/>
        <v>-1.95</v>
      </c>
      <c r="M629" s="126">
        <f t="shared" si="95"/>
        <v>2.785714285714286</v>
      </c>
    </row>
    <row r="630" spans="1:13" x14ac:dyDescent="0.25">
      <c r="A630" s="100" t="str">
        <f t="shared" si="96"/>
        <v>GENERAL SERVICE LESS THAN 50 KW SERVICE CLASSIFICATION</v>
      </c>
      <c r="C630" s="117"/>
      <c r="D630" s="140" t="s">
        <v>161</v>
      </c>
      <c r="E630" s="119"/>
      <c r="F630" s="127">
        <v>-1E-4</v>
      </c>
      <c r="G630" s="142">
        <f>IF($E614&gt;0, $E614, $E613)</f>
        <v>500</v>
      </c>
      <c r="H630" s="122">
        <f>G630*F630</f>
        <v>-0.05</v>
      </c>
      <c r="I630" s="128">
        <v>0</v>
      </c>
      <c r="J630" s="142">
        <f>IF($E614&gt;0, $E614, $E613)</f>
        <v>500</v>
      </c>
      <c r="K630" s="122">
        <f>J630*I630</f>
        <v>0</v>
      </c>
      <c r="L630" s="125">
        <f t="shared" si="93"/>
        <v>0.05</v>
      </c>
      <c r="M630" s="126">
        <f t="shared" si="95"/>
        <v>-1</v>
      </c>
    </row>
    <row r="631" spans="1:13" x14ac:dyDescent="0.25">
      <c r="A631" s="100" t="str">
        <f t="shared" si="96"/>
        <v>GENERAL SERVICE LESS THAN 50 KW SERVICE CLASSIFICATION</v>
      </c>
      <c r="C631" s="117"/>
      <c r="D631" s="140" t="s">
        <v>162</v>
      </c>
      <c r="E631" s="119"/>
      <c r="F631" s="127">
        <v>0</v>
      </c>
      <c r="G631" s="142">
        <f>E613</f>
        <v>500</v>
      </c>
      <c r="H631" s="122">
        <f>G631*F631</f>
        <v>0</v>
      </c>
      <c r="I631" s="128">
        <v>0</v>
      </c>
      <c r="J631" s="142">
        <f>E613</f>
        <v>500</v>
      </c>
      <c r="K631" s="122">
        <f t="shared" si="97"/>
        <v>0</v>
      </c>
      <c r="L631" s="125">
        <f t="shared" si="93"/>
        <v>0</v>
      </c>
      <c r="M631" s="126" t="str">
        <f t="shared" si="95"/>
        <v/>
      </c>
    </row>
    <row r="632" spans="1:13" x14ac:dyDescent="0.25">
      <c r="A632" s="100" t="str">
        <f t="shared" si="96"/>
        <v>GENERAL SERVICE LESS THAN 50 KW SERVICE CLASSIFICATION</v>
      </c>
      <c r="C632" s="117"/>
      <c r="D632" s="143" t="s">
        <v>163</v>
      </c>
      <c r="E632" s="119"/>
      <c r="F632" s="127">
        <v>2.3999999999999998E-3</v>
      </c>
      <c r="G632" s="142">
        <f>IF($E614&gt;0, $E614, $E613)</f>
        <v>500</v>
      </c>
      <c r="H632" s="122">
        <f t="shared" si="94"/>
        <v>1.2</v>
      </c>
      <c r="I632" s="128">
        <v>2.3999999999999998E-3</v>
      </c>
      <c r="J632" s="142">
        <f>IF($E614&gt;0, $E614, $E613)</f>
        <v>500</v>
      </c>
      <c r="K632" s="122">
        <f t="shared" si="97"/>
        <v>1.2</v>
      </c>
      <c r="L632" s="125">
        <f t="shared" si="93"/>
        <v>0</v>
      </c>
      <c r="M632" s="126">
        <f t="shared" si="95"/>
        <v>0</v>
      </c>
    </row>
    <row r="633" spans="1:13" ht="25.5" x14ac:dyDescent="0.25">
      <c r="A633" s="100" t="str">
        <f t="shared" si="96"/>
        <v>GENERAL SERVICE LESS THAN 50 KW SERVICE CLASSIFICATION</v>
      </c>
      <c r="C633" s="117"/>
      <c r="D633" s="144" t="s">
        <v>164</v>
      </c>
      <c r="E633" s="119"/>
      <c r="F633" s="145">
        <f>IF(OR(ISNUMBER(SEARCH("RESIDENTIAL", E611))=TRUE, ISNUMBER(SEARCH("GENERAL SERVICE LESS THAN 50", E611))=TRUE), SME, 0)</f>
        <v>0.56999999999999995</v>
      </c>
      <c r="G633" s="121">
        <v>1</v>
      </c>
      <c r="H633" s="122">
        <f>G633*F633</f>
        <v>0.56999999999999995</v>
      </c>
      <c r="I633" s="146">
        <f>IF(OR(ISNUMBER(SEARCH("RESIDENTIAL", E611))=TRUE, ISNUMBER(SEARCH("GENERAL SERVICE LESS THAN 50", E611))=TRUE), SME, 0)</f>
        <v>0.56999999999999995</v>
      </c>
      <c r="J633" s="121">
        <v>1</v>
      </c>
      <c r="K633" s="122">
        <f>J633*I633</f>
        <v>0.56999999999999995</v>
      </c>
      <c r="L633" s="125">
        <f t="shared" si="93"/>
        <v>0</v>
      </c>
      <c r="M633" s="126">
        <f>IF(ISERROR(L633/H633), "", L633/H633)</f>
        <v>0</v>
      </c>
    </row>
    <row r="634" spans="1:13" x14ac:dyDescent="0.25">
      <c r="A634" s="100" t="str">
        <f t="shared" si="96"/>
        <v>GENERAL SERVICE LESS THAN 50 KW SERVICE CLASSIFICATION</v>
      </c>
      <c r="C634" s="117"/>
      <c r="D634" s="143" t="s">
        <v>165</v>
      </c>
      <c r="E634" s="119"/>
      <c r="F634" s="120">
        <v>0</v>
      </c>
      <c r="G634" s="121">
        <v>1</v>
      </c>
      <c r="H634" s="122">
        <f t="shared" si="94"/>
        <v>0</v>
      </c>
      <c r="I634" s="123">
        <v>0</v>
      </c>
      <c r="J634" s="121">
        <v>1</v>
      </c>
      <c r="K634" s="122">
        <f>J634*I634</f>
        <v>0</v>
      </c>
      <c r="L634" s="125">
        <f>K634-H634</f>
        <v>0</v>
      </c>
      <c r="M634" s="126" t="str">
        <f>IF(ISERROR(L634/H634), "", L634/H634)</f>
        <v/>
      </c>
    </row>
    <row r="635" spans="1:13" x14ac:dyDescent="0.25">
      <c r="A635" s="100" t="str">
        <f t="shared" si="96"/>
        <v>GENERAL SERVICE LESS THAN 50 KW SERVICE CLASSIFICATION</v>
      </c>
      <c r="C635" s="117"/>
      <c r="D635" s="143" t="s">
        <v>166</v>
      </c>
      <c r="E635" s="119"/>
      <c r="F635" s="127"/>
      <c r="G635" s="142">
        <f>IF($E614&gt;0, $E614, $E613)</f>
        <v>500</v>
      </c>
      <c r="H635" s="122">
        <f>G635*F635</f>
        <v>0</v>
      </c>
      <c r="I635" s="128">
        <v>0</v>
      </c>
      <c r="J635" s="142">
        <f>IF($E614&gt;0, $E614, $E613)</f>
        <v>500</v>
      </c>
      <c r="K635" s="122">
        <f>J635*I635</f>
        <v>0</v>
      </c>
      <c r="L635" s="125">
        <f t="shared" si="93"/>
        <v>0</v>
      </c>
      <c r="M635" s="126" t="str">
        <f>IF(ISERROR(L635/H635), "", L635/H635)</f>
        <v/>
      </c>
    </row>
    <row r="636" spans="1:13" ht="25.5" x14ac:dyDescent="0.25">
      <c r="A636" s="100" t="str">
        <f t="shared" si="96"/>
        <v>GENERAL SERVICE LESS THAN 50 KW SERVICE CLASSIFICATION</v>
      </c>
      <c r="B636" s="105" t="s">
        <v>167</v>
      </c>
      <c r="C636" s="117">
        <f>B13</f>
        <v>11</v>
      </c>
      <c r="D636" s="147" t="s">
        <v>168</v>
      </c>
      <c r="E636" s="148"/>
      <c r="F636" s="149"/>
      <c r="G636" s="150"/>
      <c r="H636" s="151">
        <f>SUM(H627:H635)</f>
        <v>36.785720000000005</v>
      </c>
      <c r="I636" s="152"/>
      <c r="J636" s="153"/>
      <c r="K636" s="151">
        <f>SUM(K627:K635)</f>
        <v>35.275720000000007</v>
      </c>
      <c r="L636" s="138">
        <f t="shared" si="93"/>
        <v>-1.509999999999998</v>
      </c>
      <c r="M636" s="139">
        <f>IF((H636)=0,"",(L636/H636))</f>
        <v>-4.1048537312848514E-2</v>
      </c>
    </row>
    <row r="637" spans="1:13" x14ac:dyDescent="0.25">
      <c r="A637" s="100" t="str">
        <f t="shared" si="96"/>
        <v>GENERAL SERVICE LESS THAN 50 KW SERVICE CLASSIFICATION</v>
      </c>
      <c r="C637" s="117"/>
      <c r="D637" s="154" t="s">
        <v>169</v>
      </c>
      <c r="E637" s="119"/>
      <c r="F637" s="127">
        <v>6.0000000000000001E-3</v>
      </c>
      <c r="G637" s="141">
        <f>IF($E614&gt;0, $E614, $E613*$E615)</f>
        <v>528</v>
      </c>
      <c r="H637" s="122">
        <f>G637*F637</f>
        <v>3.1680000000000001</v>
      </c>
      <c r="I637" s="128">
        <v>5.7000000000000002E-3</v>
      </c>
      <c r="J637" s="141">
        <f>IF($E614&gt;0, $E614, $E613*$E616)</f>
        <v>528</v>
      </c>
      <c r="K637" s="122">
        <f>J637*I637</f>
        <v>3.0096000000000003</v>
      </c>
      <c r="L637" s="125">
        <f t="shared" si="93"/>
        <v>-0.15839999999999987</v>
      </c>
      <c r="M637" s="126">
        <f>IF(ISERROR(L637/H637), "", L637/H637)</f>
        <v>-4.9999999999999961E-2</v>
      </c>
    </row>
    <row r="638" spans="1:13" ht="25.5" x14ac:dyDescent="0.25">
      <c r="A638" s="100" t="str">
        <f t="shared" si="96"/>
        <v>GENERAL SERVICE LESS THAN 50 KW SERVICE CLASSIFICATION</v>
      </c>
      <c r="C638" s="117"/>
      <c r="D638" s="155" t="s">
        <v>170</v>
      </c>
      <c r="E638" s="119"/>
      <c r="F638" s="127">
        <v>5.3E-3</v>
      </c>
      <c r="G638" s="141">
        <f>IF($E614&gt;0, $E614, $E613*$E615)</f>
        <v>528</v>
      </c>
      <c r="H638" s="122">
        <f>G638*F638</f>
        <v>2.7984</v>
      </c>
      <c r="I638" s="128">
        <v>5.0000000000000001E-3</v>
      </c>
      <c r="J638" s="141">
        <f>IF($E614&gt;0, $E614, $E613*$E616)</f>
        <v>528</v>
      </c>
      <c r="K638" s="122">
        <f>J638*I638</f>
        <v>2.64</v>
      </c>
      <c r="L638" s="125">
        <f t="shared" si="93"/>
        <v>-0.15839999999999987</v>
      </c>
      <c r="M638" s="126">
        <f>IF(ISERROR(L638/H638), "", L638/H638)</f>
        <v>-5.6603773584905613E-2</v>
      </c>
    </row>
    <row r="639" spans="1:13" ht="25.5" x14ac:dyDescent="0.25">
      <c r="A639" s="100" t="str">
        <f t="shared" si="96"/>
        <v>GENERAL SERVICE LESS THAN 50 KW SERVICE CLASSIFICATION</v>
      </c>
      <c r="B639" s="105" t="s">
        <v>171</v>
      </c>
      <c r="C639" s="117">
        <f>B13</f>
        <v>11</v>
      </c>
      <c r="D639" s="147" t="s">
        <v>172</v>
      </c>
      <c r="E639" s="132"/>
      <c r="F639" s="149"/>
      <c r="G639" s="150"/>
      <c r="H639" s="151">
        <f>SUM(H636:H638)</f>
        <v>42.752120000000005</v>
      </c>
      <c r="I639" s="152"/>
      <c r="J639" s="137"/>
      <c r="K639" s="151">
        <f>SUM(K636:K638)</f>
        <v>40.925320000000006</v>
      </c>
      <c r="L639" s="138">
        <f t="shared" si="93"/>
        <v>-1.8267999999999986</v>
      </c>
      <c r="M639" s="139">
        <f>IF((H639)=0,"",(L639/H639))</f>
        <v>-4.2730044732284582E-2</v>
      </c>
    </row>
    <row r="640" spans="1:13" ht="25.5" x14ac:dyDescent="0.25">
      <c r="A640" s="100" t="str">
        <f t="shared" si="96"/>
        <v>GENERAL SERVICE LESS THAN 50 KW SERVICE CLASSIFICATION</v>
      </c>
      <c r="C640" s="117"/>
      <c r="D640" s="156" t="s">
        <v>173</v>
      </c>
      <c r="E640" s="119"/>
      <c r="F640" s="127">
        <v>3.6000000000000003E-3</v>
      </c>
      <c r="G640" s="141">
        <f>E613*E615</f>
        <v>528</v>
      </c>
      <c r="H640" s="157">
        <f t="shared" ref="H640:H646" si="98">G640*F640</f>
        <v>1.9008000000000003</v>
      </c>
      <c r="I640" s="128">
        <v>3.6000000000000003E-3</v>
      </c>
      <c r="J640" s="141">
        <f>E613*E616</f>
        <v>528</v>
      </c>
      <c r="K640" s="157">
        <f t="shared" ref="K640:K646" si="99">J640*I640</f>
        <v>1.9008000000000003</v>
      </c>
      <c r="L640" s="125">
        <f t="shared" si="93"/>
        <v>0</v>
      </c>
      <c r="M640" s="126">
        <f t="shared" ref="M640:M648" si="100">IF(ISERROR(L640/H640), "", L640/H640)</f>
        <v>0</v>
      </c>
    </row>
    <row r="641" spans="1:13" ht="25.5" x14ac:dyDescent="0.25">
      <c r="A641" s="100" t="str">
        <f t="shared" si="96"/>
        <v>GENERAL SERVICE LESS THAN 50 KW SERVICE CLASSIFICATION</v>
      </c>
      <c r="C641" s="117"/>
      <c r="D641" s="156" t="s">
        <v>174</v>
      </c>
      <c r="E641" s="119"/>
      <c r="F641" s="127">
        <f>'[1]17. Regulatory Charges'!$D$16</f>
        <v>2.9999999999999997E-4</v>
      </c>
      <c r="G641" s="141">
        <f>E613*E615</f>
        <v>528</v>
      </c>
      <c r="H641" s="157">
        <f t="shared" si="98"/>
        <v>0.15839999999999999</v>
      </c>
      <c r="I641" s="128">
        <v>2.9999999999999997E-4</v>
      </c>
      <c r="J641" s="141">
        <f>E613*E616</f>
        <v>528</v>
      </c>
      <c r="K641" s="157">
        <f t="shared" si="99"/>
        <v>0.15839999999999999</v>
      </c>
      <c r="L641" s="125">
        <f t="shared" si="93"/>
        <v>0</v>
      </c>
      <c r="M641" s="126">
        <f t="shared" si="100"/>
        <v>0</v>
      </c>
    </row>
    <row r="642" spans="1:13" x14ac:dyDescent="0.25">
      <c r="A642" s="100" t="str">
        <f t="shared" si="96"/>
        <v>GENERAL SERVICE LESS THAN 50 KW SERVICE CLASSIFICATION</v>
      </c>
      <c r="C642" s="117"/>
      <c r="D642" s="158" t="s">
        <v>175</v>
      </c>
      <c r="E642" s="119"/>
      <c r="F642" s="145">
        <v>0.25</v>
      </c>
      <c r="G642" s="121">
        <v>1</v>
      </c>
      <c r="H642" s="157">
        <f t="shared" si="98"/>
        <v>0.25</v>
      </c>
      <c r="I642" s="146">
        <f>'[1]17. Regulatory Charges'!$D$17</f>
        <v>0.25</v>
      </c>
      <c r="J642" s="124">
        <v>1</v>
      </c>
      <c r="K642" s="157">
        <f t="shared" si="99"/>
        <v>0.25</v>
      </c>
      <c r="L642" s="125">
        <f t="shared" si="93"/>
        <v>0</v>
      </c>
      <c r="M642" s="126">
        <f t="shared" si="100"/>
        <v>0</v>
      </c>
    </row>
    <row r="643" spans="1:13" ht="25.5" x14ac:dyDescent="0.25">
      <c r="A643" s="100" t="str">
        <f t="shared" si="96"/>
        <v>GENERAL SERVICE LESS THAN 50 KW SERVICE CLASSIFICATION</v>
      </c>
      <c r="C643" s="117"/>
      <c r="D643" s="156" t="s">
        <v>176</v>
      </c>
      <c r="E643" s="119"/>
      <c r="F643" s="127"/>
      <c r="G643" s="141"/>
      <c r="H643" s="157"/>
      <c r="I643" s="128"/>
      <c r="J643" s="141"/>
      <c r="K643" s="157"/>
      <c r="L643" s="125"/>
      <c r="M643" s="126"/>
    </row>
    <row r="644" spans="1:13" x14ac:dyDescent="0.25">
      <c r="A644" s="100" t="str">
        <f t="shared" si="96"/>
        <v>GENERAL SERVICE LESS THAN 50 KW SERVICE CLASSIFICATION</v>
      </c>
      <c r="B644" s="105" t="s">
        <v>117</v>
      </c>
      <c r="C644" s="117"/>
      <c r="D644" s="159" t="s">
        <v>177</v>
      </c>
      <c r="E644" s="119"/>
      <c r="F644" s="160">
        <f>OffPeak</f>
        <v>6.5000000000000002E-2</v>
      </c>
      <c r="G644" s="161">
        <f>IF(AND(E613*12&gt;=150000),0.65*E613*E615,0.65*E613)</f>
        <v>325</v>
      </c>
      <c r="H644" s="157">
        <f t="shared" si="98"/>
        <v>21.125</v>
      </c>
      <c r="I644" s="162">
        <f>OffPeak</f>
        <v>6.5000000000000002E-2</v>
      </c>
      <c r="J644" s="161">
        <f>IF(AND(E613*12&gt;=150000),0.65*E613*E616,0.65*E613)</f>
        <v>325</v>
      </c>
      <c r="K644" s="157">
        <f t="shared" si="99"/>
        <v>21.125</v>
      </c>
      <c r="L644" s="125">
        <f>K644-H644</f>
        <v>0</v>
      </c>
      <c r="M644" s="126">
        <f t="shared" si="100"/>
        <v>0</v>
      </c>
    </row>
    <row r="645" spans="1:13" x14ac:dyDescent="0.25">
      <c r="A645" s="100" t="str">
        <f t="shared" si="96"/>
        <v>GENERAL SERVICE LESS THAN 50 KW SERVICE CLASSIFICATION</v>
      </c>
      <c r="B645" s="105" t="s">
        <v>117</v>
      </c>
      <c r="C645" s="117"/>
      <c r="D645" s="159" t="s">
        <v>178</v>
      </c>
      <c r="E645" s="119"/>
      <c r="F645" s="160">
        <f>MidPeak</f>
        <v>9.4E-2</v>
      </c>
      <c r="G645" s="161">
        <f>IF(AND(E613*12&gt;=150000),0.17*E613*E615,0.17*E613)</f>
        <v>85</v>
      </c>
      <c r="H645" s="157">
        <f t="shared" si="98"/>
        <v>7.99</v>
      </c>
      <c r="I645" s="162">
        <f>MidPeak</f>
        <v>9.4E-2</v>
      </c>
      <c r="J645" s="161">
        <f>IF(AND(E613*12&gt;=150000),0.17*E613*E616,0.17*E613)</f>
        <v>85</v>
      </c>
      <c r="K645" s="157">
        <f t="shared" si="99"/>
        <v>7.99</v>
      </c>
      <c r="L645" s="125">
        <f>K645-H645</f>
        <v>0</v>
      </c>
      <c r="M645" s="126">
        <f t="shared" si="100"/>
        <v>0</v>
      </c>
    </row>
    <row r="646" spans="1:13" ht="15.75" thickBot="1" x14ac:dyDescent="0.3">
      <c r="A646" s="100" t="str">
        <f t="shared" si="96"/>
        <v>GENERAL SERVICE LESS THAN 50 KW SERVICE CLASSIFICATION</v>
      </c>
      <c r="B646" s="105" t="s">
        <v>117</v>
      </c>
      <c r="C646" s="117"/>
      <c r="D646" s="105" t="s">
        <v>179</v>
      </c>
      <c r="E646" s="119"/>
      <c r="F646" s="160">
        <f>OnPeak</f>
        <v>0.13200000000000001</v>
      </c>
      <c r="G646" s="161">
        <f>IF(AND(E613*12&gt;=150000),0.18*E613*E615,0.18*E613)</f>
        <v>90</v>
      </c>
      <c r="H646" s="157">
        <f t="shared" si="98"/>
        <v>11.88</v>
      </c>
      <c r="I646" s="162">
        <f>OnPeak</f>
        <v>0.13200000000000001</v>
      </c>
      <c r="J646" s="161">
        <f>IF(AND(E613*12&gt;=150000),0.18*E613*E616,0.18*E613)</f>
        <v>90</v>
      </c>
      <c r="K646" s="157">
        <f t="shared" si="99"/>
        <v>11.88</v>
      </c>
      <c r="L646" s="125">
        <f>K646-H646</f>
        <v>0</v>
      </c>
      <c r="M646" s="126">
        <f t="shared" si="100"/>
        <v>0</v>
      </c>
    </row>
    <row r="647" spans="1:13" ht="15.75" hidden="1" thickBot="1" x14ac:dyDescent="0.3">
      <c r="A647" s="100" t="str">
        <f t="shared" si="96"/>
        <v>GENERAL SERVICE LESS THAN 50 KW SERVICE CLASSIFICATION</v>
      </c>
      <c r="B647" s="100" t="s">
        <v>180</v>
      </c>
      <c r="C647" s="117"/>
      <c r="D647" s="159" t="s">
        <v>181</v>
      </c>
      <c r="E647" s="119"/>
      <c r="F647" s="163">
        <v>0.1101</v>
      </c>
      <c r="G647" s="161">
        <f>IF(AND(E613*12&gt;=150000),E613*E615,E613)</f>
        <v>500</v>
      </c>
      <c r="H647" s="157">
        <f>G647*F647</f>
        <v>55.050000000000004</v>
      </c>
      <c r="I647" s="164">
        <f>F647</f>
        <v>0.1101</v>
      </c>
      <c r="J647" s="161">
        <f>IF(AND(E613*12&gt;=150000),E613*E616,E613)</f>
        <v>500</v>
      </c>
      <c r="K647" s="157">
        <f>J647*I647</f>
        <v>55.050000000000004</v>
      </c>
      <c r="L647" s="125">
        <f>K647-H647</f>
        <v>0</v>
      </c>
      <c r="M647" s="126">
        <f t="shared" si="100"/>
        <v>0</v>
      </c>
    </row>
    <row r="648" spans="1:13" ht="15.75" hidden="1" thickBot="1" x14ac:dyDescent="0.3">
      <c r="A648" s="100" t="str">
        <f t="shared" si="96"/>
        <v>GENERAL SERVICE LESS THAN 50 KW SERVICE CLASSIFICATION</v>
      </c>
      <c r="B648" s="100" t="s">
        <v>121</v>
      </c>
      <c r="C648" s="117"/>
      <c r="D648" s="159" t="s">
        <v>182</v>
      </c>
      <c r="E648" s="119"/>
      <c r="F648" s="163">
        <v>0.1101</v>
      </c>
      <c r="G648" s="161">
        <f>IF(AND(E613*12&gt;=150000),E613*E615,E613)</f>
        <v>500</v>
      </c>
      <c r="H648" s="157">
        <f>G648*F648</f>
        <v>55.050000000000004</v>
      </c>
      <c r="I648" s="164">
        <f>F648</f>
        <v>0.1101</v>
      </c>
      <c r="J648" s="161">
        <f>IF(AND(E613*12&gt;=150000),E613*E616,E613)</f>
        <v>500</v>
      </c>
      <c r="K648" s="157">
        <f>J648*I648</f>
        <v>55.050000000000004</v>
      </c>
      <c r="L648" s="125">
        <f>K648-H648</f>
        <v>0</v>
      </c>
      <c r="M648" s="126">
        <f t="shared" si="100"/>
        <v>0</v>
      </c>
    </row>
    <row r="649" spans="1:13" ht="15.75" thickBot="1" x14ac:dyDescent="0.3">
      <c r="A649" s="100" t="str">
        <f t="shared" si="96"/>
        <v>GENERAL SERVICE LESS THAN 50 KW SERVICE CLASSIFICATION</v>
      </c>
      <c r="B649" s="105"/>
      <c r="C649" s="117"/>
      <c r="D649" s="165"/>
      <c r="E649" s="166"/>
      <c r="F649" s="167"/>
      <c r="G649" s="168"/>
      <c r="H649" s="169"/>
      <c r="I649" s="167"/>
      <c r="J649" s="170"/>
      <c r="K649" s="169"/>
      <c r="L649" s="171"/>
      <c r="M649" s="172"/>
    </row>
    <row r="650" spans="1:13" x14ac:dyDescent="0.25">
      <c r="A650" s="100" t="str">
        <f t="shared" si="96"/>
        <v>GENERAL SERVICE LESS THAN 50 KW SERVICE CLASSIFICATION</v>
      </c>
      <c r="B650" s="105" t="s">
        <v>117</v>
      </c>
      <c r="C650" s="117"/>
      <c r="D650" s="173" t="s">
        <v>183</v>
      </c>
      <c r="E650" s="158"/>
      <c r="F650" s="174"/>
      <c r="G650" s="175"/>
      <c r="H650" s="176">
        <f>SUM(H640:H646,H639)</f>
        <v>86.056319999999999</v>
      </c>
      <c r="I650" s="177"/>
      <c r="J650" s="177"/>
      <c r="K650" s="176">
        <f>SUM(K640:K646,K639)</f>
        <v>84.229520000000008</v>
      </c>
      <c r="L650" s="178">
        <f>K650-H650</f>
        <v>-1.8267999999999915</v>
      </c>
      <c r="M650" s="179">
        <f>IF((H650)=0,"",(L650/H650))</f>
        <v>-2.1227958620586979E-2</v>
      </c>
    </row>
    <row r="651" spans="1:13" x14ac:dyDescent="0.25">
      <c r="A651" s="100" t="str">
        <f t="shared" si="96"/>
        <v>GENERAL SERVICE LESS THAN 50 KW SERVICE CLASSIFICATION</v>
      </c>
      <c r="B651" s="105" t="s">
        <v>117</v>
      </c>
      <c r="C651" s="117"/>
      <c r="D651" s="180" t="s">
        <v>184</v>
      </c>
      <c r="E651" s="158"/>
      <c r="F651" s="174">
        <v>0.13</v>
      </c>
      <c r="G651" s="181"/>
      <c r="H651" s="182">
        <f>H650*F651</f>
        <v>11.187321600000001</v>
      </c>
      <c r="I651" s="183">
        <v>0.13</v>
      </c>
      <c r="J651" s="121"/>
      <c r="K651" s="182">
        <f>K650*I651</f>
        <v>10.949837600000002</v>
      </c>
      <c r="L651" s="184">
        <f>K651-H651</f>
        <v>-0.23748399999999847</v>
      </c>
      <c r="M651" s="185">
        <f>IF((H651)=0,"",(L651/H651))</f>
        <v>-2.1227958620586938E-2</v>
      </c>
    </row>
    <row r="652" spans="1:13" x14ac:dyDescent="0.25">
      <c r="A652" s="100" t="str">
        <f t="shared" si="96"/>
        <v>GENERAL SERVICE LESS THAN 50 KW SERVICE CLASSIFICATION</v>
      </c>
      <c r="B652" s="105" t="s">
        <v>117</v>
      </c>
      <c r="C652" s="117"/>
      <c r="D652" s="180" t="s">
        <v>185</v>
      </c>
      <c r="E652" s="158"/>
      <c r="F652" s="174">
        <v>0.08</v>
      </c>
      <c r="G652" s="181"/>
      <c r="H652" s="182">
        <f>H650*-F652</f>
        <v>-6.8845055999999998</v>
      </c>
      <c r="I652" s="174">
        <v>0.08</v>
      </c>
      <c r="J652" s="121"/>
      <c r="K652" s="182">
        <f>K650*-I652</f>
        <v>-6.7383616000000011</v>
      </c>
      <c r="L652" s="184">
        <f>K652-H652</f>
        <v>0.14614399999999872</v>
      </c>
      <c r="M652" s="185"/>
    </row>
    <row r="653" spans="1:13" ht="15.75" thickBot="1" x14ac:dyDescent="0.3">
      <c r="A653" s="100" t="str">
        <f t="shared" si="96"/>
        <v>GENERAL SERVICE LESS THAN 50 KW SERVICE CLASSIFICATION</v>
      </c>
      <c r="B653" s="105" t="s">
        <v>186</v>
      </c>
      <c r="C653" s="117">
        <f>B13</f>
        <v>11</v>
      </c>
      <c r="D653" s="301" t="s">
        <v>187</v>
      </c>
      <c r="E653" s="301"/>
      <c r="F653" s="186"/>
      <c r="G653" s="187"/>
      <c r="H653" s="188">
        <f>H650+H651+H652</f>
        <v>90.359136000000007</v>
      </c>
      <c r="I653" s="189"/>
      <c r="J653" s="189"/>
      <c r="K653" s="190">
        <f>K650+K651+K652</f>
        <v>88.440995999999998</v>
      </c>
      <c r="L653" s="191">
        <f>K653-H653</f>
        <v>-1.9181400000000082</v>
      </c>
      <c r="M653" s="192">
        <f>IF((H653)=0,"",(L653/H653))</f>
        <v>-2.1227958620587167E-2</v>
      </c>
    </row>
    <row r="654" spans="1:13" ht="15.75" hidden="1" thickBot="1" x14ac:dyDescent="0.3">
      <c r="A654" s="100" t="str">
        <f t="shared" si="96"/>
        <v>GENERAL SERVICE LESS THAN 50 KW SERVICE CLASSIFICATION</v>
      </c>
      <c r="B654" s="100" t="s">
        <v>117</v>
      </c>
      <c r="C654" s="117"/>
      <c r="D654" s="165"/>
      <c r="E654" s="166"/>
      <c r="F654" s="167"/>
      <c r="G654" s="168"/>
      <c r="H654" s="169"/>
      <c r="I654" s="167"/>
      <c r="J654" s="170"/>
      <c r="K654" s="169"/>
      <c r="L654" s="171"/>
      <c r="M654" s="172"/>
    </row>
    <row r="655" spans="1:13" ht="15.75" hidden="1" thickBot="1" x14ac:dyDescent="0.3">
      <c r="A655" s="100" t="str">
        <f t="shared" si="96"/>
        <v>GENERAL SERVICE LESS THAN 50 KW SERVICE CLASSIFICATION</v>
      </c>
      <c r="B655" s="100" t="s">
        <v>180</v>
      </c>
      <c r="C655" s="117"/>
      <c r="D655" s="173" t="s">
        <v>188</v>
      </c>
      <c r="E655" s="158"/>
      <c r="F655" s="174"/>
      <c r="G655" s="175"/>
      <c r="H655" s="176">
        <f>SUM(H647,H640:H643,H639)</f>
        <v>100.11132000000001</v>
      </c>
      <c r="I655" s="177"/>
      <c r="J655" s="177"/>
      <c r="K655" s="176">
        <f>SUM(K647,K640:K643,K639)</f>
        <v>98.284520000000015</v>
      </c>
      <c r="L655" s="178">
        <f>K655-H655</f>
        <v>-1.8267999999999915</v>
      </c>
      <c r="M655" s="179">
        <f>IF((H655)=0,"",(L655/H655))</f>
        <v>-1.8247686675193088E-2</v>
      </c>
    </row>
    <row r="656" spans="1:13" ht="15.75" hidden="1" thickBot="1" x14ac:dyDescent="0.3">
      <c r="A656" s="100" t="str">
        <f t="shared" si="96"/>
        <v>GENERAL SERVICE LESS THAN 50 KW SERVICE CLASSIFICATION</v>
      </c>
      <c r="B656" s="100" t="s">
        <v>180</v>
      </c>
      <c r="C656" s="117"/>
      <c r="D656" s="180" t="s">
        <v>184</v>
      </c>
      <c r="E656" s="158"/>
      <c r="F656" s="174">
        <v>0.13</v>
      </c>
      <c r="G656" s="175"/>
      <c r="H656" s="182">
        <f>H655*F656</f>
        <v>13.014471600000002</v>
      </c>
      <c r="I656" s="174">
        <v>0.13</v>
      </c>
      <c r="J656" s="183"/>
      <c r="K656" s="182">
        <f>K655*I656</f>
        <v>12.776987600000002</v>
      </c>
      <c r="L656" s="184">
        <f>K656-H656</f>
        <v>-0.23748400000000025</v>
      </c>
      <c r="M656" s="185">
        <f>IF((H656)=0,"",(L656/H656))</f>
        <v>-1.8247686675193192E-2</v>
      </c>
    </row>
    <row r="657" spans="1:13" ht="15.75" hidden="1" thickBot="1" x14ac:dyDescent="0.3">
      <c r="A657" s="100" t="str">
        <f t="shared" si="96"/>
        <v>GENERAL SERVICE LESS THAN 50 KW SERVICE CLASSIFICATION</v>
      </c>
      <c r="B657" s="100" t="s">
        <v>180</v>
      </c>
      <c r="C657" s="117"/>
      <c r="D657" s="180" t="s">
        <v>185</v>
      </c>
      <c r="E657" s="158"/>
      <c r="F657" s="174">
        <v>0.08</v>
      </c>
      <c r="G657" s="175"/>
      <c r="H657" s="182"/>
      <c r="I657" s="174">
        <v>0.08</v>
      </c>
      <c r="J657" s="183"/>
      <c r="K657" s="182"/>
      <c r="L657" s="184"/>
      <c r="M657" s="185"/>
    </row>
    <row r="658" spans="1:13" ht="15.75" hidden="1" thickBot="1" x14ac:dyDescent="0.3">
      <c r="A658" s="100" t="str">
        <f t="shared" si="96"/>
        <v>GENERAL SERVICE LESS THAN 50 KW SERVICE CLASSIFICATION</v>
      </c>
      <c r="B658" s="100" t="s">
        <v>189</v>
      </c>
      <c r="C658" s="117"/>
      <c r="D658" s="301" t="s">
        <v>188</v>
      </c>
      <c r="E658" s="301"/>
      <c r="F658" s="193"/>
      <c r="G658" s="194"/>
      <c r="H658" s="188">
        <f>SUM(H655,H656)</f>
        <v>113.12579160000001</v>
      </c>
      <c r="I658" s="195"/>
      <c r="J658" s="195"/>
      <c r="K658" s="188">
        <f>SUM(K655,K656)</f>
        <v>111.06150760000001</v>
      </c>
      <c r="L658" s="196">
        <f>K658-H658</f>
        <v>-2.0642840000000007</v>
      </c>
      <c r="M658" s="197">
        <f>IF((H658)=0,"",(L658/H658))</f>
        <v>-1.8247686675193178E-2</v>
      </c>
    </row>
    <row r="659" spans="1:13" ht="15.75" hidden="1" thickBot="1" x14ac:dyDescent="0.3">
      <c r="A659" s="100" t="str">
        <f t="shared" si="96"/>
        <v>GENERAL SERVICE LESS THAN 50 KW SERVICE CLASSIFICATION</v>
      </c>
      <c r="B659" s="100" t="s">
        <v>180</v>
      </c>
      <c r="C659" s="117"/>
      <c r="D659" s="165"/>
      <c r="E659" s="166"/>
      <c r="F659" s="198"/>
      <c r="G659" s="199"/>
      <c r="H659" s="200"/>
      <c r="I659" s="198"/>
      <c r="J659" s="168"/>
      <c r="K659" s="200"/>
      <c r="L659" s="201"/>
      <c r="M659" s="172"/>
    </row>
    <row r="660" spans="1:13" ht="15.75" hidden="1" thickBot="1" x14ac:dyDescent="0.3">
      <c r="A660" s="100" t="str">
        <f t="shared" si="96"/>
        <v>GENERAL SERVICE LESS THAN 50 KW SERVICE CLASSIFICATION</v>
      </c>
      <c r="B660" s="100" t="s">
        <v>121</v>
      </c>
      <c r="C660" s="117"/>
      <c r="D660" s="173" t="s">
        <v>190</v>
      </c>
      <c r="E660" s="158"/>
      <c r="F660" s="174"/>
      <c r="G660" s="175"/>
      <c r="H660" s="176">
        <f>SUM(H648,H640:H643,H639)</f>
        <v>100.11132000000001</v>
      </c>
      <c r="I660" s="177"/>
      <c r="J660" s="177"/>
      <c r="K660" s="176">
        <f>SUM(K648,K640:K643,K639)</f>
        <v>98.284520000000015</v>
      </c>
      <c r="L660" s="178">
        <f>K660-H660</f>
        <v>-1.8267999999999915</v>
      </c>
      <c r="M660" s="179">
        <f>IF((H660)=0,"",(L660/H660))</f>
        <v>-1.8247686675193088E-2</v>
      </c>
    </row>
    <row r="661" spans="1:13" ht="15.75" hidden="1" thickBot="1" x14ac:dyDescent="0.3">
      <c r="A661" s="100" t="str">
        <f t="shared" si="96"/>
        <v>GENERAL SERVICE LESS THAN 50 KW SERVICE CLASSIFICATION</v>
      </c>
      <c r="B661" s="100" t="s">
        <v>121</v>
      </c>
      <c r="C661" s="117"/>
      <c r="D661" s="180" t="s">
        <v>184</v>
      </c>
      <c r="E661" s="158"/>
      <c r="F661" s="174">
        <v>0.13</v>
      </c>
      <c r="G661" s="175"/>
      <c r="H661" s="182">
        <f>H660*F661</f>
        <v>13.014471600000002</v>
      </c>
      <c r="I661" s="174">
        <v>0.13</v>
      </c>
      <c r="J661" s="183"/>
      <c r="K661" s="182">
        <f>K660*I661</f>
        <v>12.776987600000002</v>
      </c>
      <c r="L661" s="184">
        <f>K661-H661</f>
        <v>-0.23748400000000025</v>
      </c>
      <c r="M661" s="185">
        <f>IF((H661)=0,"",(L661/H661))</f>
        <v>-1.8247686675193192E-2</v>
      </c>
    </row>
    <row r="662" spans="1:13" ht="15.75" hidden="1" thickBot="1" x14ac:dyDescent="0.3">
      <c r="A662" s="100" t="str">
        <f t="shared" si="96"/>
        <v>GENERAL SERVICE LESS THAN 50 KW SERVICE CLASSIFICATION</v>
      </c>
      <c r="B662" s="100" t="s">
        <v>121</v>
      </c>
      <c r="C662" s="117"/>
      <c r="D662" s="180" t="s">
        <v>185</v>
      </c>
      <c r="E662" s="158"/>
      <c r="F662" s="174">
        <v>0.08</v>
      </c>
      <c r="G662" s="175"/>
      <c r="H662" s="182"/>
      <c r="I662" s="174">
        <v>0.08</v>
      </c>
      <c r="J662" s="183"/>
      <c r="K662" s="182"/>
      <c r="L662" s="184"/>
      <c r="M662" s="185"/>
    </row>
    <row r="663" spans="1:13" ht="15.75" hidden="1" thickBot="1" x14ac:dyDescent="0.3">
      <c r="A663" s="100" t="str">
        <f t="shared" si="96"/>
        <v>GENERAL SERVICE LESS THAN 50 KW SERVICE CLASSIFICATION</v>
      </c>
      <c r="B663" s="100" t="s">
        <v>191</v>
      </c>
      <c r="C663" s="117"/>
      <c r="D663" s="301" t="s">
        <v>190</v>
      </c>
      <c r="E663" s="301"/>
      <c r="F663" s="193"/>
      <c r="G663" s="194"/>
      <c r="H663" s="188">
        <f>SUM(H660,H661)</f>
        <v>113.12579160000001</v>
      </c>
      <c r="I663" s="195"/>
      <c r="J663" s="195"/>
      <c r="K663" s="188">
        <f>SUM(K660,K661)</f>
        <v>111.06150760000001</v>
      </c>
      <c r="L663" s="196">
        <f>K663-H663</f>
        <v>-2.0642840000000007</v>
      </c>
      <c r="M663" s="197">
        <f>IF((H663)=0,"",(L663/H663))</f>
        <v>-1.8247686675193178E-2</v>
      </c>
    </row>
    <row r="664" spans="1:13" ht="15.75" thickBot="1" x14ac:dyDescent="0.3">
      <c r="A664" s="100" t="str">
        <f t="shared" si="96"/>
        <v>GENERAL SERVICE LESS THAN 50 KW SERVICE CLASSIFICATION</v>
      </c>
      <c r="B664" s="100" t="s">
        <v>121</v>
      </c>
      <c r="C664" s="117"/>
      <c r="D664" s="165"/>
      <c r="E664" s="166"/>
      <c r="F664" s="202"/>
      <c r="G664" s="203"/>
      <c r="H664" s="204"/>
      <c r="I664" s="202"/>
      <c r="J664" s="205"/>
      <c r="K664" s="204"/>
      <c r="L664" s="206"/>
      <c r="M664" s="207"/>
    </row>
    <row r="667" spans="1:13" x14ac:dyDescent="0.25">
      <c r="C667" s="100"/>
      <c r="D667" s="101" t="s">
        <v>134</v>
      </c>
      <c r="E667" s="302" t="str">
        <f>D14</f>
        <v>GENERAL SERVICE LESS THAN 50 KW SERVICE CLASSIFICATION</v>
      </c>
      <c r="F667" s="302"/>
      <c r="G667" s="302"/>
      <c r="H667" s="302"/>
      <c r="I667" s="302"/>
      <c r="J667" s="302"/>
      <c r="K667" s="100" t="str">
        <f>IF(N14="DEMAND - INTERVAL","RTSR - INTERVAL METERED","")</f>
        <v/>
      </c>
    </row>
    <row r="668" spans="1:13" x14ac:dyDescent="0.25">
      <c r="C668" s="100"/>
      <c r="D668" s="101" t="s">
        <v>135</v>
      </c>
      <c r="E668" s="303" t="str">
        <f>H14</f>
        <v>RPP</v>
      </c>
      <c r="F668" s="303"/>
      <c r="G668" s="303"/>
      <c r="H668" s="102"/>
      <c r="I668" s="102"/>
    </row>
    <row r="669" spans="1:13" ht="15.75" x14ac:dyDescent="0.25">
      <c r="C669" s="100"/>
      <c r="D669" s="101" t="s">
        <v>136</v>
      </c>
      <c r="E669" s="103">
        <f>K14</f>
        <v>5000</v>
      </c>
      <c r="F669" s="104" t="s">
        <v>137</v>
      </c>
      <c r="G669" s="105"/>
      <c r="J669" s="106"/>
      <c r="K669" s="106"/>
      <c r="L669" s="106"/>
      <c r="M669" s="106"/>
    </row>
    <row r="670" spans="1:13" ht="15.75" x14ac:dyDescent="0.25">
      <c r="C670" s="100"/>
      <c r="D670" s="101" t="s">
        <v>138</v>
      </c>
      <c r="E670" s="103">
        <f>L14</f>
        <v>0</v>
      </c>
      <c r="F670" s="107" t="s">
        <v>139</v>
      </c>
      <c r="G670" s="108"/>
      <c r="H670" s="109"/>
      <c r="I670" s="109"/>
      <c r="J670" s="109"/>
    </row>
    <row r="671" spans="1:13" x14ac:dyDescent="0.25">
      <c r="C671" s="100"/>
      <c r="D671" s="101" t="s">
        <v>140</v>
      </c>
      <c r="E671" s="110">
        <f>I14</f>
        <v>1.056</v>
      </c>
    </row>
    <row r="672" spans="1:13" x14ac:dyDescent="0.25">
      <c r="C672" s="100"/>
      <c r="D672" s="101" t="s">
        <v>141</v>
      </c>
      <c r="E672" s="110">
        <f>J14</f>
        <v>1.056</v>
      </c>
    </row>
    <row r="673" spans="1:13" x14ac:dyDescent="0.25">
      <c r="C673" s="100"/>
      <c r="D673" s="105"/>
    </row>
    <row r="674" spans="1:13" x14ac:dyDescent="0.25">
      <c r="C674" s="100"/>
      <c r="D674" s="105"/>
      <c r="E674" s="111"/>
      <c r="F674" s="304" t="s">
        <v>142</v>
      </c>
      <c r="G674" s="305"/>
      <c r="H674" s="306"/>
      <c r="I674" s="304" t="s">
        <v>143</v>
      </c>
      <c r="J674" s="305"/>
      <c r="K674" s="306"/>
      <c r="L674" s="304" t="s">
        <v>144</v>
      </c>
      <c r="M674" s="306"/>
    </row>
    <row r="675" spans="1:13" x14ac:dyDescent="0.25">
      <c r="C675" s="100"/>
      <c r="D675" s="105"/>
      <c r="E675" s="295"/>
      <c r="F675" s="112" t="s">
        <v>145</v>
      </c>
      <c r="G675" s="112" t="s">
        <v>146</v>
      </c>
      <c r="H675" s="113" t="s">
        <v>147</v>
      </c>
      <c r="I675" s="112" t="s">
        <v>145</v>
      </c>
      <c r="J675" s="114" t="s">
        <v>146</v>
      </c>
      <c r="K675" s="113" t="s">
        <v>147</v>
      </c>
      <c r="L675" s="297" t="s">
        <v>148</v>
      </c>
      <c r="M675" s="299" t="s">
        <v>149</v>
      </c>
    </row>
    <row r="676" spans="1:13" x14ac:dyDescent="0.25">
      <c r="C676" s="100"/>
      <c r="D676" s="105"/>
      <c r="E676" s="296"/>
      <c r="F676" s="115" t="s">
        <v>150</v>
      </c>
      <c r="G676" s="115"/>
      <c r="H676" s="116" t="s">
        <v>150</v>
      </c>
      <c r="I676" s="115" t="s">
        <v>150</v>
      </c>
      <c r="J676" s="116"/>
      <c r="K676" s="116" t="s">
        <v>150</v>
      </c>
      <c r="L676" s="298"/>
      <c r="M676" s="300"/>
    </row>
    <row r="677" spans="1:13" x14ac:dyDescent="0.25">
      <c r="A677" s="100" t="str">
        <f>$E667</f>
        <v>GENERAL SERVICE LESS THAN 50 KW SERVICE CLASSIFICATION</v>
      </c>
      <c r="C677" s="117"/>
      <c r="D677" s="118" t="s">
        <v>151</v>
      </c>
      <c r="E677" s="119"/>
      <c r="F677" s="120">
        <v>28.37</v>
      </c>
      <c r="G677" s="121">
        <v>1</v>
      </c>
      <c r="H677" s="122">
        <f>G677*F677</f>
        <v>28.37</v>
      </c>
      <c r="I677" s="123">
        <v>28.71</v>
      </c>
      <c r="J677" s="124">
        <f>G677</f>
        <v>1</v>
      </c>
      <c r="K677" s="122">
        <f>J677*I677</f>
        <v>28.71</v>
      </c>
      <c r="L677" s="125">
        <f t="shared" ref="L677:L698" si="101">K677-H677</f>
        <v>0.33999999999999986</v>
      </c>
      <c r="M677" s="126">
        <f>IF(ISERROR(L677/H677), "", L677/H677)</f>
        <v>1.198449065914698E-2</v>
      </c>
    </row>
    <row r="678" spans="1:13" x14ac:dyDescent="0.25">
      <c r="A678" s="100" t="str">
        <f>A677</f>
        <v>GENERAL SERVICE LESS THAN 50 KW SERVICE CLASSIFICATION</v>
      </c>
      <c r="C678" s="117"/>
      <c r="D678" s="118" t="s">
        <v>152</v>
      </c>
      <c r="E678" s="119"/>
      <c r="F678" s="127">
        <v>1.0200000000000001E-2</v>
      </c>
      <c r="G678" s="121">
        <f>IF($E670&gt;0, $E670, $E669)</f>
        <v>5000</v>
      </c>
      <c r="H678" s="122">
        <f t="shared" ref="H678:H690" si="102">G678*F678</f>
        <v>51.000000000000007</v>
      </c>
      <c r="I678" s="128">
        <v>1.03E-2</v>
      </c>
      <c r="J678" s="124">
        <f>IF($E670&gt;0, $E670, $E669)</f>
        <v>5000</v>
      </c>
      <c r="K678" s="122">
        <f>J678*I678</f>
        <v>51.5</v>
      </c>
      <c r="L678" s="125">
        <f t="shared" si="101"/>
        <v>0.49999999999999289</v>
      </c>
      <c r="M678" s="126">
        <f t="shared" ref="M678:M688" si="103">IF(ISERROR(L678/H678), "", L678/H678)</f>
        <v>9.8039215686273103E-3</v>
      </c>
    </row>
    <row r="679" spans="1:13" x14ac:dyDescent="0.25">
      <c r="A679" s="100" t="str">
        <f t="shared" ref="A679:A720" si="104">A678</f>
        <v>GENERAL SERVICE LESS THAN 50 KW SERVICE CLASSIFICATION</v>
      </c>
      <c r="C679" s="117"/>
      <c r="D679" s="118" t="s">
        <v>153</v>
      </c>
      <c r="E679" s="119"/>
      <c r="F679" s="127"/>
      <c r="G679" s="121">
        <f>IF($E670&gt;0, $E670, $E669)</f>
        <v>5000</v>
      </c>
      <c r="H679" s="122">
        <v>0</v>
      </c>
      <c r="I679" s="128"/>
      <c r="J679" s="124">
        <f>IF($E670&gt;0, $E670, $E669)</f>
        <v>5000</v>
      </c>
      <c r="K679" s="122">
        <v>0</v>
      </c>
      <c r="L679" s="125"/>
      <c r="M679" s="126"/>
    </row>
    <row r="680" spans="1:13" x14ac:dyDescent="0.25">
      <c r="A680" s="100" t="str">
        <f t="shared" si="104"/>
        <v>GENERAL SERVICE LESS THAN 50 KW SERVICE CLASSIFICATION</v>
      </c>
      <c r="C680" s="117"/>
      <c r="D680" s="118" t="s">
        <v>154</v>
      </c>
      <c r="E680" s="119"/>
      <c r="F680" s="127"/>
      <c r="G680" s="121">
        <f>IF($E670&gt;0, $E670, $E669)</f>
        <v>5000</v>
      </c>
      <c r="H680" s="122">
        <v>0</v>
      </c>
      <c r="I680" s="128"/>
      <c r="J680" s="121">
        <f>IF($E670&gt;0, $E670, $E669)</f>
        <v>5000</v>
      </c>
      <c r="K680" s="122">
        <v>0</v>
      </c>
      <c r="L680" s="125">
        <f>K680-H680</f>
        <v>0</v>
      </c>
      <c r="M680" s="126" t="str">
        <f>IF(ISERROR(L680/H680), "", L680/H680)</f>
        <v/>
      </c>
    </row>
    <row r="681" spans="1:13" x14ac:dyDescent="0.25">
      <c r="A681" s="100" t="str">
        <f t="shared" si="104"/>
        <v>GENERAL SERVICE LESS THAN 50 KW SERVICE CLASSIFICATION</v>
      </c>
      <c r="C681" s="117"/>
      <c r="D681" s="129" t="s">
        <v>155</v>
      </c>
      <c r="E681" s="119"/>
      <c r="F681" s="120">
        <v>0</v>
      </c>
      <c r="G681" s="121">
        <v>1</v>
      </c>
      <c r="H681" s="122">
        <f t="shared" si="102"/>
        <v>0</v>
      </c>
      <c r="I681" s="123">
        <v>0</v>
      </c>
      <c r="J681" s="124">
        <f>G681</f>
        <v>1</v>
      </c>
      <c r="K681" s="122">
        <f t="shared" ref="K681:K688" si="105">J681*I681</f>
        <v>0</v>
      </c>
      <c r="L681" s="125">
        <f t="shared" si="101"/>
        <v>0</v>
      </c>
      <c r="M681" s="126" t="str">
        <f t="shared" si="103"/>
        <v/>
      </c>
    </row>
    <row r="682" spans="1:13" x14ac:dyDescent="0.25">
      <c r="A682" s="100" t="str">
        <f t="shared" si="104"/>
        <v>GENERAL SERVICE LESS THAN 50 KW SERVICE CLASSIFICATION</v>
      </c>
      <c r="C682" s="117"/>
      <c r="D682" s="118" t="s">
        <v>156</v>
      </c>
      <c r="E682" s="119"/>
      <c r="F682" s="127">
        <v>0</v>
      </c>
      <c r="G682" s="121">
        <f>IF($E670&gt;0, $E670, $E669)</f>
        <v>5000</v>
      </c>
      <c r="H682" s="122">
        <f t="shared" si="102"/>
        <v>0</v>
      </c>
      <c r="I682" s="128">
        <v>0</v>
      </c>
      <c r="J682" s="124">
        <f>IF($E670&gt;0, $E670, $E669)</f>
        <v>5000</v>
      </c>
      <c r="K682" s="122">
        <f t="shared" si="105"/>
        <v>0</v>
      </c>
      <c r="L682" s="125">
        <f t="shared" si="101"/>
        <v>0</v>
      </c>
      <c r="M682" s="126" t="str">
        <f t="shared" si="103"/>
        <v/>
      </c>
    </row>
    <row r="683" spans="1:13" x14ac:dyDescent="0.25">
      <c r="A683" s="100" t="str">
        <f t="shared" si="104"/>
        <v>GENERAL SERVICE LESS THAN 50 KW SERVICE CLASSIFICATION</v>
      </c>
      <c r="B683" s="130" t="s">
        <v>157</v>
      </c>
      <c r="C683" s="117">
        <f>B14</f>
        <v>12</v>
      </c>
      <c r="D683" s="131" t="s">
        <v>158</v>
      </c>
      <c r="E683" s="132"/>
      <c r="F683" s="133"/>
      <c r="G683" s="134"/>
      <c r="H683" s="135">
        <f>SUM(H677:H682)</f>
        <v>79.37</v>
      </c>
      <c r="I683" s="136"/>
      <c r="J683" s="137"/>
      <c r="K683" s="135">
        <f>SUM(K677:K682)</f>
        <v>80.210000000000008</v>
      </c>
      <c r="L683" s="138">
        <f t="shared" si="101"/>
        <v>0.84000000000000341</v>
      </c>
      <c r="M683" s="139">
        <f>IF((H683)=0,"",(L683/H683))</f>
        <v>1.0583343832682416E-2</v>
      </c>
    </row>
    <row r="684" spans="1:13" x14ac:dyDescent="0.25">
      <c r="A684" s="100" t="str">
        <f t="shared" si="104"/>
        <v>GENERAL SERVICE LESS THAN 50 KW SERVICE CLASSIFICATION</v>
      </c>
      <c r="C684" s="117"/>
      <c r="D684" s="140" t="s">
        <v>159</v>
      </c>
      <c r="E684" s="119"/>
      <c r="F684" s="127">
        <f>IF((E669*12&gt;=150000), 0, IF(E668="RPP",(F700*0.65+F701*0.17+F702*0.18),IF(E668="Non-RPP (Retailer)",F703,F704)))</f>
        <v>8.1990000000000007E-2</v>
      </c>
      <c r="G684" s="141">
        <f>IF(F684=0, 0, $E669*E671-E669)</f>
        <v>280</v>
      </c>
      <c r="H684" s="122">
        <f>G684*F684</f>
        <v>22.9572</v>
      </c>
      <c r="I684" s="128">
        <f>IF((E669*12&gt;=150000), 0, IF(E668="RPP",(I700*0.65+I701*0.17+I702*0.18),IF(E668="Non-RPP (Retailer)",I703,I704)))</f>
        <v>8.1990000000000007E-2</v>
      </c>
      <c r="J684" s="141">
        <f>IF(I684=0, 0, E669*E672-E669)</f>
        <v>280</v>
      </c>
      <c r="K684" s="122">
        <f>J684*I684</f>
        <v>22.9572</v>
      </c>
      <c r="L684" s="125">
        <f>K684-H684</f>
        <v>0</v>
      </c>
      <c r="M684" s="126">
        <f>IF(ISERROR(L684/H684), "", L684/H684)</f>
        <v>0</v>
      </c>
    </row>
    <row r="685" spans="1:13" ht="25.5" x14ac:dyDescent="0.25">
      <c r="A685" s="100" t="str">
        <f t="shared" si="104"/>
        <v>GENERAL SERVICE LESS THAN 50 KW SERVICE CLASSIFICATION</v>
      </c>
      <c r="C685" s="117"/>
      <c r="D685" s="140" t="s">
        <v>160</v>
      </c>
      <c r="E685" s="119"/>
      <c r="F685" s="127">
        <v>-1.4E-3</v>
      </c>
      <c r="G685" s="142">
        <f>IF($E670&gt;0, $E670, $E669)</f>
        <v>5000</v>
      </c>
      <c r="H685" s="122">
        <f t="shared" si="102"/>
        <v>-7</v>
      </c>
      <c r="I685" s="128">
        <v>-5.3E-3</v>
      </c>
      <c r="J685" s="142">
        <f>IF($E670&gt;0, $E670, $E669)</f>
        <v>5000</v>
      </c>
      <c r="K685" s="122">
        <f t="shared" si="105"/>
        <v>-26.5</v>
      </c>
      <c r="L685" s="125">
        <f t="shared" si="101"/>
        <v>-19.5</v>
      </c>
      <c r="M685" s="126">
        <f t="shared" si="103"/>
        <v>2.7857142857142856</v>
      </c>
    </row>
    <row r="686" spans="1:13" x14ac:dyDescent="0.25">
      <c r="A686" s="100" t="str">
        <f t="shared" si="104"/>
        <v>GENERAL SERVICE LESS THAN 50 KW SERVICE CLASSIFICATION</v>
      </c>
      <c r="C686" s="117"/>
      <c r="D686" s="140" t="s">
        <v>161</v>
      </c>
      <c r="E686" s="119"/>
      <c r="F686" s="127">
        <v>-1E-4</v>
      </c>
      <c r="G686" s="142">
        <f>IF($E670&gt;0, $E670, $E669)</f>
        <v>5000</v>
      </c>
      <c r="H686" s="122">
        <f>G686*F686</f>
        <v>-0.5</v>
      </c>
      <c r="I686" s="128">
        <v>0</v>
      </c>
      <c r="J686" s="142">
        <f>IF($E670&gt;0, $E670, $E669)</f>
        <v>5000</v>
      </c>
      <c r="K686" s="122">
        <f>J686*I686</f>
        <v>0</v>
      </c>
      <c r="L686" s="125">
        <f t="shared" si="101"/>
        <v>0.5</v>
      </c>
      <c r="M686" s="126">
        <f t="shared" si="103"/>
        <v>-1</v>
      </c>
    </row>
    <row r="687" spans="1:13" x14ac:dyDescent="0.25">
      <c r="A687" s="100" t="str">
        <f t="shared" si="104"/>
        <v>GENERAL SERVICE LESS THAN 50 KW SERVICE CLASSIFICATION</v>
      </c>
      <c r="C687" s="117"/>
      <c r="D687" s="140" t="s">
        <v>162</v>
      </c>
      <c r="E687" s="119"/>
      <c r="F687" s="127">
        <v>0</v>
      </c>
      <c r="G687" s="142">
        <f>E669</f>
        <v>5000</v>
      </c>
      <c r="H687" s="122">
        <f>G687*F687</f>
        <v>0</v>
      </c>
      <c r="I687" s="128">
        <v>0</v>
      </c>
      <c r="J687" s="142">
        <f>E669</f>
        <v>5000</v>
      </c>
      <c r="K687" s="122">
        <f t="shared" si="105"/>
        <v>0</v>
      </c>
      <c r="L687" s="125">
        <f t="shared" si="101"/>
        <v>0</v>
      </c>
      <c r="M687" s="126" t="str">
        <f t="shared" si="103"/>
        <v/>
      </c>
    </row>
    <row r="688" spans="1:13" x14ac:dyDescent="0.25">
      <c r="A688" s="100" t="str">
        <f t="shared" si="104"/>
        <v>GENERAL SERVICE LESS THAN 50 KW SERVICE CLASSIFICATION</v>
      </c>
      <c r="C688" s="117"/>
      <c r="D688" s="143" t="s">
        <v>163</v>
      </c>
      <c r="E688" s="119"/>
      <c r="F688" s="127">
        <v>2.3999999999999998E-3</v>
      </c>
      <c r="G688" s="142">
        <f>IF($E670&gt;0, $E670, $E669)</f>
        <v>5000</v>
      </c>
      <c r="H688" s="122">
        <f t="shared" si="102"/>
        <v>11.999999999999998</v>
      </c>
      <c r="I688" s="128">
        <v>2.3999999999999998E-3</v>
      </c>
      <c r="J688" s="142">
        <f>IF($E670&gt;0, $E670, $E669)</f>
        <v>5000</v>
      </c>
      <c r="K688" s="122">
        <f t="shared" si="105"/>
        <v>11.999999999999998</v>
      </c>
      <c r="L688" s="125">
        <f t="shared" si="101"/>
        <v>0</v>
      </c>
      <c r="M688" s="126">
        <f t="shared" si="103"/>
        <v>0</v>
      </c>
    </row>
    <row r="689" spans="1:13" ht="25.5" x14ac:dyDescent="0.25">
      <c r="A689" s="100" t="str">
        <f t="shared" si="104"/>
        <v>GENERAL SERVICE LESS THAN 50 KW SERVICE CLASSIFICATION</v>
      </c>
      <c r="C689" s="117"/>
      <c r="D689" s="144" t="s">
        <v>164</v>
      </c>
      <c r="E689" s="119"/>
      <c r="F689" s="145">
        <f>IF(OR(ISNUMBER(SEARCH("RESIDENTIAL", E667))=TRUE, ISNUMBER(SEARCH("GENERAL SERVICE LESS THAN 50", E667))=TRUE), SME, 0)</f>
        <v>0.56999999999999995</v>
      </c>
      <c r="G689" s="121">
        <v>1</v>
      </c>
      <c r="H689" s="122">
        <f>G689*F689</f>
        <v>0.56999999999999995</v>
      </c>
      <c r="I689" s="146">
        <f>IF(OR(ISNUMBER(SEARCH("RESIDENTIAL", E667))=TRUE, ISNUMBER(SEARCH("GENERAL SERVICE LESS THAN 50", E667))=TRUE), SME, 0)</f>
        <v>0.56999999999999995</v>
      </c>
      <c r="J689" s="121">
        <v>1</v>
      </c>
      <c r="K689" s="122">
        <f>J689*I689</f>
        <v>0.56999999999999995</v>
      </c>
      <c r="L689" s="125">
        <f t="shared" si="101"/>
        <v>0</v>
      </c>
      <c r="M689" s="126">
        <f>IF(ISERROR(L689/H689), "", L689/H689)</f>
        <v>0</v>
      </c>
    </row>
    <row r="690" spans="1:13" x14ac:dyDescent="0.25">
      <c r="A690" s="100" t="str">
        <f t="shared" si="104"/>
        <v>GENERAL SERVICE LESS THAN 50 KW SERVICE CLASSIFICATION</v>
      </c>
      <c r="C690" s="117"/>
      <c r="D690" s="143" t="s">
        <v>165</v>
      </c>
      <c r="E690" s="119"/>
      <c r="F690" s="120">
        <v>0</v>
      </c>
      <c r="G690" s="121">
        <v>1</v>
      </c>
      <c r="H690" s="122">
        <f t="shared" si="102"/>
        <v>0</v>
      </c>
      <c r="I690" s="123">
        <v>0</v>
      </c>
      <c r="J690" s="121">
        <v>1</v>
      </c>
      <c r="K690" s="122">
        <f>J690*I690</f>
        <v>0</v>
      </c>
      <c r="L690" s="125">
        <f>K690-H690</f>
        <v>0</v>
      </c>
      <c r="M690" s="126" t="str">
        <f>IF(ISERROR(L690/H690), "", L690/H690)</f>
        <v/>
      </c>
    </row>
    <row r="691" spans="1:13" x14ac:dyDescent="0.25">
      <c r="A691" s="100" t="str">
        <f t="shared" si="104"/>
        <v>GENERAL SERVICE LESS THAN 50 KW SERVICE CLASSIFICATION</v>
      </c>
      <c r="C691" s="117"/>
      <c r="D691" s="143" t="s">
        <v>166</v>
      </c>
      <c r="E691" s="119"/>
      <c r="F691" s="127"/>
      <c r="G691" s="142">
        <f>IF($E670&gt;0, $E670, $E669)</f>
        <v>5000</v>
      </c>
      <c r="H691" s="122">
        <f>G691*F691</f>
        <v>0</v>
      </c>
      <c r="I691" s="128">
        <v>0</v>
      </c>
      <c r="J691" s="142">
        <f>IF($E670&gt;0, $E670, $E669)</f>
        <v>5000</v>
      </c>
      <c r="K691" s="122">
        <f>J691*I691</f>
        <v>0</v>
      </c>
      <c r="L691" s="125">
        <f t="shared" si="101"/>
        <v>0</v>
      </c>
      <c r="M691" s="126" t="str">
        <f>IF(ISERROR(L691/H691), "", L691/H691)</f>
        <v/>
      </c>
    </row>
    <row r="692" spans="1:13" ht="25.5" x14ac:dyDescent="0.25">
      <c r="A692" s="100" t="str">
        <f t="shared" si="104"/>
        <v>GENERAL SERVICE LESS THAN 50 KW SERVICE CLASSIFICATION</v>
      </c>
      <c r="B692" s="105" t="s">
        <v>167</v>
      </c>
      <c r="C692" s="117">
        <f>B14</f>
        <v>12</v>
      </c>
      <c r="D692" s="147" t="s">
        <v>168</v>
      </c>
      <c r="E692" s="148"/>
      <c r="F692" s="149"/>
      <c r="G692" s="150"/>
      <c r="H692" s="151">
        <f>SUM(H683:H691)</f>
        <v>107.3972</v>
      </c>
      <c r="I692" s="152"/>
      <c r="J692" s="153"/>
      <c r="K692" s="151">
        <f>SUM(K683:K691)</f>
        <v>89.237200000000001</v>
      </c>
      <c r="L692" s="138">
        <f t="shared" si="101"/>
        <v>-18.159999999999997</v>
      </c>
      <c r="M692" s="139">
        <f>IF((H692)=0,"",(L692/H692))</f>
        <v>-0.16909193163322692</v>
      </c>
    </row>
    <row r="693" spans="1:13" x14ac:dyDescent="0.25">
      <c r="A693" s="100" t="str">
        <f t="shared" si="104"/>
        <v>GENERAL SERVICE LESS THAN 50 KW SERVICE CLASSIFICATION</v>
      </c>
      <c r="C693" s="117"/>
      <c r="D693" s="154" t="s">
        <v>169</v>
      </c>
      <c r="E693" s="119"/>
      <c r="F693" s="127">
        <v>6.0000000000000001E-3</v>
      </c>
      <c r="G693" s="141">
        <f>IF($E670&gt;0, $E670, $E669*$E671)</f>
        <v>5280</v>
      </c>
      <c r="H693" s="122">
        <f>G693*F693</f>
        <v>31.68</v>
      </c>
      <c r="I693" s="128">
        <v>5.7000000000000002E-3</v>
      </c>
      <c r="J693" s="141">
        <f>IF($E670&gt;0, $E670, $E669*$E672)</f>
        <v>5280</v>
      </c>
      <c r="K693" s="122">
        <f>J693*I693</f>
        <v>30.096</v>
      </c>
      <c r="L693" s="125">
        <f t="shared" si="101"/>
        <v>-1.5839999999999996</v>
      </c>
      <c r="M693" s="126">
        <f>IF(ISERROR(L693/H693), "", L693/H693)</f>
        <v>-4.9999999999999989E-2</v>
      </c>
    </row>
    <row r="694" spans="1:13" ht="25.5" x14ac:dyDescent="0.25">
      <c r="A694" s="100" t="str">
        <f t="shared" si="104"/>
        <v>GENERAL SERVICE LESS THAN 50 KW SERVICE CLASSIFICATION</v>
      </c>
      <c r="C694" s="117"/>
      <c r="D694" s="155" t="s">
        <v>170</v>
      </c>
      <c r="E694" s="119"/>
      <c r="F694" s="127">
        <v>5.3E-3</v>
      </c>
      <c r="G694" s="141">
        <f>IF($E670&gt;0, $E670, $E669*$E671)</f>
        <v>5280</v>
      </c>
      <c r="H694" s="122">
        <f>G694*F694</f>
        <v>27.984000000000002</v>
      </c>
      <c r="I694" s="128">
        <v>5.0000000000000001E-3</v>
      </c>
      <c r="J694" s="141">
        <f>IF($E670&gt;0, $E670, $E669*$E672)</f>
        <v>5280</v>
      </c>
      <c r="K694" s="122">
        <f>J694*I694</f>
        <v>26.400000000000002</v>
      </c>
      <c r="L694" s="125">
        <f t="shared" si="101"/>
        <v>-1.5839999999999996</v>
      </c>
      <c r="M694" s="126">
        <f>IF(ISERROR(L694/H694), "", L694/H694)</f>
        <v>-5.6603773584905641E-2</v>
      </c>
    </row>
    <row r="695" spans="1:13" ht="25.5" x14ac:dyDescent="0.25">
      <c r="A695" s="100" t="str">
        <f t="shared" si="104"/>
        <v>GENERAL SERVICE LESS THAN 50 KW SERVICE CLASSIFICATION</v>
      </c>
      <c r="B695" s="105" t="s">
        <v>171</v>
      </c>
      <c r="C695" s="117">
        <f>B14</f>
        <v>12</v>
      </c>
      <c r="D695" s="147" t="s">
        <v>172</v>
      </c>
      <c r="E695" s="132"/>
      <c r="F695" s="149"/>
      <c r="G695" s="150"/>
      <c r="H695" s="151">
        <f>SUM(H692:H694)</f>
        <v>167.06120000000001</v>
      </c>
      <c r="I695" s="152"/>
      <c r="J695" s="137"/>
      <c r="K695" s="151">
        <f>SUM(K692:K694)</f>
        <v>145.73320000000001</v>
      </c>
      <c r="L695" s="138">
        <f t="shared" si="101"/>
        <v>-21.328000000000003</v>
      </c>
      <c r="M695" s="139">
        <f>IF((H695)=0,"",(L695/H695))</f>
        <v>-0.12766578954299385</v>
      </c>
    </row>
    <row r="696" spans="1:13" ht="25.5" x14ac:dyDescent="0.25">
      <c r="A696" s="100" t="str">
        <f t="shared" si="104"/>
        <v>GENERAL SERVICE LESS THAN 50 KW SERVICE CLASSIFICATION</v>
      </c>
      <c r="C696" s="117"/>
      <c r="D696" s="156" t="s">
        <v>173</v>
      </c>
      <c r="E696" s="119"/>
      <c r="F696" s="127">
        <v>3.6000000000000003E-3</v>
      </c>
      <c r="G696" s="141">
        <f>E669*E671</f>
        <v>5280</v>
      </c>
      <c r="H696" s="157">
        <f t="shared" ref="H696:H702" si="106">G696*F696</f>
        <v>19.008000000000003</v>
      </c>
      <c r="I696" s="128">
        <v>3.6000000000000003E-3</v>
      </c>
      <c r="J696" s="141">
        <f>E669*E672</f>
        <v>5280</v>
      </c>
      <c r="K696" s="157">
        <f t="shared" ref="K696:K702" si="107">J696*I696</f>
        <v>19.008000000000003</v>
      </c>
      <c r="L696" s="125">
        <f t="shared" si="101"/>
        <v>0</v>
      </c>
      <c r="M696" s="126">
        <f t="shared" ref="M696:M704" si="108">IF(ISERROR(L696/H696), "", L696/H696)</f>
        <v>0</v>
      </c>
    </row>
    <row r="697" spans="1:13" ht="25.5" x14ac:dyDescent="0.25">
      <c r="A697" s="100" t="str">
        <f t="shared" si="104"/>
        <v>GENERAL SERVICE LESS THAN 50 KW SERVICE CLASSIFICATION</v>
      </c>
      <c r="C697" s="117"/>
      <c r="D697" s="156" t="s">
        <v>174</v>
      </c>
      <c r="E697" s="119"/>
      <c r="F697" s="127">
        <f>'[1]17. Regulatory Charges'!$D$16</f>
        <v>2.9999999999999997E-4</v>
      </c>
      <c r="G697" s="141">
        <f>E669*E671</f>
        <v>5280</v>
      </c>
      <c r="H697" s="157">
        <f t="shared" si="106"/>
        <v>1.5839999999999999</v>
      </c>
      <c r="I697" s="128">
        <v>2.9999999999999997E-4</v>
      </c>
      <c r="J697" s="141">
        <f>E669*E672</f>
        <v>5280</v>
      </c>
      <c r="K697" s="157">
        <f t="shared" si="107"/>
        <v>1.5839999999999999</v>
      </c>
      <c r="L697" s="125">
        <f t="shared" si="101"/>
        <v>0</v>
      </c>
      <c r="M697" s="126">
        <f t="shared" si="108"/>
        <v>0</v>
      </c>
    </row>
    <row r="698" spans="1:13" x14ac:dyDescent="0.25">
      <c r="A698" s="100" t="str">
        <f t="shared" si="104"/>
        <v>GENERAL SERVICE LESS THAN 50 KW SERVICE CLASSIFICATION</v>
      </c>
      <c r="C698" s="117"/>
      <c r="D698" s="158" t="s">
        <v>175</v>
      </c>
      <c r="E698" s="119"/>
      <c r="F698" s="145">
        <v>0.25</v>
      </c>
      <c r="G698" s="121">
        <v>1</v>
      </c>
      <c r="H698" s="157">
        <f t="shared" si="106"/>
        <v>0.25</v>
      </c>
      <c r="I698" s="146">
        <f>'[1]17. Regulatory Charges'!$D$17</f>
        <v>0.25</v>
      </c>
      <c r="J698" s="124">
        <v>1</v>
      </c>
      <c r="K698" s="157">
        <f t="shared" si="107"/>
        <v>0.25</v>
      </c>
      <c r="L698" s="125">
        <f t="shared" si="101"/>
        <v>0</v>
      </c>
      <c r="M698" s="126">
        <f t="shared" si="108"/>
        <v>0</v>
      </c>
    </row>
    <row r="699" spans="1:13" ht="25.5" x14ac:dyDescent="0.25">
      <c r="A699" s="100" t="str">
        <f t="shared" si="104"/>
        <v>GENERAL SERVICE LESS THAN 50 KW SERVICE CLASSIFICATION</v>
      </c>
      <c r="C699" s="117"/>
      <c r="D699" s="156" t="s">
        <v>176</v>
      </c>
      <c r="E699" s="119"/>
      <c r="F699" s="127"/>
      <c r="G699" s="141"/>
      <c r="H699" s="157"/>
      <c r="I699" s="128"/>
      <c r="J699" s="141"/>
      <c r="K699" s="157"/>
      <c r="L699" s="125"/>
      <c r="M699" s="126"/>
    </row>
    <row r="700" spans="1:13" x14ac:dyDescent="0.25">
      <c r="A700" s="100" t="str">
        <f t="shared" si="104"/>
        <v>GENERAL SERVICE LESS THAN 50 KW SERVICE CLASSIFICATION</v>
      </c>
      <c r="B700" s="105" t="s">
        <v>117</v>
      </c>
      <c r="C700" s="117"/>
      <c r="D700" s="159" t="s">
        <v>177</v>
      </c>
      <c r="E700" s="119"/>
      <c r="F700" s="160">
        <f>OffPeak</f>
        <v>6.5000000000000002E-2</v>
      </c>
      <c r="G700" s="161">
        <f>IF(AND(E669*12&gt;=150000),0.65*E669*E671,0.65*E669)</f>
        <v>3250</v>
      </c>
      <c r="H700" s="157">
        <f t="shared" si="106"/>
        <v>211.25</v>
      </c>
      <c r="I700" s="162">
        <f>OffPeak</f>
        <v>6.5000000000000002E-2</v>
      </c>
      <c r="J700" s="161">
        <f>IF(AND(E669*12&gt;=150000),0.65*E669*E672,0.65*E669)</f>
        <v>3250</v>
      </c>
      <c r="K700" s="157">
        <f t="shared" si="107"/>
        <v>211.25</v>
      </c>
      <c r="L700" s="125">
        <f>K700-H700</f>
        <v>0</v>
      </c>
      <c r="M700" s="126">
        <f t="shared" si="108"/>
        <v>0</v>
      </c>
    </row>
    <row r="701" spans="1:13" x14ac:dyDescent="0.25">
      <c r="A701" s="100" t="str">
        <f t="shared" si="104"/>
        <v>GENERAL SERVICE LESS THAN 50 KW SERVICE CLASSIFICATION</v>
      </c>
      <c r="B701" s="105" t="s">
        <v>117</v>
      </c>
      <c r="C701" s="117"/>
      <c r="D701" s="159" t="s">
        <v>178</v>
      </c>
      <c r="E701" s="119"/>
      <c r="F701" s="160">
        <f>MidPeak</f>
        <v>9.4E-2</v>
      </c>
      <c r="G701" s="161">
        <f>IF(AND(E669*12&gt;=150000),0.17*E669*E671,0.17*E669)</f>
        <v>850.00000000000011</v>
      </c>
      <c r="H701" s="157">
        <f t="shared" si="106"/>
        <v>79.900000000000006</v>
      </c>
      <c r="I701" s="162">
        <f>MidPeak</f>
        <v>9.4E-2</v>
      </c>
      <c r="J701" s="161">
        <f>IF(AND(E669*12&gt;=150000),0.17*E669*E672,0.17*E669)</f>
        <v>850.00000000000011</v>
      </c>
      <c r="K701" s="157">
        <f t="shared" si="107"/>
        <v>79.900000000000006</v>
      </c>
      <c r="L701" s="125">
        <f>K701-H701</f>
        <v>0</v>
      </c>
      <c r="M701" s="126">
        <f t="shared" si="108"/>
        <v>0</v>
      </c>
    </row>
    <row r="702" spans="1:13" ht="15.75" thickBot="1" x14ac:dyDescent="0.3">
      <c r="A702" s="100" t="str">
        <f t="shared" si="104"/>
        <v>GENERAL SERVICE LESS THAN 50 KW SERVICE CLASSIFICATION</v>
      </c>
      <c r="B702" s="105" t="s">
        <v>117</v>
      </c>
      <c r="C702" s="117"/>
      <c r="D702" s="105" t="s">
        <v>179</v>
      </c>
      <c r="E702" s="119"/>
      <c r="F702" s="160">
        <f>OnPeak</f>
        <v>0.13200000000000001</v>
      </c>
      <c r="G702" s="161">
        <f>IF(AND(E669*12&gt;=150000),0.18*E669*E671,0.18*E669)</f>
        <v>900</v>
      </c>
      <c r="H702" s="157">
        <f t="shared" si="106"/>
        <v>118.80000000000001</v>
      </c>
      <c r="I702" s="162">
        <f>OnPeak</f>
        <v>0.13200000000000001</v>
      </c>
      <c r="J702" s="161">
        <f>IF(AND(E669*12&gt;=150000),0.18*E669*E672,0.18*E669)</f>
        <v>900</v>
      </c>
      <c r="K702" s="157">
        <f t="shared" si="107"/>
        <v>118.80000000000001</v>
      </c>
      <c r="L702" s="125">
        <f>K702-H702</f>
        <v>0</v>
      </c>
      <c r="M702" s="126">
        <f t="shared" si="108"/>
        <v>0</v>
      </c>
    </row>
    <row r="703" spans="1:13" ht="15.75" hidden="1" thickBot="1" x14ac:dyDescent="0.3">
      <c r="A703" s="100" t="str">
        <f t="shared" si="104"/>
        <v>GENERAL SERVICE LESS THAN 50 KW SERVICE CLASSIFICATION</v>
      </c>
      <c r="B703" s="100" t="s">
        <v>180</v>
      </c>
      <c r="C703" s="117"/>
      <c r="D703" s="159" t="s">
        <v>181</v>
      </c>
      <c r="E703" s="119"/>
      <c r="F703" s="163">
        <v>0.1101</v>
      </c>
      <c r="G703" s="161">
        <f>IF(AND(E669*12&gt;=150000),E669*E671,E669)</f>
        <v>5000</v>
      </c>
      <c r="H703" s="157">
        <f>G703*F703</f>
        <v>550.5</v>
      </c>
      <c r="I703" s="164">
        <f>F703</f>
        <v>0.1101</v>
      </c>
      <c r="J703" s="161">
        <f>IF(AND(E669*12&gt;=150000),E669*E672,E669)</f>
        <v>5000</v>
      </c>
      <c r="K703" s="157">
        <f>J703*I703</f>
        <v>550.5</v>
      </c>
      <c r="L703" s="125">
        <f>K703-H703</f>
        <v>0</v>
      </c>
      <c r="M703" s="126">
        <f t="shared" si="108"/>
        <v>0</v>
      </c>
    </row>
    <row r="704" spans="1:13" ht="15.75" hidden="1" thickBot="1" x14ac:dyDescent="0.3">
      <c r="A704" s="100" t="str">
        <f t="shared" si="104"/>
        <v>GENERAL SERVICE LESS THAN 50 KW SERVICE CLASSIFICATION</v>
      </c>
      <c r="B704" s="100" t="s">
        <v>121</v>
      </c>
      <c r="C704" s="117"/>
      <c r="D704" s="159" t="s">
        <v>182</v>
      </c>
      <c r="E704" s="119"/>
      <c r="F704" s="163">
        <v>0.1101</v>
      </c>
      <c r="G704" s="161">
        <f>IF(AND(E669*12&gt;=150000),E669*E671,E669)</f>
        <v>5000</v>
      </c>
      <c r="H704" s="157">
        <f>G704*F704</f>
        <v>550.5</v>
      </c>
      <c r="I704" s="164">
        <f>F704</f>
        <v>0.1101</v>
      </c>
      <c r="J704" s="161">
        <f>IF(AND(E669*12&gt;=150000),E669*E672,E669)</f>
        <v>5000</v>
      </c>
      <c r="K704" s="157">
        <f>J704*I704</f>
        <v>550.5</v>
      </c>
      <c r="L704" s="125">
        <f>K704-H704</f>
        <v>0</v>
      </c>
      <c r="M704" s="126">
        <f t="shared" si="108"/>
        <v>0</v>
      </c>
    </row>
    <row r="705" spans="1:13" ht="15.75" thickBot="1" x14ac:dyDescent="0.3">
      <c r="A705" s="100" t="str">
        <f t="shared" si="104"/>
        <v>GENERAL SERVICE LESS THAN 50 KW SERVICE CLASSIFICATION</v>
      </c>
      <c r="B705" s="105"/>
      <c r="C705" s="117"/>
      <c r="D705" s="165"/>
      <c r="E705" s="166"/>
      <c r="F705" s="167"/>
      <c r="G705" s="168"/>
      <c r="H705" s="169"/>
      <c r="I705" s="167"/>
      <c r="J705" s="170"/>
      <c r="K705" s="169"/>
      <c r="L705" s="171"/>
      <c r="M705" s="172"/>
    </row>
    <row r="706" spans="1:13" x14ac:dyDescent="0.25">
      <c r="A706" s="100" t="str">
        <f t="shared" si="104"/>
        <v>GENERAL SERVICE LESS THAN 50 KW SERVICE CLASSIFICATION</v>
      </c>
      <c r="B706" s="105" t="s">
        <v>117</v>
      </c>
      <c r="C706" s="117"/>
      <c r="D706" s="173" t="s">
        <v>183</v>
      </c>
      <c r="E706" s="158"/>
      <c r="F706" s="174"/>
      <c r="G706" s="175"/>
      <c r="H706" s="176">
        <f>SUM(H696:H702,H695)</f>
        <v>597.85320000000002</v>
      </c>
      <c r="I706" s="177"/>
      <c r="J706" s="177"/>
      <c r="K706" s="176">
        <f>SUM(K696:K702,K695)</f>
        <v>576.52520000000004</v>
      </c>
      <c r="L706" s="178">
        <f>K706-H706</f>
        <v>-21.327999999999975</v>
      </c>
      <c r="M706" s="179">
        <f>IF((H706)=0,"",(L706/H706))</f>
        <v>-3.5674309345504841E-2</v>
      </c>
    </row>
    <row r="707" spans="1:13" x14ac:dyDescent="0.25">
      <c r="A707" s="100" t="str">
        <f t="shared" si="104"/>
        <v>GENERAL SERVICE LESS THAN 50 KW SERVICE CLASSIFICATION</v>
      </c>
      <c r="B707" s="105" t="s">
        <v>117</v>
      </c>
      <c r="C707" s="117"/>
      <c r="D707" s="180" t="s">
        <v>184</v>
      </c>
      <c r="E707" s="158"/>
      <c r="F707" s="174">
        <v>0.13</v>
      </c>
      <c r="G707" s="181"/>
      <c r="H707" s="182">
        <f>H706*F707</f>
        <v>77.720916000000003</v>
      </c>
      <c r="I707" s="183">
        <v>0.13</v>
      </c>
      <c r="J707" s="121"/>
      <c r="K707" s="182">
        <f>K706*I707</f>
        <v>74.948276000000007</v>
      </c>
      <c r="L707" s="184">
        <f>K707-H707</f>
        <v>-2.7726399999999956</v>
      </c>
      <c r="M707" s="185">
        <f>IF((H707)=0,"",(L707/H707))</f>
        <v>-3.5674309345504827E-2</v>
      </c>
    </row>
    <row r="708" spans="1:13" x14ac:dyDescent="0.25">
      <c r="A708" s="100" t="str">
        <f t="shared" si="104"/>
        <v>GENERAL SERVICE LESS THAN 50 KW SERVICE CLASSIFICATION</v>
      </c>
      <c r="B708" s="105" t="s">
        <v>117</v>
      </c>
      <c r="C708" s="117"/>
      <c r="D708" s="180" t="s">
        <v>185</v>
      </c>
      <c r="E708" s="158"/>
      <c r="F708" s="174">
        <v>0.08</v>
      </c>
      <c r="G708" s="181"/>
      <c r="H708" s="182">
        <f>H706*-F708</f>
        <v>-47.828256000000003</v>
      </c>
      <c r="I708" s="174">
        <v>0.08</v>
      </c>
      <c r="J708" s="121"/>
      <c r="K708" s="182">
        <f>K706*-I708</f>
        <v>-46.122016000000002</v>
      </c>
      <c r="L708" s="184">
        <f>K708-H708</f>
        <v>1.7062400000000011</v>
      </c>
      <c r="M708" s="185"/>
    </row>
    <row r="709" spans="1:13" ht="15.75" thickBot="1" x14ac:dyDescent="0.3">
      <c r="A709" s="100" t="str">
        <f t="shared" si="104"/>
        <v>GENERAL SERVICE LESS THAN 50 KW SERVICE CLASSIFICATION</v>
      </c>
      <c r="B709" s="105" t="s">
        <v>186</v>
      </c>
      <c r="C709" s="117">
        <f>B14</f>
        <v>12</v>
      </c>
      <c r="D709" s="301" t="s">
        <v>187</v>
      </c>
      <c r="E709" s="301"/>
      <c r="F709" s="186"/>
      <c r="G709" s="187"/>
      <c r="H709" s="188">
        <f>H706+H707+H708</f>
        <v>627.74585999999999</v>
      </c>
      <c r="I709" s="189"/>
      <c r="J709" s="189"/>
      <c r="K709" s="190">
        <f>K706+K707+K708</f>
        <v>605.35145999999997</v>
      </c>
      <c r="L709" s="191">
        <f>K709-H709</f>
        <v>-22.394400000000019</v>
      </c>
      <c r="M709" s="192">
        <f>IF((H709)=0,"",(L709/H709))</f>
        <v>-3.5674309345504911E-2</v>
      </c>
    </row>
    <row r="710" spans="1:13" ht="15.75" hidden="1" thickBot="1" x14ac:dyDescent="0.3">
      <c r="A710" s="100" t="str">
        <f t="shared" si="104"/>
        <v>GENERAL SERVICE LESS THAN 50 KW SERVICE CLASSIFICATION</v>
      </c>
      <c r="B710" s="100" t="s">
        <v>117</v>
      </c>
      <c r="C710" s="117"/>
      <c r="D710" s="165"/>
      <c r="E710" s="166"/>
      <c r="F710" s="167"/>
      <c r="G710" s="168"/>
      <c r="H710" s="169"/>
      <c r="I710" s="167"/>
      <c r="J710" s="170"/>
      <c r="K710" s="169"/>
      <c r="L710" s="171"/>
      <c r="M710" s="172"/>
    </row>
    <row r="711" spans="1:13" ht="15.75" hidden="1" thickBot="1" x14ac:dyDescent="0.3">
      <c r="A711" s="100" t="str">
        <f t="shared" si="104"/>
        <v>GENERAL SERVICE LESS THAN 50 KW SERVICE CLASSIFICATION</v>
      </c>
      <c r="B711" s="100" t="s">
        <v>180</v>
      </c>
      <c r="C711" s="117"/>
      <c r="D711" s="173" t="s">
        <v>188</v>
      </c>
      <c r="E711" s="158"/>
      <c r="F711" s="174"/>
      <c r="G711" s="175"/>
      <c r="H711" s="176">
        <f>SUM(H703,H696:H699,H695)</f>
        <v>738.40319999999997</v>
      </c>
      <c r="I711" s="177"/>
      <c r="J711" s="177"/>
      <c r="K711" s="176">
        <f>SUM(K703,K696:K699,K695)</f>
        <v>717.0752</v>
      </c>
      <c r="L711" s="178">
        <f>K711-H711</f>
        <v>-21.327999999999975</v>
      </c>
      <c r="M711" s="179">
        <f>IF((H711)=0,"",(L711/H711))</f>
        <v>-2.8883948498598024E-2</v>
      </c>
    </row>
    <row r="712" spans="1:13" ht="15.75" hidden="1" thickBot="1" x14ac:dyDescent="0.3">
      <c r="A712" s="100" t="str">
        <f t="shared" si="104"/>
        <v>GENERAL SERVICE LESS THAN 50 KW SERVICE CLASSIFICATION</v>
      </c>
      <c r="B712" s="100" t="s">
        <v>180</v>
      </c>
      <c r="C712" s="117"/>
      <c r="D712" s="180" t="s">
        <v>184</v>
      </c>
      <c r="E712" s="158"/>
      <c r="F712" s="174">
        <v>0.13</v>
      </c>
      <c r="G712" s="175"/>
      <c r="H712" s="182">
        <f>H711*F712</f>
        <v>95.992416000000006</v>
      </c>
      <c r="I712" s="174">
        <v>0.13</v>
      </c>
      <c r="J712" s="183"/>
      <c r="K712" s="182">
        <f>K711*I712</f>
        <v>93.219775999999996</v>
      </c>
      <c r="L712" s="184">
        <f>K712-H712</f>
        <v>-2.7726400000000098</v>
      </c>
      <c r="M712" s="185">
        <f>IF((H712)=0,"",(L712/H712))</f>
        <v>-2.8883948498598155E-2</v>
      </c>
    </row>
    <row r="713" spans="1:13" ht="15.75" hidden="1" thickBot="1" x14ac:dyDescent="0.3">
      <c r="A713" s="100" t="str">
        <f t="shared" si="104"/>
        <v>GENERAL SERVICE LESS THAN 50 KW SERVICE CLASSIFICATION</v>
      </c>
      <c r="B713" s="100" t="s">
        <v>180</v>
      </c>
      <c r="C713" s="117"/>
      <c r="D713" s="180" t="s">
        <v>185</v>
      </c>
      <c r="E713" s="158"/>
      <c r="F713" s="174">
        <v>0.08</v>
      </c>
      <c r="G713" s="175"/>
      <c r="H713" s="182"/>
      <c r="I713" s="174">
        <v>0.08</v>
      </c>
      <c r="J713" s="183"/>
      <c r="K713" s="182"/>
      <c r="L713" s="184"/>
      <c r="M713" s="185"/>
    </row>
    <row r="714" spans="1:13" ht="15.75" hidden="1" thickBot="1" x14ac:dyDescent="0.3">
      <c r="A714" s="100" t="str">
        <f t="shared" si="104"/>
        <v>GENERAL SERVICE LESS THAN 50 KW SERVICE CLASSIFICATION</v>
      </c>
      <c r="B714" s="100" t="s">
        <v>189</v>
      </c>
      <c r="C714" s="117"/>
      <c r="D714" s="301" t="s">
        <v>188</v>
      </c>
      <c r="E714" s="301"/>
      <c r="F714" s="193"/>
      <c r="G714" s="194"/>
      <c r="H714" s="188">
        <f>SUM(H711,H712)</f>
        <v>834.39561600000002</v>
      </c>
      <c r="I714" s="195"/>
      <c r="J714" s="195"/>
      <c r="K714" s="188">
        <f>SUM(K711,K712)</f>
        <v>810.29497600000002</v>
      </c>
      <c r="L714" s="196">
        <f>K714-H714</f>
        <v>-24.100639999999999</v>
      </c>
      <c r="M714" s="197">
        <f>IF((H714)=0,"",(L714/H714))</f>
        <v>-2.8883948498598055E-2</v>
      </c>
    </row>
    <row r="715" spans="1:13" ht="15.75" hidden="1" thickBot="1" x14ac:dyDescent="0.3">
      <c r="A715" s="100" t="str">
        <f t="shared" si="104"/>
        <v>GENERAL SERVICE LESS THAN 50 KW SERVICE CLASSIFICATION</v>
      </c>
      <c r="B715" s="100" t="s">
        <v>180</v>
      </c>
      <c r="C715" s="117"/>
      <c r="D715" s="165"/>
      <c r="E715" s="166"/>
      <c r="F715" s="198"/>
      <c r="G715" s="199"/>
      <c r="H715" s="200"/>
      <c r="I715" s="198"/>
      <c r="J715" s="168"/>
      <c r="K715" s="200"/>
      <c r="L715" s="201"/>
      <c r="M715" s="172"/>
    </row>
    <row r="716" spans="1:13" ht="15.75" hidden="1" thickBot="1" x14ac:dyDescent="0.3">
      <c r="A716" s="100" t="str">
        <f t="shared" si="104"/>
        <v>GENERAL SERVICE LESS THAN 50 KW SERVICE CLASSIFICATION</v>
      </c>
      <c r="B716" s="100" t="s">
        <v>121</v>
      </c>
      <c r="C716" s="117"/>
      <c r="D716" s="173" t="s">
        <v>190</v>
      </c>
      <c r="E716" s="158"/>
      <c r="F716" s="174"/>
      <c r="G716" s="175"/>
      <c r="H716" s="176">
        <f>SUM(H704,H696:H699,H695)</f>
        <v>738.40319999999997</v>
      </c>
      <c r="I716" s="177"/>
      <c r="J716" s="177"/>
      <c r="K716" s="176">
        <f>SUM(K704,K696:K699,K695)</f>
        <v>717.0752</v>
      </c>
      <c r="L716" s="178">
        <f>K716-H716</f>
        <v>-21.327999999999975</v>
      </c>
      <c r="M716" s="179">
        <f>IF((H716)=0,"",(L716/H716))</f>
        <v>-2.8883948498598024E-2</v>
      </c>
    </row>
    <row r="717" spans="1:13" ht="15.75" hidden="1" thickBot="1" x14ac:dyDescent="0.3">
      <c r="A717" s="100" t="str">
        <f t="shared" si="104"/>
        <v>GENERAL SERVICE LESS THAN 50 KW SERVICE CLASSIFICATION</v>
      </c>
      <c r="B717" s="100" t="s">
        <v>121</v>
      </c>
      <c r="C717" s="117"/>
      <c r="D717" s="180" t="s">
        <v>184</v>
      </c>
      <c r="E717" s="158"/>
      <c r="F717" s="174">
        <v>0.13</v>
      </c>
      <c r="G717" s="175"/>
      <c r="H717" s="182">
        <f>H716*F717</f>
        <v>95.992416000000006</v>
      </c>
      <c r="I717" s="174">
        <v>0.13</v>
      </c>
      <c r="J717" s="183"/>
      <c r="K717" s="182">
        <f>K716*I717</f>
        <v>93.219775999999996</v>
      </c>
      <c r="L717" s="184">
        <f>K717-H717</f>
        <v>-2.7726400000000098</v>
      </c>
      <c r="M717" s="185">
        <f>IF((H717)=0,"",(L717/H717))</f>
        <v>-2.8883948498598155E-2</v>
      </c>
    </row>
    <row r="718" spans="1:13" ht="15.75" hidden="1" thickBot="1" x14ac:dyDescent="0.3">
      <c r="A718" s="100" t="str">
        <f t="shared" si="104"/>
        <v>GENERAL SERVICE LESS THAN 50 KW SERVICE CLASSIFICATION</v>
      </c>
      <c r="B718" s="100" t="s">
        <v>121</v>
      </c>
      <c r="C718" s="117"/>
      <c r="D718" s="180" t="s">
        <v>185</v>
      </c>
      <c r="E718" s="158"/>
      <c r="F718" s="174">
        <v>0.08</v>
      </c>
      <c r="G718" s="175"/>
      <c r="H718" s="182"/>
      <c r="I718" s="174">
        <v>0.08</v>
      </c>
      <c r="J718" s="183"/>
      <c r="K718" s="182"/>
      <c r="L718" s="184"/>
      <c r="M718" s="185"/>
    </row>
    <row r="719" spans="1:13" ht="15.75" hidden="1" thickBot="1" x14ac:dyDescent="0.3">
      <c r="A719" s="100" t="str">
        <f t="shared" si="104"/>
        <v>GENERAL SERVICE LESS THAN 50 KW SERVICE CLASSIFICATION</v>
      </c>
      <c r="B719" s="100" t="s">
        <v>191</v>
      </c>
      <c r="C719" s="117"/>
      <c r="D719" s="301" t="s">
        <v>190</v>
      </c>
      <c r="E719" s="301"/>
      <c r="F719" s="193"/>
      <c r="G719" s="194"/>
      <c r="H719" s="188">
        <f>SUM(H716,H717)</f>
        <v>834.39561600000002</v>
      </c>
      <c r="I719" s="195"/>
      <c r="J719" s="195"/>
      <c r="K719" s="188">
        <f>SUM(K716,K717)</f>
        <v>810.29497600000002</v>
      </c>
      <c r="L719" s="196">
        <f>K719-H719</f>
        <v>-24.100639999999999</v>
      </c>
      <c r="M719" s="197">
        <f>IF((H719)=0,"",(L719/H719))</f>
        <v>-2.8883948498598055E-2</v>
      </c>
    </row>
    <row r="720" spans="1:13" ht="15.75" thickBot="1" x14ac:dyDescent="0.3">
      <c r="A720" s="100" t="str">
        <f t="shared" si="104"/>
        <v>GENERAL SERVICE LESS THAN 50 KW SERVICE CLASSIFICATION</v>
      </c>
      <c r="B720" s="100" t="s">
        <v>121</v>
      </c>
      <c r="C720" s="117"/>
      <c r="D720" s="165"/>
      <c r="E720" s="166"/>
      <c r="F720" s="202"/>
      <c r="G720" s="203"/>
      <c r="H720" s="204"/>
      <c r="I720" s="202"/>
      <c r="J720" s="205"/>
      <c r="K720" s="204"/>
      <c r="L720" s="206"/>
      <c r="M720" s="207"/>
    </row>
    <row r="723" spans="1:13" x14ac:dyDescent="0.25">
      <c r="C723" s="100"/>
      <c r="D723" s="101" t="s">
        <v>134</v>
      </c>
      <c r="E723" s="302" t="str">
        <f>D15</f>
        <v>GENERAL SERVICE LESS THAN 50 KW SERVICE CLASSIFICATION</v>
      </c>
      <c r="F723" s="302"/>
      <c r="G723" s="302"/>
      <c r="H723" s="302"/>
      <c r="I723" s="302"/>
      <c r="J723" s="302"/>
      <c r="K723" s="100" t="str">
        <f>IF(N15="DEMAND - INTERVAL","RTSR - INTERVAL METERED","")</f>
        <v/>
      </c>
    </row>
    <row r="724" spans="1:13" x14ac:dyDescent="0.25">
      <c r="C724" s="100"/>
      <c r="D724" s="101" t="s">
        <v>135</v>
      </c>
      <c r="E724" s="303" t="str">
        <f>H15</f>
        <v>RPP</v>
      </c>
      <c r="F724" s="303"/>
      <c r="G724" s="303"/>
      <c r="H724" s="102"/>
      <c r="I724" s="102"/>
    </row>
    <row r="725" spans="1:13" ht="15.75" x14ac:dyDescent="0.25">
      <c r="C725" s="100"/>
      <c r="D725" s="101" t="s">
        <v>136</v>
      </c>
      <c r="E725" s="103">
        <f>K15</f>
        <v>15000</v>
      </c>
      <c r="F725" s="104" t="s">
        <v>137</v>
      </c>
      <c r="G725" s="105"/>
      <c r="J725" s="106"/>
      <c r="K725" s="106"/>
      <c r="L725" s="106"/>
      <c r="M725" s="106"/>
    </row>
    <row r="726" spans="1:13" ht="15.75" x14ac:dyDescent="0.25">
      <c r="C726" s="100"/>
      <c r="D726" s="101" t="s">
        <v>138</v>
      </c>
      <c r="E726" s="103">
        <f>L15</f>
        <v>0</v>
      </c>
      <c r="F726" s="107" t="s">
        <v>139</v>
      </c>
      <c r="G726" s="108"/>
      <c r="H726" s="109"/>
      <c r="I726" s="109"/>
      <c r="J726" s="109"/>
    </row>
    <row r="727" spans="1:13" x14ac:dyDescent="0.25">
      <c r="C727" s="100"/>
      <c r="D727" s="101" t="s">
        <v>140</v>
      </c>
      <c r="E727" s="110">
        <f>I15</f>
        <v>1.056</v>
      </c>
    </row>
    <row r="728" spans="1:13" x14ac:dyDescent="0.25">
      <c r="C728" s="100"/>
      <c r="D728" s="101" t="s">
        <v>141</v>
      </c>
      <c r="E728" s="110">
        <f>J15</f>
        <v>1.056</v>
      </c>
    </row>
    <row r="729" spans="1:13" x14ac:dyDescent="0.25">
      <c r="C729" s="100"/>
      <c r="D729" s="105"/>
    </row>
    <row r="730" spans="1:13" x14ac:dyDescent="0.25">
      <c r="C730" s="100"/>
      <c r="D730" s="105"/>
      <c r="E730" s="111"/>
      <c r="F730" s="304" t="s">
        <v>142</v>
      </c>
      <c r="G730" s="305"/>
      <c r="H730" s="306"/>
      <c r="I730" s="304" t="s">
        <v>143</v>
      </c>
      <c r="J730" s="305"/>
      <c r="K730" s="306"/>
      <c r="L730" s="304" t="s">
        <v>144</v>
      </c>
      <c r="M730" s="306"/>
    </row>
    <row r="731" spans="1:13" x14ac:dyDescent="0.25">
      <c r="C731" s="100"/>
      <c r="D731" s="105"/>
      <c r="E731" s="295"/>
      <c r="F731" s="112" t="s">
        <v>145</v>
      </c>
      <c r="G731" s="112" t="s">
        <v>146</v>
      </c>
      <c r="H731" s="113" t="s">
        <v>147</v>
      </c>
      <c r="I731" s="112" t="s">
        <v>145</v>
      </c>
      <c r="J731" s="114" t="s">
        <v>146</v>
      </c>
      <c r="K731" s="113" t="s">
        <v>147</v>
      </c>
      <c r="L731" s="297" t="s">
        <v>148</v>
      </c>
      <c r="M731" s="299" t="s">
        <v>149</v>
      </c>
    </row>
    <row r="732" spans="1:13" x14ac:dyDescent="0.25">
      <c r="C732" s="100"/>
      <c r="D732" s="105"/>
      <c r="E732" s="296"/>
      <c r="F732" s="115" t="s">
        <v>150</v>
      </c>
      <c r="G732" s="115"/>
      <c r="H732" s="116" t="s">
        <v>150</v>
      </c>
      <c r="I732" s="115" t="s">
        <v>150</v>
      </c>
      <c r="J732" s="116"/>
      <c r="K732" s="116" t="s">
        <v>150</v>
      </c>
      <c r="L732" s="298"/>
      <c r="M732" s="300"/>
    </row>
    <row r="733" spans="1:13" x14ac:dyDescent="0.25">
      <c r="A733" s="100" t="str">
        <f>$E723</f>
        <v>GENERAL SERVICE LESS THAN 50 KW SERVICE CLASSIFICATION</v>
      </c>
      <c r="C733" s="117"/>
      <c r="D733" s="118" t="s">
        <v>151</v>
      </c>
      <c r="E733" s="119"/>
      <c r="F733" s="120">
        <v>28.37</v>
      </c>
      <c r="G733" s="121">
        <v>1</v>
      </c>
      <c r="H733" s="122">
        <f>G733*F733</f>
        <v>28.37</v>
      </c>
      <c r="I733" s="123">
        <v>28.71</v>
      </c>
      <c r="J733" s="124">
        <f>G733</f>
        <v>1</v>
      </c>
      <c r="K733" s="122">
        <f>J733*I733</f>
        <v>28.71</v>
      </c>
      <c r="L733" s="125">
        <f t="shared" ref="L733:L754" si="109">K733-H733</f>
        <v>0.33999999999999986</v>
      </c>
      <c r="M733" s="126">
        <f>IF(ISERROR(L733/H733), "", L733/H733)</f>
        <v>1.198449065914698E-2</v>
      </c>
    </row>
    <row r="734" spans="1:13" x14ac:dyDescent="0.25">
      <c r="A734" s="100" t="str">
        <f>A733</f>
        <v>GENERAL SERVICE LESS THAN 50 KW SERVICE CLASSIFICATION</v>
      </c>
      <c r="C734" s="117"/>
      <c r="D734" s="118" t="s">
        <v>152</v>
      </c>
      <c r="E734" s="119"/>
      <c r="F734" s="127">
        <v>1.0200000000000001E-2</v>
      </c>
      <c r="G734" s="121">
        <f>IF($E726&gt;0, $E726, $E725)</f>
        <v>15000</v>
      </c>
      <c r="H734" s="122">
        <f t="shared" ref="H734:H746" si="110">G734*F734</f>
        <v>153</v>
      </c>
      <c r="I734" s="128">
        <v>1.03E-2</v>
      </c>
      <c r="J734" s="124">
        <f>IF($E726&gt;0, $E726, $E725)</f>
        <v>15000</v>
      </c>
      <c r="K734" s="122">
        <f>J734*I734</f>
        <v>154.5</v>
      </c>
      <c r="L734" s="125">
        <f t="shared" si="109"/>
        <v>1.5</v>
      </c>
      <c r="M734" s="126">
        <f t="shared" ref="M734:M744" si="111">IF(ISERROR(L734/H734), "", L734/H734)</f>
        <v>9.8039215686274508E-3</v>
      </c>
    </row>
    <row r="735" spans="1:13" x14ac:dyDescent="0.25">
      <c r="A735" s="100" t="str">
        <f t="shared" ref="A735:A776" si="112">A734</f>
        <v>GENERAL SERVICE LESS THAN 50 KW SERVICE CLASSIFICATION</v>
      </c>
      <c r="C735" s="117"/>
      <c r="D735" s="118" t="s">
        <v>153</v>
      </c>
      <c r="E735" s="119"/>
      <c r="F735" s="127"/>
      <c r="G735" s="121">
        <f>IF($E726&gt;0, $E726, $E725)</f>
        <v>15000</v>
      </c>
      <c r="H735" s="122">
        <v>0</v>
      </c>
      <c r="I735" s="128"/>
      <c r="J735" s="124">
        <f>IF($E726&gt;0, $E726, $E725)</f>
        <v>15000</v>
      </c>
      <c r="K735" s="122">
        <v>0</v>
      </c>
      <c r="L735" s="125"/>
      <c r="M735" s="126"/>
    </row>
    <row r="736" spans="1:13" x14ac:dyDescent="0.25">
      <c r="A736" s="100" t="str">
        <f t="shared" si="112"/>
        <v>GENERAL SERVICE LESS THAN 50 KW SERVICE CLASSIFICATION</v>
      </c>
      <c r="C736" s="117"/>
      <c r="D736" s="118" t="s">
        <v>154</v>
      </c>
      <c r="E736" s="119"/>
      <c r="F736" s="127"/>
      <c r="G736" s="121">
        <f>IF($E726&gt;0, $E726, $E725)</f>
        <v>15000</v>
      </c>
      <c r="H736" s="122">
        <v>0</v>
      </c>
      <c r="I736" s="128"/>
      <c r="J736" s="121">
        <f>IF($E726&gt;0, $E726, $E725)</f>
        <v>15000</v>
      </c>
      <c r="K736" s="122">
        <v>0</v>
      </c>
      <c r="L736" s="125">
        <f>K736-H736</f>
        <v>0</v>
      </c>
      <c r="M736" s="126" t="str">
        <f>IF(ISERROR(L736/H736), "", L736/H736)</f>
        <v/>
      </c>
    </row>
    <row r="737" spans="1:13" x14ac:dyDescent="0.25">
      <c r="A737" s="100" t="str">
        <f t="shared" si="112"/>
        <v>GENERAL SERVICE LESS THAN 50 KW SERVICE CLASSIFICATION</v>
      </c>
      <c r="C737" s="117"/>
      <c r="D737" s="129" t="s">
        <v>155</v>
      </c>
      <c r="E737" s="119"/>
      <c r="F737" s="120">
        <v>0</v>
      </c>
      <c r="G737" s="121">
        <v>1</v>
      </c>
      <c r="H737" s="122">
        <f t="shared" si="110"/>
        <v>0</v>
      </c>
      <c r="I737" s="123">
        <v>0</v>
      </c>
      <c r="J737" s="124">
        <f>G737</f>
        <v>1</v>
      </c>
      <c r="K737" s="122">
        <f t="shared" ref="K737:K744" si="113">J737*I737</f>
        <v>0</v>
      </c>
      <c r="L737" s="125">
        <f t="shared" si="109"/>
        <v>0</v>
      </c>
      <c r="M737" s="126" t="str">
        <f t="shared" si="111"/>
        <v/>
      </c>
    </row>
    <row r="738" spans="1:13" x14ac:dyDescent="0.25">
      <c r="A738" s="100" t="str">
        <f t="shared" si="112"/>
        <v>GENERAL SERVICE LESS THAN 50 KW SERVICE CLASSIFICATION</v>
      </c>
      <c r="C738" s="117"/>
      <c r="D738" s="118" t="s">
        <v>156</v>
      </c>
      <c r="E738" s="119"/>
      <c r="F738" s="127">
        <v>0</v>
      </c>
      <c r="G738" s="121">
        <f>IF($E726&gt;0, $E726, $E725)</f>
        <v>15000</v>
      </c>
      <c r="H738" s="122">
        <f t="shared" si="110"/>
        <v>0</v>
      </c>
      <c r="I738" s="128">
        <v>0</v>
      </c>
      <c r="J738" s="124">
        <f>IF($E726&gt;0, $E726, $E725)</f>
        <v>15000</v>
      </c>
      <c r="K738" s="122">
        <f t="shared" si="113"/>
        <v>0</v>
      </c>
      <c r="L738" s="125">
        <f t="shared" si="109"/>
        <v>0</v>
      </c>
      <c r="M738" s="126" t="str">
        <f t="shared" si="111"/>
        <v/>
      </c>
    </row>
    <row r="739" spans="1:13" x14ac:dyDescent="0.25">
      <c r="A739" s="100" t="str">
        <f t="shared" si="112"/>
        <v>GENERAL SERVICE LESS THAN 50 KW SERVICE CLASSIFICATION</v>
      </c>
      <c r="B739" s="130" t="s">
        <v>157</v>
      </c>
      <c r="C739" s="117">
        <f>B15</f>
        <v>13</v>
      </c>
      <c r="D739" s="131" t="s">
        <v>158</v>
      </c>
      <c r="E739" s="132"/>
      <c r="F739" s="133"/>
      <c r="G739" s="134"/>
      <c r="H739" s="135">
        <f>SUM(H733:H738)</f>
        <v>181.37</v>
      </c>
      <c r="I739" s="136"/>
      <c r="J739" s="137"/>
      <c r="K739" s="135">
        <f>SUM(K733:K738)</f>
        <v>183.21</v>
      </c>
      <c r="L739" s="138">
        <f t="shared" si="109"/>
        <v>1.8400000000000034</v>
      </c>
      <c r="M739" s="139">
        <f>IF((H739)=0,"",(L739/H739))</f>
        <v>1.0145007443347872E-2</v>
      </c>
    </row>
    <row r="740" spans="1:13" x14ac:dyDescent="0.25">
      <c r="A740" s="100" t="str">
        <f t="shared" si="112"/>
        <v>GENERAL SERVICE LESS THAN 50 KW SERVICE CLASSIFICATION</v>
      </c>
      <c r="C740" s="117"/>
      <c r="D740" s="140" t="s">
        <v>159</v>
      </c>
      <c r="E740" s="119"/>
      <c r="F740" s="127">
        <f>IF((E725*12&gt;=150000), 0, IF(E724="RPP",(F756*0.65+F757*0.17+F758*0.18),IF(E724="Non-RPP (Retailer)",F759,F760)))</f>
        <v>0</v>
      </c>
      <c r="G740" s="141">
        <f>IF(F740=0, 0, $E725*E727-E725)</f>
        <v>0</v>
      </c>
      <c r="H740" s="122">
        <f>G740*F740</f>
        <v>0</v>
      </c>
      <c r="I740" s="128">
        <f>IF((E725*12&gt;=150000), 0, IF(E724="RPP",(I756*0.65+I757*0.17+I758*0.18),IF(E724="Non-RPP (Retailer)",I759,I760)))</f>
        <v>0</v>
      </c>
      <c r="J740" s="141">
        <f>IF(I740=0, 0, E725*E728-E725)</f>
        <v>0</v>
      </c>
      <c r="K740" s="122">
        <f>J740*I740</f>
        <v>0</v>
      </c>
      <c r="L740" s="125">
        <f>K740-H740</f>
        <v>0</v>
      </c>
      <c r="M740" s="126" t="str">
        <f>IF(ISERROR(L740/H740), "", L740/H740)</f>
        <v/>
      </c>
    </row>
    <row r="741" spans="1:13" ht="25.5" x14ac:dyDescent="0.25">
      <c r="A741" s="100" t="str">
        <f t="shared" si="112"/>
        <v>GENERAL SERVICE LESS THAN 50 KW SERVICE CLASSIFICATION</v>
      </c>
      <c r="C741" s="117"/>
      <c r="D741" s="140" t="s">
        <v>160</v>
      </c>
      <c r="E741" s="119"/>
      <c r="F741" s="127">
        <v>-1.4E-3</v>
      </c>
      <c r="G741" s="142">
        <f>IF($E726&gt;0, $E726, $E725)</f>
        <v>15000</v>
      </c>
      <c r="H741" s="122">
        <f t="shared" si="110"/>
        <v>-21</v>
      </c>
      <c r="I741" s="128">
        <v>-5.3E-3</v>
      </c>
      <c r="J741" s="142">
        <f>IF($E726&gt;0, $E726, $E725)</f>
        <v>15000</v>
      </c>
      <c r="K741" s="122">
        <f t="shared" si="113"/>
        <v>-79.5</v>
      </c>
      <c r="L741" s="125">
        <f t="shared" si="109"/>
        <v>-58.5</v>
      </c>
      <c r="M741" s="126">
        <f t="shared" si="111"/>
        <v>2.7857142857142856</v>
      </c>
    </row>
    <row r="742" spans="1:13" x14ac:dyDescent="0.25">
      <c r="A742" s="100" t="str">
        <f t="shared" si="112"/>
        <v>GENERAL SERVICE LESS THAN 50 KW SERVICE CLASSIFICATION</v>
      </c>
      <c r="C742" s="117"/>
      <c r="D742" s="140" t="s">
        <v>161</v>
      </c>
      <c r="E742" s="119"/>
      <c r="F742" s="127">
        <v>-1E-4</v>
      </c>
      <c r="G742" s="142">
        <f>IF($E726&gt;0, $E726, $E725)</f>
        <v>15000</v>
      </c>
      <c r="H742" s="122">
        <f>G742*F742</f>
        <v>-1.5</v>
      </c>
      <c r="I742" s="128">
        <v>0</v>
      </c>
      <c r="J742" s="142">
        <f>IF($E726&gt;0, $E726, $E725)</f>
        <v>15000</v>
      </c>
      <c r="K742" s="122">
        <f>J742*I742</f>
        <v>0</v>
      </c>
      <c r="L742" s="125">
        <f t="shared" si="109"/>
        <v>1.5</v>
      </c>
      <c r="M742" s="126">
        <f t="shared" si="111"/>
        <v>-1</v>
      </c>
    </row>
    <row r="743" spans="1:13" x14ac:dyDescent="0.25">
      <c r="A743" s="100" t="str">
        <f t="shared" si="112"/>
        <v>GENERAL SERVICE LESS THAN 50 KW SERVICE CLASSIFICATION</v>
      </c>
      <c r="C743" s="117"/>
      <c r="D743" s="140" t="s">
        <v>162</v>
      </c>
      <c r="E743" s="119"/>
      <c r="F743" s="127">
        <v>0</v>
      </c>
      <c r="G743" s="142">
        <f>E725</f>
        <v>15000</v>
      </c>
      <c r="H743" s="122">
        <f>G743*F743</f>
        <v>0</v>
      </c>
      <c r="I743" s="128">
        <v>0</v>
      </c>
      <c r="J743" s="142">
        <f>E725</f>
        <v>15000</v>
      </c>
      <c r="K743" s="122">
        <f t="shared" si="113"/>
        <v>0</v>
      </c>
      <c r="L743" s="125">
        <f t="shared" si="109"/>
        <v>0</v>
      </c>
      <c r="M743" s="126" t="str">
        <f t="shared" si="111"/>
        <v/>
      </c>
    </row>
    <row r="744" spans="1:13" x14ac:dyDescent="0.25">
      <c r="A744" s="100" t="str">
        <f t="shared" si="112"/>
        <v>GENERAL SERVICE LESS THAN 50 KW SERVICE CLASSIFICATION</v>
      </c>
      <c r="C744" s="117"/>
      <c r="D744" s="143" t="s">
        <v>163</v>
      </c>
      <c r="E744" s="119"/>
      <c r="F744" s="127">
        <v>2.3999999999999998E-3</v>
      </c>
      <c r="G744" s="142">
        <f>IF($E726&gt;0, $E726, $E725)</f>
        <v>15000</v>
      </c>
      <c r="H744" s="122">
        <f t="shared" si="110"/>
        <v>36</v>
      </c>
      <c r="I744" s="128">
        <v>2.3999999999999998E-3</v>
      </c>
      <c r="J744" s="142">
        <f>IF($E726&gt;0, $E726, $E725)</f>
        <v>15000</v>
      </c>
      <c r="K744" s="122">
        <f t="shared" si="113"/>
        <v>36</v>
      </c>
      <c r="L744" s="125">
        <f t="shared" si="109"/>
        <v>0</v>
      </c>
      <c r="M744" s="126">
        <f t="shared" si="111"/>
        <v>0</v>
      </c>
    </row>
    <row r="745" spans="1:13" ht="25.5" x14ac:dyDescent="0.25">
      <c r="A745" s="100" t="str">
        <f t="shared" si="112"/>
        <v>GENERAL SERVICE LESS THAN 50 KW SERVICE CLASSIFICATION</v>
      </c>
      <c r="C745" s="117"/>
      <c r="D745" s="144" t="s">
        <v>164</v>
      </c>
      <c r="E745" s="119"/>
      <c r="F745" s="145">
        <f>IF(OR(ISNUMBER(SEARCH("RESIDENTIAL", E723))=TRUE, ISNUMBER(SEARCH("GENERAL SERVICE LESS THAN 50", E723))=TRUE), SME, 0)</f>
        <v>0.56999999999999995</v>
      </c>
      <c r="G745" s="121">
        <v>1</v>
      </c>
      <c r="H745" s="122">
        <f>G745*F745</f>
        <v>0.56999999999999995</v>
      </c>
      <c r="I745" s="146">
        <f>IF(OR(ISNUMBER(SEARCH("RESIDENTIAL", E723))=TRUE, ISNUMBER(SEARCH("GENERAL SERVICE LESS THAN 50", E723))=TRUE), SME, 0)</f>
        <v>0.56999999999999995</v>
      </c>
      <c r="J745" s="121">
        <v>1</v>
      </c>
      <c r="K745" s="122">
        <f>J745*I745</f>
        <v>0.56999999999999995</v>
      </c>
      <c r="L745" s="125">
        <f t="shared" si="109"/>
        <v>0</v>
      </c>
      <c r="M745" s="126">
        <f>IF(ISERROR(L745/H745), "", L745/H745)</f>
        <v>0</v>
      </c>
    </row>
    <row r="746" spans="1:13" x14ac:dyDescent="0.25">
      <c r="A746" s="100" t="str">
        <f t="shared" si="112"/>
        <v>GENERAL SERVICE LESS THAN 50 KW SERVICE CLASSIFICATION</v>
      </c>
      <c r="C746" s="117"/>
      <c r="D746" s="143" t="s">
        <v>165</v>
      </c>
      <c r="E746" s="119"/>
      <c r="F746" s="120">
        <v>0</v>
      </c>
      <c r="G746" s="121">
        <v>1</v>
      </c>
      <c r="H746" s="122">
        <f t="shared" si="110"/>
        <v>0</v>
      </c>
      <c r="I746" s="123">
        <v>0</v>
      </c>
      <c r="J746" s="121">
        <v>1</v>
      </c>
      <c r="K746" s="122">
        <f>J746*I746</f>
        <v>0</v>
      </c>
      <c r="L746" s="125">
        <f>K746-H746</f>
        <v>0</v>
      </c>
      <c r="M746" s="126" t="str">
        <f>IF(ISERROR(L746/H746), "", L746/H746)</f>
        <v/>
      </c>
    </row>
    <row r="747" spans="1:13" x14ac:dyDescent="0.25">
      <c r="A747" s="100" t="str">
        <f t="shared" si="112"/>
        <v>GENERAL SERVICE LESS THAN 50 KW SERVICE CLASSIFICATION</v>
      </c>
      <c r="C747" s="117"/>
      <c r="D747" s="143" t="s">
        <v>166</v>
      </c>
      <c r="E747" s="119"/>
      <c r="F747" s="127"/>
      <c r="G747" s="142">
        <f>IF($E726&gt;0, $E726, $E725)</f>
        <v>15000</v>
      </c>
      <c r="H747" s="122">
        <f>G747*F747</f>
        <v>0</v>
      </c>
      <c r="I747" s="128">
        <v>0</v>
      </c>
      <c r="J747" s="142">
        <f>IF($E726&gt;0, $E726, $E725)</f>
        <v>15000</v>
      </c>
      <c r="K747" s="122">
        <f>J747*I747</f>
        <v>0</v>
      </c>
      <c r="L747" s="125">
        <f t="shared" si="109"/>
        <v>0</v>
      </c>
      <c r="M747" s="126" t="str">
        <f>IF(ISERROR(L747/H747), "", L747/H747)</f>
        <v/>
      </c>
    </row>
    <row r="748" spans="1:13" ht="25.5" x14ac:dyDescent="0.25">
      <c r="A748" s="100" t="str">
        <f t="shared" si="112"/>
        <v>GENERAL SERVICE LESS THAN 50 KW SERVICE CLASSIFICATION</v>
      </c>
      <c r="B748" s="105" t="s">
        <v>167</v>
      </c>
      <c r="C748" s="117">
        <f>B15</f>
        <v>13</v>
      </c>
      <c r="D748" s="147" t="s">
        <v>168</v>
      </c>
      <c r="E748" s="148"/>
      <c r="F748" s="149"/>
      <c r="G748" s="150"/>
      <c r="H748" s="151">
        <f>SUM(H739:H747)</f>
        <v>195.44</v>
      </c>
      <c r="I748" s="152"/>
      <c r="J748" s="153"/>
      <c r="K748" s="151">
        <f>SUM(K739:K747)</f>
        <v>140.28</v>
      </c>
      <c r="L748" s="138">
        <f t="shared" si="109"/>
        <v>-55.16</v>
      </c>
      <c r="M748" s="139">
        <f>IF((H748)=0,"",(L748/H748))</f>
        <v>-0.2822349570200573</v>
      </c>
    </row>
    <row r="749" spans="1:13" x14ac:dyDescent="0.25">
      <c r="A749" s="100" t="str">
        <f t="shared" si="112"/>
        <v>GENERAL SERVICE LESS THAN 50 KW SERVICE CLASSIFICATION</v>
      </c>
      <c r="C749" s="117"/>
      <c r="D749" s="154" t="s">
        <v>169</v>
      </c>
      <c r="E749" s="119"/>
      <c r="F749" s="127">
        <v>6.0000000000000001E-3</v>
      </c>
      <c r="G749" s="141">
        <f>IF($E726&gt;0, $E726, $E725*$E727)</f>
        <v>15840</v>
      </c>
      <c r="H749" s="122">
        <f>G749*F749</f>
        <v>95.04</v>
      </c>
      <c r="I749" s="128">
        <v>5.7000000000000002E-3</v>
      </c>
      <c r="J749" s="141">
        <f>IF($E726&gt;0, $E726, $E725*$E728)</f>
        <v>15840</v>
      </c>
      <c r="K749" s="122">
        <f>J749*I749</f>
        <v>90.287999999999997</v>
      </c>
      <c r="L749" s="125">
        <f t="shared" si="109"/>
        <v>-4.7520000000000095</v>
      </c>
      <c r="M749" s="126">
        <f>IF(ISERROR(L749/H749), "", L749/H749)</f>
        <v>-5.00000000000001E-2</v>
      </c>
    </row>
    <row r="750" spans="1:13" ht="25.5" x14ac:dyDescent="0.25">
      <c r="A750" s="100" t="str">
        <f t="shared" si="112"/>
        <v>GENERAL SERVICE LESS THAN 50 KW SERVICE CLASSIFICATION</v>
      </c>
      <c r="C750" s="117"/>
      <c r="D750" s="155" t="s">
        <v>170</v>
      </c>
      <c r="E750" s="119"/>
      <c r="F750" s="127">
        <v>5.3E-3</v>
      </c>
      <c r="G750" s="141">
        <f>IF($E726&gt;0, $E726, $E725*$E727)</f>
        <v>15840</v>
      </c>
      <c r="H750" s="122">
        <f>G750*F750</f>
        <v>83.951999999999998</v>
      </c>
      <c r="I750" s="128">
        <v>5.0000000000000001E-3</v>
      </c>
      <c r="J750" s="141">
        <f>IF($E726&gt;0, $E726, $E725*$E728)</f>
        <v>15840</v>
      </c>
      <c r="K750" s="122">
        <f>J750*I750</f>
        <v>79.2</v>
      </c>
      <c r="L750" s="125">
        <f t="shared" si="109"/>
        <v>-4.7519999999999953</v>
      </c>
      <c r="M750" s="126">
        <f>IF(ISERROR(L750/H750), "", L750/H750)</f>
        <v>-5.6603773584905606E-2</v>
      </c>
    </row>
    <row r="751" spans="1:13" ht="25.5" x14ac:dyDescent="0.25">
      <c r="A751" s="100" t="str">
        <f t="shared" si="112"/>
        <v>GENERAL SERVICE LESS THAN 50 KW SERVICE CLASSIFICATION</v>
      </c>
      <c r="B751" s="105" t="s">
        <v>171</v>
      </c>
      <c r="C751" s="117">
        <f>B15</f>
        <v>13</v>
      </c>
      <c r="D751" s="147" t="s">
        <v>172</v>
      </c>
      <c r="E751" s="132"/>
      <c r="F751" s="149"/>
      <c r="G751" s="150"/>
      <c r="H751" s="151">
        <f>SUM(H748:H750)</f>
        <v>374.43200000000002</v>
      </c>
      <c r="I751" s="152"/>
      <c r="J751" s="137"/>
      <c r="K751" s="151">
        <f>SUM(K748:K750)</f>
        <v>309.76799999999997</v>
      </c>
      <c r="L751" s="138">
        <f t="shared" si="109"/>
        <v>-64.664000000000044</v>
      </c>
      <c r="M751" s="139">
        <f>IF((H751)=0,"",(L751/H751))</f>
        <v>-0.17269891462268194</v>
      </c>
    </row>
    <row r="752" spans="1:13" ht="25.5" x14ac:dyDescent="0.25">
      <c r="A752" s="100" t="str">
        <f t="shared" si="112"/>
        <v>GENERAL SERVICE LESS THAN 50 KW SERVICE CLASSIFICATION</v>
      </c>
      <c r="C752" s="117"/>
      <c r="D752" s="156" t="s">
        <v>173</v>
      </c>
      <c r="E752" s="119"/>
      <c r="F752" s="127">
        <v>3.6000000000000003E-3</v>
      </c>
      <c r="G752" s="141">
        <f>E725*E727</f>
        <v>15840</v>
      </c>
      <c r="H752" s="157">
        <f t="shared" ref="H752:H758" si="114">G752*F752</f>
        <v>57.024000000000008</v>
      </c>
      <c r="I752" s="128">
        <v>3.6000000000000003E-3</v>
      </c>
      <c r="J752" s="141">
        <f>E725*E728</f>
        <v>15840</v>
      </c>
      <c r="K752" s="157">
        <f t="shared" ref="K752:K758" si="115">J752*I752</f>
        <v>57.024000000000008</v>
      </c>
      <c r="L752" s="125">
        <f t="shared" si="109"/>
        <v>0</v>
      </c>
      <c r="M752" s="126">
        <f t="shared" ref="M752:M760" si="116">IF(ISERROR(L752/H752), "", L752/H752)</f>
        <v>0</v>
      </c>
    </row>
    <row r="753" spans="1:13" ht="25.5" x14ac:dyDescent="0.25">
      <c r="A753" s="100" t="str">
        <f t="shared" si="112"/>
        <v>GENERAL SERVICE LESS THAN 50 KW SERVICE CLASSIFICATION</v>
      </c>
      <c r="C753" s="117"/>
      <c r="D753" s="156" t="s">
        <v>174</v>
      </c>
      <c r="E753" s="119"/>
      <c r="F753" s="127">
        <f>'[1]17. Regulatory Charges'!$D$16</f>
        <v>2.9999999999999997E-4</v>
      </c>
      <c r="G753" s="141">
        <f>E725*E727</f>
        <v>15840</v>
      </c>
      <c r="H753" s="157">
        <f t="shared" si="114"/>
        <v>4.7519999999999998</v>
      </c>
      <c r="I753" s="128">
        <v>2.9999999999999997E-4</v>
      </c>
      <c r="J753" s="141">
        <f>E725*E728</f>
        <v>15840</v>
      </c>
      <c r="K753" s="157">
        <f t="shared" si="115"/>
        <v>4.7519999999999998</v>
      </c>
      <c r="L753" s="125">
        <f t="shared" si="109"/>
        <v>0</v>
      </c>
      <c r="M753" s="126">
        <f t="shared" si="116"/>
        <v>0</v>
      </c>
    </row>
    <row r="754" spans="1:13" x14ac:dyDescent="0.25">
      <c r="A754" s="100" t="str">
        <f t="shared" si="112"/>
        <v>GENERAL SERVICE LESS THAN 50 KW SERVICE CLASSIFICATION</v>
      </c>
      <c r="C754" s="117"/>
      <c r="D754" s="158" t="s">
        <v>175</v>
      </c>
      <c r="E754" s="119"/>
      <c r="F754" s="145">
        <v>0.25</v>
      </c>
      <c r="G754" s="121">
        <v>1</v>
      </c>
      <c r="H754" s="157">
        <f t="shared" si="114"/>
        <v>0.25</v>
      </c>
      <c r="I754" s="146">
        <f>'[1]17. Regulatory Charges'!$D$17</f>
        <v>0.25</v>
      </c>
      <c r="J754" s="124">
        <v>1</v>
      </c>
      <c r="K754" s="157">
        <f t="shared" si="115"/>
        <v>0.25</v>
      </c>
      <c r="L754" s="125">
        <f t="shared" si="109"/>
        <v>0</v>
      </c>
      <c r="M754" s="126">
        <f t="shared" si="116"/>
        <v>0</v>
      </c>
    </row>
    <row r="755" spans="1:13" ht="25.5" x14ac:dyDescent="0.25">
      <c r="A755" s="100" t="str">
        <f t="shared" si="112"/>
        <v>GENERAL SERVICE LESS THAN 50 KW SERVICE CLASSIFICATION</v>
      </c>
      <c r="C755" s="117"/>
      <c r="D755" s="156" t="s">
        <v>176</v>
      </c>
      <c r="E755" s="119"/>
      <c r="F755" s="127"/>
      <c r="G755" s="141"/>
      <c r="H755" s="157"/>
      <c r="I755" s="128"/>
      <c r="J755" s="141"/>
      <c r="K755" s="157"/>
      <c r="L755" s="125"/>
      <c r="M755" s="126"/>
    </row>
    <row r="756" spans="1:13" x14ac:dyDescent="0.25">
      <c r="A756" s="100" t="str">
        <f t="shared" si="112"/>
        <v>GENERAL SERVICE LESS THAN 50 KW SERVICE CLASSIFICATION</v>
      </c>
      <c r="B756" s="105" t="s">
        <v>117</v>
      </c>
      <c r="C756" s="117"/>
      <c r="D756" s="159" t="s">
        <v>177</v>
      </c>
      <c r="E756" s="119"/>
      <c r="F756" s="160">
        <f>OffPeak</f>
        <v>6.5000000000000002E-2</v>
      </c>
      <c r="G756" s="161">
        <f>IF(AND(E725*12&gt;=150000),0.65*E725*E727,0.65*E725)</f>
        <v>10296</v>
      </c>
      <c r="H756" s="157">
        <f t="shared" si="114"/>
        <v>669.24</v>
      </c>
      <c r="I756" s="162">
        <f>OffPeak</f>
        <v>6.5000000000000002E-2</v>
      </c>
      <c r="J756" s="161">
        <f>IF(AND(E725*12&gt;=150000),0.65*E725*E728,0.65*E725)</f>
        <v>10296</v>
      </c>
      <c r="K756" s="157">
        <f t="shared" si="115"/>
        <v>669.24</v>
      </c>
      <c r="L756" s="125">
        <f>K756-H756</f>
        <v>0</v>
      </c>
      <c r="M756" s="126">
        <f t="shared" si="116"/>
        <v>0</v>
      </c>
    </row>
    <row r="757" spans="1:13" x14ac:dyDescent="0.25">
      <c r="A757" s="100" t="str">
        <f t="shared" si="112"/>
        <v>GENERAL SERVICE LESS THAN 50 KW SERVICE CLASSIFICATION</v>
      </c>
      <c r="B757" s="105" t="s">
        <v>117</v>
      </c>
      <c r="C757" s="117"/>
      <c r="D757" s="159" t="s">
        <v>178</v>
      </c>
      <c r="E757" s="119"/>
      <c r="F757" s="160">
        <f>MidPeak</f>
        <v>9.4E-2</v>
      </c>
      <c r="G757" s="161">
        <f>IF(AND(E725*12&gt;=150000),0.17*E725*E727,0.17*E725)</f>
        <v>2692.8</v>
      </c>
      <c r="H757" s="157">
        <f t="shared" si="114"/>
        <v>253.12320000000003</v>
      </c>
      <c r="I757" s="162">
        <f>MidPeak</f>
        <v>9.4E-2</v>
      </c>
      <c r="J757" s="161">
        <f>IF(AND(E725*12&gt;=150000),0.17*E725*E728,0.17*E725)</f>
        <v>2692.8</v>
      </c>
      <c r="K757" s="157">
        <f t="shared" si="115"/>
        <v>253.12320000000003</v>
      </c>
      <c r="L757" s="125">
        <f>K757-H757</f>
        <v>0</v>
      </c>
      <c r="M757" s="126">
        <f t="shared" si="116"/>
        <v>0</v>
      </c>
    </row>
    <row r="758" spans="1:13" ht="15.75" thickBot="1" x14ac:dyDescent="0.3">
      <c r="A758" s="100" t="str">
        <f t="shared" si="112"/>
        <v>GENERAL SERVICE LESS THAN 50 KW SERVICE CLASSIFICATION</v>
      </c>
      <c r="B758" s="105" t="s">
        <v>117</v>
      </c>
      <c r="C758" s="117"/>
      <c r="D758" s="105" t="s">
        <v>179</v>
      </c>
      <c r="E758" s="119"/>
      <c r="F758" s="160">
        <f>OnPeak</f>
        <v>0.13200000000000001</v>
      </c>
      <c r="G758" s="161">
        <f>IF(AND(E725*12&gt;=150000),0.18*E725*E727,0.18*E725)</f>
        <v>2851.2000000000003</v>
      </c>
      <c r="H758" s="157">
        <f t="shared" si="114"/>
        <v>376.35840000000007</v>
      </c>
      <c r="I758" s="162">
        <f>OnPeak</f>
        <v>0.13200000000000001</v>
      </c>
      <c r="J758" s="161">
        <f>IF(AND(E725*12&gt;=150000),0.18*E725*E728,0.18*E725)</f>
        <v>2851.2000000000003</v>
      </c>
      <c r="K758" s="157">
        <f t="shared" si="115"/>
        <v>376.35840000000007</v>
      </c>
      <c r="L758" s="125">
        <f>K758-H758</f>
        <v>0</v>
      </c>
      <c r="M758" s="126">
        <f t="shared" si="116"/>
        <v>0</v>
      </c>
    </row>
    <row r="759" spans="1:13" ht="15.75" hidden="1" thickBot="1" x14ac:dyDescent="0.3">
      <c r="A759" s="100" t="str">
        <f t="shared" si="112"/>
        <v>GENERAL SERVICE LESS THAN 50 KW SERVICE CLASSIFICATION</v>
      </c>
      <c r="B759" s="100" t="s">
        <v>180</v>
      </c>
      <c r="C759" s="117"/>
      <c r="D759" s="159" t="s">
        <v>181</v>
      </c>
      <c r="E759" s="119"/>
      <c r="F759" s="163">
        <v>0.1101</v>
      </c>
      <c r="G759" s="161">
        <f>IF(AND(E725*12&gt;=150000),E725*E727,E725)</f>
        <v>15840</v>
      </c>
      <c r="H759" s="157">
        <f>G759*F759</f>
        <v>1743.9840000000002</v>
      </c>
      <c r="I759" s="164">
        <f>F759</f>
        <v>0.1101</v>
      </c>
      <c r="J759" s="161">
        <f>IF(AND(E725*12&gt;=150000),E725*E728,E725)</f>
        <v>15840</v>
      </c>
      <c r="K759" s="157">
        <f>J759*I759</f>
        <v>1743.9840000000002</v>
      </c>
      <c r="L759" s="125">
        <f>K759-H759</f>
        <v>0</v>
      </c>
      <c r="M759" s="126">
        <f t="shared" si="116"/>
        <v>0</v>
      </c>
    </row>
    <row r="760" spans="1:13" ht="15.75" hidden="1" thickBot="1" x14ac:dyDescent="0.3">
      <c r="A760" s="100" t="str">
        <f t="shared" si="112"/>
        <v>GENERAL SERVICE LESS THAN 50 KW SERVICE CLASSIFICATION</v>
      </c>
      <c r="B760" s="100" t="s">
        <v>121</v>
      </c>
      <c r="C760" s="117"/>
      <c r="D760" s="159" t="s">
        <v>182</v>
      </c>
      <c r="E760" s="119"/>
      <c r="F760" s="163">
        <v>0.1101</v>
      </c>
      <c r="G760" s="161">
        <f>IF(AND(E725*12&gt;=150000),E725*E727,E725)</f>
        <v>15840</v>
      </c>
      <c r="H760" s="157">
        <f>G760*F760</f>
        <v>1743.9840000000002</v>
      </c>
      <c r="I760" s="164">
        <f>F760</f>
        <v>0.1101</v>
      </c>
      <c r="J760" s="161">
        <f>IF(AND(E725*12&gt;=150000),E725*E728,E725)</f>
        <v>15840</v>
      </c>
      <c r="K760" s="157">
        <f>J760*I760</f>
        <v>1743.9840000000002</v>
      </c>
      <c r="L760" s="125">
        <f>K760-H760</f>
        <v>0</v>
      </c>
      <c r="M760" s="126">
        <f t="shared" si="116"/>
        <v>0</v>
      </c>
    </row>
    <row r="761" spans="1:13" ht="15.75" thickBot="1" x14ac:dyDescent="0.3">
      <c r="A761" s="100" t="str">
        <f t="shared" si="112"/>
        <v>GENERAL SERVICE LESS THAN 50 KW SERVICE CLASSIFICATION</v>
      </c>
      <c r="B761" s="105"/>
      <c r="C761" s="117"/>
      <c r="D761" s="165"/>
      <c r="E761" s="166"/>
      <c r="F761" s="167"/>
      <c r="G761" s="168"/>
      <c r="H761" s="169"/>
      <c r="I761" s="167"/>
      <c r="J761" s="170"/>
      <c r="K761" s="169"/>
      <c r="L761" s="171"/>
      <c r="M761" s="172"/>
    </row>
    <row r="762" spans="1:13" x14ac:dyDescent="0.25">
      <c r="A762" s="100" t="str">
        <f t="shared" si="112"/>
        <v>GENERAL SERVICE LESS THAN 50 KW SERVICE CLASSIFICATION</v>
      </c>
      <c r="B762" s="105" t="s">
        <v>117</v>
      </c>
      <c r="C762" s="117"/>
      <c r="D762" s="173" t="s">
        <v>183</v>
      </c>
      <c r="E762" s="158"/>
      <c r="F762" s="174"/>
      <c r="G762" s="175"/>
      <c r="H762" s="176">
        <f>SUM(H752:H758,H751)</f>
        <v>1735.1796000000002</v>
      </c>
      <c r="I762" s="177"/>
      <c r="J762" s="177"/>
      <c r="K762" s="176">
        <f>SUM(K752:K758,K751)</f>
        <v>1670.5156000000002</v>
      </c>
      <c r="L762" s="178">
        <f>K762-H762</f>
        <v>-64.663999999999987</v>
      </c>
      <c r="M762" s="179">
        <f>IF((H762)=0,"",(L762/H762))</f>
        <v>-3.7266459333662051E-2</v>
      </c>
    </row>
    <row r="763" spans="1:13" x14ac:dyDescent="0.25">
      <c r="A763" s="100" t="str">
        <f t="shared" si="112"/>
        <v>GENERAL SERVICE LESS THAN 50 KW SERVICE CLASSIFICATION</v>
      </c>
      <c r="B763" s="105" t="s">
        <v>117</v>
      </c>
      <c r="C763" s="117"/>
      <c r="D763" s="180" t="s">
        <v>184</v>
      </c>
      <c r="E763" s="158"/>
      <c r="F763" s="174">
        <v>0.13</v>
      </c>
      <c r="G763" s="181"/>
      <c r="H763" s="182">
        <f>H762*F763</f>
        <v>225.57334800000004</v>
      </c>
      <c r="I763" s="183">
        <v>0.13</v>
      </c>
      <c r="J763" s="121"/>
      <c r="K763" s="182">
        <f>K762*I763</f>
        <v>217.16702800000004</v>
      </c>
      <c r="L763" s="184">
        <f>K763-H763</f>
        <v>-8.4063199999999938</v>
      </c>
      <c r="M763" s="185">
        <f>IF((H763)=0,"",(L763/H763))</f>
        <v>-3.7266459333662023E-2</v>
      </c>
    </row>
    <row r="764" spans="1:13" x14ac:dyDescent="0.25">
      <c r="A764" s="100" t="str">
        <f t="shared" si="112"/>
        <v>GENERAL SERVICE LESS THAN 50 KW SERVICE CLASSIFICATION</v>
      </c>
      <c r="B764" s="105" t="s">
        <v>117</v>
      </c>
      <c r="C764" s="117"/>
      <c r="D764" s="180" t="s">
        <v>185</v>
      </c>
      <c r="E764" s="158"/>
      <c r="F764" s="174">
        <v>0.08</v>
      </c>
      <c r="G764" s="181"/>
      <c r="H764" s="182">
        <f>H762*-F764</f>
        <v>-138.81436800000003</v>
      </c>
      <c r="I764" s="174">
        <v>0.08</v>
      </c>
      <c r="J764" s="121"/>
      <c r="K764" s="182">
        <f>K762*-I764</f>
        <v>-133.64124800000002</v>
      </c>
      <c r="L764" s="184">
        <f>K764-H764</f>
        <v>5.1731200000000115</v>
      </c>
      <c r="M764" s="185"/>
    </row>
    <row r="765" spans="1:13" ht="15.75" thickBot="1" x14ac:dyDescent="0.3">
      <c r="A765" s="100" t="str">
        <f t="shared" si="112"/>
        <v>GENERAL SERVICE LESS THAN 50 KW SERVICE CLASSIFICATION</v>
      </c>
      <c r="B765" s="105" t="s">
        <v>186</v>
      </c>
      <c r="C765" s="117">
        <f>B15</f>
        <v>13</v>
      </c>
      <c r="D765" s="301" t="s">
        <v>187</v>
      </c>
      <c r="E765" s="301"/>
      <c r="F765" s="186"/>
      <c r="G765" s="187"/>
      <c r="H765" s="188">
        <f>H762+H763+H764</f>
        <v>1821.9385800000002</v>
      </c>
      <c r="I765" s="189"/>
      <c r="J765" s="189"/>
      <c r="K765" s="190">
        <f>K762+K763+K764</f>
        <v>1754.0413800000001</v>
      </c>
      <c r="L765" s="191">
        <f>K765-H765</f>
        <v>-67.897200000000112</v>
      </c>
      <c r="M765" s="192">
        <f>IF((H765)=0,"",(L765/H765))</f>
        <v>-3.7266459333662114E-2</v>
      </c>
    </row>
    <row r="766" spans="1:13" ht="15.75" hidden="1" thickBot="1" x14ac:dyDescent="0.3">
      <c r="A766" s="100" t="str">
        <f t="shared" si="112"/>
        <v>GENERAL SERVICE LESS THAN 50 KW SERVICE CLASSIFICATION</v>
      </c>
      <c r="B766" s="100" t="s">
        <v>117</v>
      </c>
      <c r="C766" s="117"/>
      <c r="D766" s="165"/>
      <c r="E766" s="166"/>
      <c r="F766" s="167"/>
      <c r="G766" s="168"/>
      <c r="H766" s="169"/>
      <c r="I766" s="167"/>
      <c r="J766" s="170"/>
      <c r="K766" s="169"/>
      <c r="L766" s="171"/>
      <c r="M766" s="172"/>
    </row>
    <row r="767" spans="1:13" ht="15.75" hidden="1" thickBot="1" x14ac:dyDescent="0.3">
      <c r="A767" s="100" t="str">
        <f t="shared" si="112"/>
        <v>GENERAL SERVICE LESS THAN 50 KW SERVICE CLASSIFICATION</v>
      </c>
      <c r="B767" s="100" t="s">
        <v>180</v>
      </c>
      <c r="C767" s="117"/>
      <c r="D767" s="173" t="s">
        <v>188</v>
      </c>
      <c r="E767" s="158"/>
      <c r="F767" s="174"/>
      <c r="G767" s="175"/>
      <c r="H767" s="176">
        <f>SUM(H759,H752:H755,H751)</f>
        <v>2180.442</v>
      </c>
      <c r="I767" s="177"/>
      <c r="J767" s="177"/>
      <c r="K767" s="176">
        <f>SUM(K759,K752:K755,K751)</f>
        <v>2115.7780000000002</v>
      </c>
      <c r="L767" s="178">
        <f>K767-H767</f>
        <v>-64.66399999999976</v>
      </c>
      <c r="M767" s="179">
        <f>IF((H767)=0,"",(L767/H767))</f>
        <v>-2.9656372423572726E-2</v>
      </c>
    </row>
    <row r="768" spans="1:13" ht="15.75" hidden="1" thickBot="1" x14ac:dyDescent="0.3">
      <c r="A768" s="100" t="str">
        <f t="shared" si="112"/>
        <v>GENERAL SERVICE LESS THAN 50 KW SERVICE CLASSIFICATION</v>
      </c>
      <c r="B768" s="100" t="s">
        <v>180</v>
      </c>
      <c r="C768" s="117"/>
      <c r="D768" s="180" t="s">
        <v>184</v>
      </c>
      <c r="E768" s="158"/>
      <c r="F768" s="174">
        <v>0.13</v>
      </c>
      <c r="G768" s="175"/>
      <c r="H768" s="182">
        <f>H767*F768</f>
        <v>283.45746000000003</v>
      </c>
      <c r="I768" s="174">
        <v>0.13</v>
      </c>
      <c r="J768" s="183"/>
      <c r="K768" s="182">
        <f>K767*I768</f>
        <v>275.05114000000003</v>
      </c>
      <c r="L768" s="184">
        <f>K768-H768</f>
        <v>-8.4063199999999938</v>
      </c>
      <c r="M768" s="185">
        <f>IF((H768)=0,"",(L768/H768))</f>
        <v>-2.9656372423572809E-2</v>
      </c>
    </row>
    <row r="769" spans="1:13" ht="15.75" hidden="1" thickBot="1" x14ac:dyDescent="0.3">
      <c r="A769" s="100" t="str">
        <f t="shared" si="112"/>
        <v>GENERAL SERVICE LESS THAN 50 KW SERVICE CLASSIFICATION</v>
      </c>
      <c r="B769" s="100" t="s">
        <v>180</v>
      </c>
      <c r="C769" s="117"/>
      <c r="D769" s="180" t="s">
        <v>185</v>
      </c>
      <c r="E769" s="158"/>
      <c r="F769" s="174">
        <v>0.08</v>
      </c>
      <c r="G769" s="175"/>
      <c r="H769" s="182"/>
      <c r="I769" s="174">
        <v>0.08</v>
      </c>
      <c r="J769" s="183"/>
      <c r="K769" s="182"/>
      <c r="L769" s="184"/>
      <c r="M769" s="185"/>
    </row>
    <row r="770" spans="1:13" ht="15.75" hidden="1" thickBot="1" x14ac:dyDescent="0.3">
      <c r="A770" s="100" t="str">
        <f t="shared" si="112"/>
        <v>GENERAL SERVICE LESS THAN 50 KW SERVICE CLASSIFICATION</v>
      </c>
      <c r="B770" s="100" t="s">
        <v>189</v>
      </c>
      <c r="C770" s="117"/>
      <c r="D770" s="301" t="s">
        <v>188</v>
      </c>
      <c r="E770" s="301"/>
      <c r="F770" s="193"/>
      <c r="G770" s="194"/>
      <c r="H770" s="188">
        <f>SUM(H767,H768)</f>
        <v>2463.8994600000001</v>
      </c>
      <c r="I770" s="195"/>
      <c r="J770" s="195"/>
      <c r="K770" s="188">
        <f>SUM(K767,K768)</f>
        <v>2390.8291400000003</v>
      </c>
      <c r="L770" s="196">
        <f>K770-H770</f>
        <v>-73.070319999999811</v>
      </c>
      <c r="M770" s="197">
        <f>IF((H770)=0,"",(L770/H770))</f>
        <v>-2.9656372423572757E-2</v>
      </c>
    </row>
    <row r="771" spans="1:13" ht="15.75" hidden="1" thickBot="1" x14ac:dyDescent="0.3">
      <c r="A771" s="100" t="str">
        <f t="shared" si="112"/>
        <v>GENERAL SERVICE LESS THAN 50 KW SERVICE CLASSIFICATION</v>
      </c>
      <c r="B771" s="100" t="s">
        <v>180</v>
      </c>
      <c r="C771" s="117"/>
      <c r="D771" s="165"/>
      <c r="E771" s="166"/>
      <c r="F771" s="198"/>
      <c r="G771" s="199"/>
      <c r="H771" s="200"/>
      <c r="I771" s="198"/>
      <c r="J771" s="168"/>
      <c r="K771" s="200"/>
      <c r="L771" s="201"/>
      <c r="M771" s="172"/>
    </row>
    <row r="772" spans="1:13" ht="15.75" hidden="1" thickBot="1" x14ac:dyDescent="0.3">
      <c r="A772" s="100" t="str">
        <f t="shared" si="112"/>
        <v>GENERAL SERVICE LESS THAN 50 KW SERVICE CLASSIFICATION</v>
      </c>
      <c r="B772" s="100" t="s">
        <v>121</v>
      </c>
      <c r="C772" s="117"/>
      <c r="D772" s="173" t="s">
        <v>190</v>
      </c>
      <c r="E772" s="158"/>
      <c r="F772" s="174"/>
      <c r="G772" s="175"/>
      <c r="H772" s="176">
        <f>SUM(H760,H752:H755,H751)</f>
        <v>2180.442</v>
      </c>
      <c r="I772" s="177"/>
      <c r="J772" s="177"/>
      <c r="K772" s="176">
        <f>SUM(K760,K752:K755,K751)</f>
        <v>2115.7780000000002</v>
      </c>
      <c r="L772" s="178">
        <f>K772-H772</f>
        <v>-64.66399999999976</v>
      </c>
      <c r="M772" s="179">
        <f>IF((H772)=0,"",(L772/H772))</f>
        <v>-2.9656372423572726E-2</v>
      </c>
    </row>
    <row r="773" spans="1:13" ht="15.75" hidden="1" thickBot="1" x14ac:dyDescent="0.3">
      <c r="A773" s="100" t="str">
        <f t="shared" si="112"/>
        <v>GENERAL SERVICE LESS THAN 50 KW SERVICE CLASSIFICATION</v>
      </c>
      <c r="B773" s="100" t="s">
        <v>121</v>
      </c>
      <c r="C773" s="117"/>
      <c r="D773" s="180" t="s">
        <v>184</v>
      </c>
      <c r="E773" s="158"/>
      <c r="F773" s="174">
        <v>0.13</v>
      </c>
      <c r="G773" s="175"/>
      <c r="H773" s="182">
        <f>H772*F773</f>
        <v>283.45746000000003</v>
      </c>
      <c r="I773" s="174">
        <v>0.13</v>
      </c>
      <c r="J773" s="183"/>
      <c r="K773" s="182">
        <f>K772*I773</f>
        <v>275.05114000000003</v>
      </c>
      <c r="L773" s="184">
        <f>K773-H773</f>
        <v>-8.4063199999999938</v>
      </c>
      <c r="M773" s="185">
        <f>IF((H773)=0,"",(L773/H773))</f>
        <v>-2.9656372423572809E-2</v>
      </c>
    </row>
    <row r="774" spans="1:13" ht="15.75" hidden="1" thickBot="1" x14ac:dyDescent="0.3">
      <c r="A774" s="100" t="str">
        <f t="shared" si="112"/>
        <v>GENERAL SERVICE LESS THAN 50 KW SERVICE CLASSIFICATION</v>
      </c>
      <c r="B774" s="100" t="s">
        <v>121</v>
      </c>
      <c r="C774" s="117"/>
      <c r="D774" s="180" t="s">
        <v>185</v>
      </c>
      <c r="E774" s="158"/>
      <c r="F774" s="174">
        <v>0.08</v>
      </c>
      <c r="G774" s="175"/>
      <c r="H774" s="182"/>
      <c r="I774" s="174">
        <v>0.08</v>
      </c>
      <c r="J774" s="183"/>
      <c r="K774" s="182"/>
      <c r="L774" s="184"/>
      <c r="M774" s="185"/>
    </row>
    <row r="775" spans="1:13" ht="15.75" hidden="1" thickBot="1" x14ac:dyDescent="0.3">
      <c r="A775" s="100" t="str">
        <f t="shared" si="112"/>
        <v>GENERAL SERVICE LESS THAN 50 KW SERVICE CLASSIFICATION</v>
      </c>
      <c r="B775" s="100" t="s">
        <v>191</v>
      </c>
      <c r="C775" s="117"/>
      <c r="D775" s="301" t="s">
        <v>190</v>
      </c>
      <c r="E775" s="301"/>
      <c r="F775" s="193"/>
      <c r="G775" s="194"/>
      <c r="H775" s="188">
        <f>SUM(H772,H773)</f>
        <v>2463.8994600000001</v>
      </c>
      <c r="I775" s="195"/>
      <c r="J775" s="195"/>
      <c r="K775" s="188">
        <f>SUM(K772,K773)</f>
        <v>2390.8291400000003</v>
      </c>
      <c r="L775" s="196">
        <f>K775-H775</f>
        <v>-73.070319999999811</v>
      </c>
      <c r="M775" s="197">
        <f>IF((H775)=0,"",(L775/H775))</f>
        <v>-2.9656372423572757E-2</v>
      </c>
    </row>
    <row r="776" spans="1:13" ht="15.75" thickBot="1" x14ac:dyDescent="0.3">
      <c r="A776" s="100" t="str">
        <f t="shared" si="112"/>
        <v>GENERAL SERVICE LESS THAN 50 KW SERVICE CLASSIFICATION</v>
      </c>
      <c r="B776" s="100" t="s">
        <v>121</v>
      </c>
      <c r="C776" s="117"/>
      <c r="D776" s="165"/>
      <c r="E776" s="166"/>
      <c r="F776" s="202"/>
      <c r="G776" s="203"/>
      <c r="H776" s="204"/>
      <c r="I776" s="202"/>
      <c r="J776" s="205"/>
      <c r="K776" s="204"/>
      <c r="L776" s="206"/>
      <c r="M776" s="207"/>
    </row>
    <row r="779" spans="1:13" x14ac:dyDescent="0.25">
      <c r="C779" s="100"/>
      <c r="D779" s="101" t="s">
        <v>134</v>
      </c>
      <c r="E779" s="302" t="str">
        <f>D16</f>
        <v>GENERAL SERVICE 50 TO 999 KW SERVICE CLASSIFICATION</v>
      </c>
      <c r="F779" s="302"/>
      <c r="G779" s="302"/>
      <c r="H779" s="302"/>
      <c r="I779" s="302"/>
      <c r="J779" s="302"/>
      <c r="K779" s="100" t="str">
        <f>IF(N16="DEMAND - INTERVAL","RTSR - INTERVAL METERED","")</f>
        <v/>
      </c>
    </row>
    <row r="780" spans="1:13" x14ac:dyDescent="0.25">
      <c r="C780" s="100"/>
      <c r="D780" s="101" t="s">
        <v>135</v>
      </c>
      <c r="E780" s="303" t="str">
        <f>H16</f>
        <v>Non-RPP (Other)</v>
      </c>
      <c r="F780" s="303"/>
      <c r="G780" s="303"/>
      <c r="H780" s="102"/>
      <c r="I780" s="102"/>
    </row>
    <row r="781" spans="1:13" ht="15.75" x14ac:dyDescent="0.25">
      <c r="C781" s="100"/>
      <c r="D781" s="101" t="s">
        <v>136</v>
      </c>
      <c r="E781" s="103">
        <f>K16</f>
        <v>20000</v>
      </c>
      <c r="F781" s="104" t="s">
        <v>137</v>
      </c>
      <c r="G781" s="105"/>
      <c r="J781" s="106"/>
      <c r="K781" s="106"/>
      <c r="L781" s="106"/>
      <c r="M781" s="106"/>
    </row>
    <row r="782" spans="1:13" ht="15.75" x14ac:dyDescent="0.25">
      <c r="C782" s="100"/>
      <c r="D782" s="101" t="s">
        <v>138</v>
      </c>
      <c r="E782" s="103">
        <f>L16</f>
        <v>60</v>
      </c>
      <c r="F782" s="107" t="s">
        <v>139</v>
      </c>
      <c r="G782" s="108"/>
      <c r="H782" s="109"/>
      <c r="I782" s="109"/>
      <c r="J782" s="109"/>
    </row>
    <row r="783" spans="1:13" x14ac:dyDescent="0.25">
      <c r="C783" s="100"/>
      <c r="D783" s="101" t="s">
        <v>140</v>
      </c>
      <c r="E783" s="110">
        <f>I16</f>
        <v>1.056</v>
      </c>
    </row>
    <row r="784" spans="1:13" x14ac:dyDescent="0.25">
      <c r="C784" s="100"/>
      <c r="D784" s="101" t="s">
        <v>141</v>
      </c>
      <c r="E784" s="110">
        <f>J16</f>
        <v>1.056</v>
      </c>
    </row>
    <row r="785" spans="1:13" x14ac:dyDescent="0.25">
      <c r="C785" s="100"/>
      <c r="D785" s="105"/>
    </row>
    <row r="786" spans="1:13" x14ac:dyDescent="0.25">
      <c r="C786" s="100"/>
      <c r="D786" s="105"/>
      <c r="E786" s="111"/>
      <c r="F786" s="304" t="s">
        <v>142</v>
      </c>
      <c r="G786" s="305"/>
      <c r="H786" s="306"/>
      <c r="I786" s="304" t="s">
        <v>143</v>
      </c>
      <c r="J786" s="305"/>
      <c r="K786" s="306"/>
      <c r="L786" s="304" t="s">
        <v>144</v>
      </c>
      <c r="M786" s="306"/>
    </row>
    <row r="787" spans="1:13" x14ac:dyDescent="0.25">
      <c r="C787" s="100"/>
      <c r="D787" s="105"/>
      <c r="E787" s="295"/>
      <c r="F787" s="112" t="s">
        <v>145</v>
      </c>
      <c r="G787" s="112" t="s">
        <v>146</v>
      </c>
      <c r="H787" s="113" t="s">
        <v>147</v>
      </c>
      <c r="I787" s="112" t="s">
        <v>145</v>
      </c>
      <c r="J787" s="114" t="s">
        <v>146</v>
      </c>
      <c r="K787" s="113" t="s">
        <v>147</v>
      </c>
      <c r="L787" s="297" t="s">
        <v>148</v>
      </c>
      <c r="M787" s="299" t="s">
        <v>149</v>
      </c>
    </row>
    <row r="788" spans="1:13" x14ac:dyDescent="0.25">
      <c r="C788" s="100"/>
      <c r="D788" s="105"/>
      <c r="E788" s="296"/>
      <c r="F788" s="115" t="s">
        <v>150</v>
      </c>
      <c r="G788" s="115"/>
      <c r="H788" s="116" t="s">
        <v>150</v>
      </c>
      <c r="I788" s="115" t="s">
        <v>150</v>
      </c>
      <c r="J788" s="116"/>
      <c r="K788" s="116" t="s">
        <v>150</v>
      </c>
      <c r="L788" s="298"/>
      <c r="M788" s="300"/>
    </row>
    <row r="789" spans="1:13" x14ac:dyDescent="0.25">
      <c r="A789" s="100" t="str">
        <f>$E779</f>
        <v>GENERAL SERVICE 50 TO 999 KW SERVICE CLASSIFICATION</v>
      </c>
      <c r="C789" s="117"/>
      <c r="D789" s="118" t="s">
        <v>151</v>
      </c>
      <c r="E789" s="119"/>
      <c r="F789" s="120">
        <v>86.83</v>
      </c>
      <c r="G789" s="121">
        <v>1</v>
      </c>
      <c r="H789" s="122">
        <f>G789*F789</f>
        <v>86.83</v>
      </c>
      <c r="I789" s="123">
        <v>87.87</v>
      </c>
      <c r="J789" s="124">
        <f>G789</f>
        <v>1</v>
      </c>
      <c r="K789" s="122">
        <f>J789*I789</f>
        <v>87.87</v>
      </c>
      <c r="L789" s="125">
        <f t="shared" ref="L789:L810" si="117">K789-H789</f>
        <v>1.0400000000000063</v>
      </c>
      <c r="M789" s="126">
        <f>IF(ISERROR(L789/H789), "", L789/H789)</f>
        <v>1.1977427156512798E-2</v>
      </c>
    </row>
    <row r="790" spans="1:13" x14ac:dyDescent="0.25">
      <c r="A790" s="100" t="str">
        <f>A789</f>
        <v>GENERAL SERVICE 50 TO 999 KW SERVICE CLASSIFICATION</v>
      </c>
      <c r="C790" s="117"/>
      <c r="D790" s="118" t="s">
        <v>152</v>
      </c>
      <c r="E790" s="119"/>
      <c r="F790" s="127">
        <v>3.8580000000000001</v>
      </c>
      <c r="G790" s="121">
        <f>IF($E782&gt;0, $E782, $E781)</f>
        <v>60</v>
      </c>
      <c r="H790" s="122">
        <f t="shared" ref="H790:H802" si="118">G790*F790</f>
        <v>231.48000000000002</v>
      </c>
      <c r="I790" s="128">
        <v>3.9043000000000001</v>
      </c>
      <c r="J790" s="124">
        <f>IF($E782&gt;0, $E782, $E781)</f>
        <v>60</v>
      </c>
      <c r="K790" s="122">
        <f>J790*I790</f>
        <v>234.25800000000001</v>
      </c>
      <c r="L790" s="125">
        <f t="shared" si="117"/>
        <v>2.7779999999999916</v>
      </c>
      <c r="M790" s="126">
        <f t="shared" ref="M790:M800" si="119">IF(ISERROR(L790/H790), "", L790/H790)</f>
        <v>1.2001036806635525E-2</v>
      </c>
    </row>
    <row r="791" spans="1:13" x14ac:dyDescent="0.25">
      <c r="A791" s="100" t="str">
        <f t="shared" ref="A791:A832" si="120">A790</f>
        <v>GENERAL SERVICE 50 TO 999 KW SERVICE CLASSIFICATION</v>
      </c>
      <c r="C791" s="117"/>
      <c r="D791" s="118" t="s">
        <v>153</v>
      </c>
      <c r="E791" s="119"/>
      <c r="F791" s="127"/>
      <c r="G791" s="121">
        <f>IF($E782&gt;0, $E782, $E781)</f>
        <v>60</v>
      </c>
      <c r="H791" s="122">
        <v>0</v>
      </c>
      <c r="I791" s="128"/>
      <c r="J791" s="124">
        <f>IF($E782&gt;0, $E782, $E781)</f>
        <v>60</v>
      </c>
      <c r="K791" s="122">
        <v>0</v>
      </c>
      <c r="L791" s="125"/>
      <c r="M791" s="126"/>
    </row>
    <row r="792" spans="1:13" x14ac:dyDescent="0.25">
      <c r="A792" s="100" t="str">
        <f t="shared" si="120"/>
        <v>GENERAL SERVICE 50 TO 999 KW SERVICE CLASSIFICATION</v>
      </c>
      <c r="C792" s="117"/>
      <c r="D792" s="118" t="s">
        <v>154</v>
      </c>
      <c r="E792" s="119"/>
      <c r="F792" s="127"/>
      <c r="G792" s="121">
        <f>IF($E782&gt;0, $E782, $E781)</f>
        <v>60</v>
      </c>
      <c r="H792" s="122">
        <v>0</v>
      </c>
      <c r="I792" s="128"/>
      <c r="J792" s="121">
        <f>IF($E782&gt;0, $E782, $E781)</f>
        <v>60</v>
      </c>
      <c r="K792" s="122">
        <v>0</v>
      </c>
      <c r="L792" s="125">
        <f>K792-H792</f>
        <v>0</v>
      </c>
      <c r="M792" s="126" t="str">
        <f>IF(ISERROR(L792/H792), "", L792/H792)</f>
        <v/>
      </c>
    </row>
    <row r="793" spans="1:13" x14ac:dyDescent="0.25">
      <c r="A793" s="100" t="str">
        <f t="shared" si="120"/>
        <v>GENERAL SERVICE 50 TO 999 KW SERVICE CLASSIFICATION</v>
      </c>
      <c r="C793" s="117"/>
      <c r="D793" s="129" t="s">
        <v>155</v>
      </c>
      <c r="E793" s="119"/>
      <c r="F793" s="120">
        <v>0</v>
      </c>
      <c r="G793" s="121">
        <v>1</v>
      </c>
      <c r="H793" s="122">
        <f t="shared" si="118"/>
        <v>0</v>
      </c>
      <c r="I793" s="123">
        <v>0</v>
      </c>
      <c r="J793" s="124">
        <f>G793</f>
        <v>1</v>
      </c>
      <c r="K793" s="122">
        <f t="shared" ref="K793:K800" si="121">J793*I793</f>
        <v>0</v>
      </c>
      <c r="L793" s="125">
        <f t="shared" si="117"/>
        <v>0</v>
      </c>
      <c r="M793" s="126" t="str">
        <f t="shared" si="119"/>
        <v/>
      </c>
    </row>
    <row r="794" spans="1:13" x14ac:dyDescent="0.25">
      <c r="A794" s="100" t="str">
        <f t="shared" si="120"/>
        <v>GENERAL SERVICE 50 TO 999 KW SERVICE CLASSIFICATION</v>
      </c>
      <c r="C794" s="117"/>
      <c r="D794" s="118" t="s">
        <v>156</v>
      </c>
      <c r="E794" s="119"/>
      <c r="F794" s="127">
        <v>0</v>
      </c>
      <c r="G794" s="121">
        <f>IF($E782&gt;0, $E782, $E781)</f>
        <v>60</v>
      </c>
      <c r="H794" s="122">
        <f t="shared" si="118"/>
        <v>0</v>
      </c>
      <c r="I794" s="128">
        <v>0</v>
      </c>
      <c r="J794" s="124">
        <f>IF($E782&gt;0, $E782, $E781)</f>
        <v>60</v>
      </c>
      <c r="K794" s="122">
        <f t="shared" si="121"/>
        <v>0</v>
      </c>
      <c r="L794" s="125">
        <f t="shared" si="117"/>
        <v>0</v>
      </c>
      <c r="M794" s="126" t="str">
        <f t="shared" si="119"/>
        <v/>
      </c>
    </row>
    <row r="795" spans="1:13" x14ac:dyDescent="0.25">
      <c r="A795" s="100" t="str">
        <f t="shared" si="120"/>
        <v>GENERAL SERVICE 50 TO 999 KW SERVICE CLASSIFICATION</v>
      </c>
      <c r="B795" s="130" t="s">
        <v>157</v>
      </c>
      <c r="C795" s="117">
        <f>B16</f>
        <v>14</v>
      </c>
      <c r="D795" s="131" t="s">
        <v>158</v>
      </c>
      <c r="E795" s="132"/>
      <c r="F795" s="133"/>
      <c r="G795" s="134"/>
      <c r="H795" s="135">
        <f>SUM(H789:H794)</f>
        <v>318.31</v>
      </c>
      <c r="I795" s="136"/>
      <c r="J795" s="137"/>
      <c r="K795" s="135">
        <f>SUM(K789:K794)</f>
        <v>322.12800000000004</v>
      </c>
      <c r="L795" s="138">
        <f t="shared" si="117"/>
        <v>3.8180000000000405</v>
      </c>
      <c r="M795" s="139">
        <f>IF((H795)=0,"",(L795/H795))</f>
        <v>1.1994596462568063E-2</v>
      </c>
    </row>
    <row r="796" spans="1:13" x14ac:dyDescent="0.25">
      <c r="A796" s="100" t="str">
        <f t="shared" si="120"/>
        <v>GENERAL SERVICE 50 TO 999 KW SERVICE CLASSIFICATION</v>
      </c>
      <c r="C796" s="117"/>
      <c r="D796" s="140" t="s">
        <v>159</v>
      </c>
      <c r="E796" s="119"/>
      <c r="F796" s="127">
        <f>IF((E781*12&gt;=150000), 0, IF(E780="RPP",(F812*0.65+F813*0.17+F814*0.18),IF(E780="Non-RPP (Retailer)",F815,F816)))</f>
        <v>0</v>
      </c>
      <c r="G796" s="141">
        <f>IF(F796=0, 0, $E781*E783-E781)</f>
        <v>0</v>
      </c>
      <c r="H796" s="122">
        <f>G796*F796</f>
        <v>0</v>
      </c>
      <c r="I796" s="128">
        <f>IF((E781*12&gt;=150000), 0, IF(E780="RPP",(I812*0.65+I813*0.17+I814*0.18),IF(E780="Non-RPP (Retailer)",I815,I816)))</f>
        <v>0</v>
      </c>
      <c r="J796" s="141">
        <f>IF(I796=0, 0, E781*E784-E781)</f>
        <v>0</v>
      </c>
      <c r="K796" s="122">
        <f>J796*I796</f>
        <v>0</v>
      </c>
      <c r="L796" s="125">
        <f>K796-H796</f>
        <v>0</v>
      </c>
      <c r="M796" s="126" t="str">
        <f>IF(ISERROR(L796/H796), "", L796/H796)</f>
        <v/>
      </c>
    </row>
    <row r="797" spans="1:13" ht="25.5" x14ac:dyDescent="0.25">
      <c r="A797" s="100" t="str">
        <f t="shared" si="120"/>
        <v>GENERAL SERVICE 50 TO 999 KW SERVICE CLASSIFICATION</v>
      </c>
      <c r="C797" s="117"/>
      <c r="D797" s="140" t="s">
        <v>160</v>
      </c>
      <c r="E797" s="119"/>
      <c r="F797" s="127">
        <v>-0.70650000000000002</v>
      </c>
      <c r="G797" s="142">
        <f>IF($E782&gt;0, $E782, $E781)</f>
        <v>60</v>
      </c>
      <c r="H797" s="122">
        <f t="shared" si="118"/>
        <v>-42.39</v>
      </c>
      <c r="I797" s="128">
        <v>-1.7801</v>
      </c>
      <c r="J797" s="142">
        <f>IF($E782&gt;0, $E782, $E781)</f>
        <v>60</v>
      </c>
      <c r="K797" s="122">
        <f t="shared" si="121"/>
        <v>-106.806</v>
      </c>
      <c r="L797" s="125">
        <f t="shared" si="117"/>
        <v>-64.415999999999997</v>
      </c>
      <c r="M797" s="126">
        <f t="shared" si="119"/>
        <v>1.5196036801132342</v>
      </c>
    </row>
    <row r="798" spans="1:13" x14ac:dyDescent="0.25">
      <c r="A798" s="100" t="str">
        <f t="shared" si="120"/>
        <v>GENERAL SERVICE 50 TO 999 KW SERVICE CLASSIFICATION</v>
      </c>
      <c r="C798" s="117"/>
      <c r="D798" s="140" t="s">
        <v>161</v>
      </c>
      <c r="E798" s="119"/>
      <c r="F798" s="127">
        <v>-2.76E-2</v>
      </c>
      <c r="G798" s="142">
        <f>IF($E782&gt;0, $E782, $E781)</f>
        <v>60</v>
      </c>
      <c r="H798" s="122">
        <f>G798*F798</f>
        <v>-1.6559999999999999</v>
      </c>
      <c r="I798" s="128">
        <v>0</v>
      </c>
      <c r="J798" s="142">
        <f>IF($E782&gt;0, $E782, $E781)</f>
        <v>60</v>
      </c>
      <c r="K798" s="122">
        <f>J798*I798</f>
        <v>0</v>
      </c>
      <c r="L798" s="125">
        <f t="shared" si="117"/>
        <v>1.6559999999999999</v>
      </c>
      <c r="M798" s="126">
        <f t="shared" si="119"/>
        <v>-1</v>
      </c>
    </row>
    <row r="799" spans="1:13" x14ac:dyDescent="0.25">
      <c r="A799" s="100" t="str">
        <f t="shared" si="120"/>
        <v>GENERAL SERVICE 50 TO 999 KW SERVICE CLASSIFICATION</v>
      </c>
      <c r="C799" s="117"/>
      <c r="D799" s="140" t="s">
        <v>162</v>
      </c>
      <c r="E799" s="119"/>
      <c r="F799" s="127"/>
      <c r="G799" s="142">
        <f>E781</f>
        <v>20000</v>
      </c>
      <c r="H799" s="122">
        <f>G799*F799</f>
        <v>0</v>
      </c>
      <c r="I799" s="128"/>
      <c r="J799" s="142">
        <f>E781</f>
        <v>20000</v>
      </c>
      <c r="K799" s="122">
        <f t="shared" si="121"/>
        <v>0</v>
      </c>
      <c r="L799" s="125">
        <f t="shared" si="117"/>
        <v>0</v>
      </c>
      <c r="M799" s="126" t="str">
        <f t="shared" si="119"/>
        <v/>
      </c>
    </row>
    <row r="800" spans="1:13" x14ac:dyDescent="0.25">
      <c r="A800" s="100" t="str">
        <f t="shared" si="120"/>
        <v>GENERAL SERVICE 50 TO 999 KW SERVICE CLASSIFICATION</v>
      </c>
      <c r="C800" s="117"/>
      <c r="D800" s="143" t="s">
        <v>163</v>
      </c>
      <c r="E800" s="119"/>
      <c r="F800" s="127">
        <v>1.0483</v>
      </c>
      <c r="G800" s="142">
        <f>IF($E782&gt;0, $E782, $E781)</f>
        <v>60</v>
      </c>
      <c r="H800" s="122">
        <f t="shared" si="118"/>
        <v>62.898000000000003</v>
      </c>
      <c r="I800" s="128">
        <v>1.0483</v>
      </c>
      <c r="J800" s="142">
        <f>IF($E782&gt;0, $E782, $E781)</f>
        <v>60</v>
      </c>
      <c r="K800" s="122">
        <f t="shared" si="121"/>
        <v>62.898000000000003</v>
      </c>
      <c r="L800" s="125">
        <f t="shared" si="117"/>
        <v>0</v>
      </c>
      <c r="M800" s="126">
        <f t="shared" si="119"/>
        <v>0</v>
      </c>
    </row>
    <row r="801" spans="1:13" ht="25.5" x14ac:dyDescent="0.25">
      <c r="A801" s="100" t="str">
        <f t="shared" si="120"/>
        <v>GENERAL SERVICE 50 TO 999 KW SERVICE CLASSIFICATION</v>
      </c>
      <c r="C801" s="117"/>
      <c r="D801" s="144" t="s">
        <v>164</v>
      </c>
      <c r="E801" s="119"/>
      <c r="F801" s="145">
        <f>IF(OR(ISNUMBER(SEARCH("RESIDENTIAL", E779))=TRUE, ISNUMBER(SEARCH("GENERAL SERVICE LESS THAN 50", E779))=TRUE), SME, 0)</f>
        <v>0</v>
      </c>
      <c r="G801" s="121">
        <v>1</v>
      </c>
      <c r="H801" s="122">
        <f>G801*F801</f>
        <v>0</v>
      </c>
      <c r="I801" s="146">
        <f>IF(OR(ISNUMBER(SEARCH("RESIDENTIAL", E779))=TRUE, ISNUMBER(SEARCH("GENERAL SERVICE LESS THAN 50", E779))=TRUE), SME, 0)</f>
        <v>0</v>
      </c>
      <c r="J801" s="121">
        <v>1</v>
      </c>
      <c r="K801" s="122">
        <f>J801*I801</f>
        <v>0</v>
      </c>
      <c r="L801" s="125">
        <f t="shared" si="117"/>
        <v>0</v>
      </c>
      <c r="M801" s="126" t="str">
        <f>IF(ISERROR(L801/H801), "", L801/H801)</f>
        <v/>
      </c>
    </row>
    <row r="802" spans="1:13" x14ac:dyDescent="0.25">
      <c r="A802" s="100" t="str">
        <f t="shared" si="120"/>
        <v>GENERAL SERVICE 50 TO 999 KW SERVICE CLASSIFICATION</v>
      </c>
      <c r="C802" s="117"/>
      <c r="D802" s="143" t="s">
        <v>165</v>
      </c>
      <c r="E802" s="119"/>
      <c r="F802" s="120">
        <v>0</v>
      </c>
      <c r="G802" s="121">
        <v>1</v>
      </c>
      <c r="H802" s="122">
        <f t="shared" si="118"/>
        <v>0</v>
      </c>
      <c r="I802" s="123">
        <v>0</v>
      </c>
      <c r="J802" s="121">
        <v>1</v>
      </c>
      <c r="K802" s="122">
        <f>J802*I802</f>
        <v>0</v>
      </c>
      <c r="L802" s="125">
        <f>K802-H802</f>
        <v>0</v>
      </c>
      <c r="M802" s="126" t="str">
        <f>IF(ISERROR(L802/H802), "", L802/H802)</f>
        <v/>
      </c>
    </row>
    <row r="803" spans="1:13" x14ac:dyDescent="0.25">
      <c r="A803" s="100" t="str">
        <f t="shared" si="120"/>
        <v>GENERAL SERVICE 50 TO 999 KW SERVICE CLASSIFICATION</v>
      </c>
      <c r="C803" s="117"/>
      <c r="D803" s="143" t="s">
        <v>166</v>
      </c>
      <c r="E803" s="119"/>
      <c r="F803" s="127"/>
      <c r="G803" s="142">
        <f>IF($E782&gt;0, $E782, $E781)</f>
        <v>60</v>
      </c>
      <c r="H803" s="122">
        <f>G803*F803</f>
        <v>0</v>
      </c>
      <c r="I803" s="128">
        <v>0</v>
      </c>
      <c r="J803" s="142">
        <f>IF($E782&gt;0, $E782, $E781)</f>
        <v>60</v>
      </c>
      <c r="K803" s="122">
        <f>J803*I803</f>
        <v>0</v>
      </c>
      <c r="L803" s="125">
        <f t="shared" si="117"/>
        <v>0</v>
      </c>
      <c r="M803" s="126" t="str">
        <f>IF(ISERROR(L803/H803), "", L803/H803)</f>
        <v/>
      </c>
    </row>
    <row r="804" spans="1:13" ht="25.5" x14ac:dyDescent="0.25">
      <c r="A804" s="100" t="str">
        <f t="shared" si="120"/>
        <v>GENERAL SERVICE 50 TO 999 KW SERVICE CLASSIFICATION</v>
      </c>
      <c r="B804" s="105" t="s">
        <v>167</v>
      </c>
      <c r="C804" s="117">
        <f>B16</f>
        <v>14</v>
      </c>
      <c r="D804" s="147" t="s">
        <v>168</v>
      </c>
      <c r="E804" s="148"/>
      <c r="F804" s="149"/>
      <c r="G804" s="150"/>
      <c r="H804" s="151">
        <f>SUM(H795:H803)</f>
        <v>337.16200000000003</v>
      </c>
      <c r="I804" s="152"/>
      <c r="J804" s="153"/>
      <c r="K804" s="151">
        <f>SUM(K795:K803)</f>
        <v>278.22000000000008</v>
      </c>
      <c r="L804" s="138">
        <f t="shared" si="117"/>
        <v>-58.94199999999995</v>
      </c>
      <c r="M804" s="139">
        <f>IF((H804)=0,"",(L804/H804))</f>
        <v>-0.17481803999264431</v>
      </c>
    </row>
    <row r="805" spans="1:13" x14ac:dyDescent="0.25">
      <c r="A805" s="100" t="str">
        <f t="shared" si="120"/>
        <v>GENERAL SERVICE 50 TO 999 KW SERVICE CLASSIFICATION</v>
      </c>
      <c r="C805" s="117"/>
      <c r="D805" s="154" t="s">
        <v>169</v>
      </c>
      <c r="E805" s="119"/>
      <c r="F805" s="127">
        <v>2.6217000000000001</v>
      </c>
      <c r="G805" s="141">
        <f>IF($E782&gt;0, $E782, $E781*$E783)</f>
        <v>60</v>
      </c>
      <c r="H805" s="122">
        <f>G805*F805</f>
        <v>157.30200000000002</v>
      </c>
      <c r="I805" s="128">
        <v>2.4868999999999999</v>
      </c>
      <c r="J805" s="141">
        <f>IF($E782&gt;0, $E782, $E781*$E784)</f>
        <v>60</v>
      </c>
      <c r="K805" s="122">
        <f>J805*I805</f>
        <v>149.214</v>
      </c>
      <c r="L805" s="125">
        <f t="shared" si="117"/>
        <v>-8.0880000000000223</v>
      </c>
      <c r="M805" s="126">
        <f>IF(ISERROR(L805/H805), "", L805/H805)</f>
        <v>-5.1417019491169988E-2</v>
      </c>
    </row>
    <row r="806" spans="1:13" ht="25.5" x14ac:dyDescent="0.25">
      <c r="A806" s="100" t="str">
        <f t="shared" si="120"/>
        <v>GENERAL SERVICE 50 TO 999 KW SERVICE CLASSIFICATION</v>
      </c>
      <c r="C806" s="117"/>
      <c r="D806" s="155" t="s">
        <v>170</v>
      </c>
      <c r="E806" s="119"/>
      <c r="F806" s="127">
        <v>2.2145999999999999</v>
      </c>
      <c r="G806" s="141">
        <f>IF($E782&gt;0, $E782, $E781*$E783)</f>
        <v>60</v>
      </c>
      <c r="H806" s="122">
        <f>G806*F806</f>
        <v>132.876</v>
      </c>
      <c r="I806" s="128">
        <v>2.0933000000000002</v>
      </c>
      <c r="J806" s="141">
        <f>IF($E782&gt;0, $E782, $E781*$E784)</f>
        <v>60</v>
      </c>
      <c r="K806" s="122">
        <f>J806*I806</f>
        <v>125.59800000000001</v>
      </c>
      <c r="L806" s="125">
        <f t="shared" si="117"/>
        <v>-7.2779999999999916</v>
      </c>
      <c r="M806" s="126">
        <f>IF(ISERROR(L806/H806), "", L806/H806)</f>
        <v>-5.4772870947349346E-2</v>
      </c>
    </row>
    <row r="807" spans="1:13" ht="25.5" x14ac:dyDescent="0.25">
      <c r="A807" s="100" t="str">
        <f t="shared" si="120"/>
        <v>GENERAL SERVICE 50 TO 999 KW SERVICE CLASSIFICATION</v>
      </c>
      <c r="B807" s="105" t="s">
        <v>171</v>
      </c>
      <c r="C807" s="117">
        <f>B16</f>
        <v>14</v>
      </c>
      <c r="D807" s="147" t="s">
        <v>172</v>
      </c>
      <c r="E807" s="132"/>
      <c r="F807" s="149"/>
      <c r="G807" s="150"/>
      <c r="H807" s="151">
        <f>SUM(H804:H806)</f>
        <v>627.34</v>
      </c>
      <c r="I807" s="152"/>
      <c r="J807" s="137"/>
      <c r="K807" s="151">
        <f>SUM(K804:K806)</f>
        <v>553.03200000000015</v>
      </c>
      <c r="L807" s="138">
        <f t="shared" si="117"/>
        <v>-74.307999999999879</v>
      </c>
      <c r="M807" s="139">
        <f>IF((H807)=0,"",(L807/H807))</f>
        <v>-0.11844932572448733</v>
      </c>
    </row>
    <row r="808" spans="1:13" ht="25.5" x14ac:dyDescent="0.25">
      <c r="A808" s="100" t="str">
        <f t="shared" si="120"/>
        <v>GENERAL SERVICE 50 TO 999 KW SERVICE CLASSIFICATION</v>
      </c>
      <c r="C808" s="117"/>
      <c r="D808" s="156" t="s">
        <v>173</v>
      </c>
      <c r="E808" s="119"/>
      <c r="F808" s="127">
        <v>3.6000000000000003E-3</v>
      </c>
      <c r="G808" s="141">
        <f>E781*E783</f>
        <v>21120</v>
      </c>
      <c r="H808" s="157">
        <f t="shared" ref="H808:H814" si="122">G808*F808</f>
        <v>76.032000000000011</v>
      </c>
      <c r="I808" s="128">
        <v>3.6000000000000003E-3</v>
      </c>
      <c r="J808" s="141">
        <f>E781*E784</f>
        <v>21120</v>
      </c>
      <c r="K808" s="157">
        <f t="shared" ref="K808:K814" si="123">J808*I808</f>
        <v>76.032000000000011</v>
      </c>
      <c r="L808" s="125">
        <f t="shared" si="117"/>
        <v>0</v>
      </c>
      <c r="M808" s="126">
        <f t="shared" ref="M808:M816" si="124">IF(ISERROR(L808/H808), "", L808/H808)</f>
        <v>0</v>
      </c>
    </row>
    <row r="809" spans="1:13" ht="25.5" x14ac:dyDescent="0.25">
      <c r="A809" s="100" t="str">
        <f t="shared" si="120"/>
        <v>GENERAL SERVICE 50 TO 999 KW SERVICE CLASSIFICATION</v>
      </c>
      <c r="C809" s="117"/>
      <c r="D809" s="156" t="s">
        <v>174</v>
      </c>
      <c r="E809" s="119"/>
      <c r="F809" s="127">
        <f>'[1]17. Regulatory Charges'!$D$16</f>
        <v>2.9999999999999997E-4</v>
      </c>
      <c r="G809" s="141">
        <f>E781*E783</f>
        <v>21120</v>
      </c>
      <c r="H809" s="157">
        <f t="shared" si="122"/>
        <v>6.3359999999999994</v>
      </c>
      <c r="I809" s="128">
        <v>2.9999999999999997E-4</v>
      </c>
      <c r="J809" s="141">
        <f>E781*E784</f>
        <v>21120</v>
      </c>
      <c r="K809" s="157">
        <f t="shared" si="123"/>
        <v>6.3359999999999994</v>
      </c>
      <c r="L809" s="125">
        <f t="shared" si="117"/>
        <v>0</v>
      </c>
      <c r="M809" s="126">
        <f t="shared" si="124"/>
        <v>0</v>
      </c>
    </row>
    <row r="810" spans="1:13" x14ac:dyDescent="0.25">
      <c r="A810" s="100" t="str">
        <f t="shared" si="120"/>
        <v>GENERAL SERVICE 50 TO 999 KW SERVICE CLASSIFICATION</v>
      </c>
      <c r="C810" s="117"/>
      <c r="D810" s="158" t="s">
        <v>175</v>
      </c>
      <c r="E810" s="119"/>
      <c r="F810" s="145">
        <v>0.25</v>
      </c>
      <c r="G810" s="121">
        <v>1</v>
      </c>
      <c r="H810" s="157">
        <f t="shared" si="122"/>
        <v>0.25</v>
      </c>
      <c r="I810" s="146">
        <f>'[1]17. Regulatory Charges'!$D$17</f>
        <v>0.25</v>
      </c>
      <c r="J810" s="124">
        <v>1</v>
      </c>
      <c r="K810" s="157">
        <f t="shared" si="123"/>
        <v>0.25</v>
      </c>
      <c r="L810" s="125">
        <f t="shared" si="117"/>
        <v>0</v>
      </c>
      <c r="M810" s="126">
        <f t="shared" si="124"/>
        <v>0</v>
      </c>
    </row>
    <row r="811" spans="1:13" ht="25.5" x14ac:dyDescent="0.25">
      <c r="A811" s="100" t="str">
        <f t="shared" si="120"/>
        <v>GENERAL SERVICE 50 TO 999 KW SERVICE CLASSIFICATION</v>
      </c>
      <c r="C811" s="117"/>
      <c r="D811" s="156" t="s">
        <v>176</v>
      </c>
      <c r="E811" s="119"/>
      <c r="F811" s="127"/>
      <c r="G811" s="141"/>
      <c r="H811" s="157"/>
      <c r="I811" s="128"/>
      <c r="J811" s="141"/>
      <c r="K811" s="157"/>
      <c r="L811" s="125"/>
      <c r="M811" s="126"/>
    </row>
    <row r="812" spans="1:13" hidden="1" x14ac:dyDescent="0.25">
      <c r="A812" s="100" t="str">
        <f t="shared" si="120"/>
        <v>GENERAL SERVICE 50 TO 999 KW SERVICE CLASSIFICATION</v>
      </c>
      <c r="B812" s="105" t="s">
        <v>117</v>
      </c>
      <c r="C812" s="117"/>
      <c r="D812" s="159" t="s">
        <v>177</v>
      </c>
      <c r="E812" s="119"/>
      <c r="F812" s="160">
        <f>OffPeak</f>
        <v>6.5000000000000002E-2</v>
      </c>
      <c r="G812" s="161">
        <f>IF(AND(E781*12&gt;=150000),0.65*E781*E783,0.65*E781)</f>
        <v>13728</v>
      </c>
      <c r="H812" s="157">
        <f t="shared" si="122"/>
        <v>892.32</v>
      </c>
      <c r="I812" s="162">
        <f>OffPeak</f>
        <v>6.5000000000000002E-2</v>
      </c>
      <c r="J812" s="161">
        <f>IF(AND(E781*12&gt;=150000),0.65*E781*E784,0.65*E781)</f>
        <v>13728</v>
      </c>
      <c r="K812" s="157">
        <f t="shared" si="123"/>
        <v>892.32</v>
      </c>
      <c r="L812" s="125">
        <f>K812-H812</f>
        <v>0</v>
      </c>
      <c r="M812" s="126">
        <f t="shared" si="124"/>
        <v>0</v>
      </c>
    </row>
    <row r="813" spans="1:13" hidden="1" x14ac:dyDescent="0.25">
      <c r="A813" s="100" t="str">
        <f t="shared" si="120"/>
        <v>GENERAL SERVICE 50 TO 999 KW SERVICE CLASSIFICATION</v>
      </c>
      <c r="B813" s="105" t="s">
        <v>117</v>
      </c>
      <c r="C813" s="117"/>
      <c r="D813" s="159" t="s">
        <v>178</v>
      </c>
      <c r="E813" s="119"/>
      <c r="F813" s="160">
        <f>MidPeak</f>
        <v>9.4E-2</v>
      </c>
      <c r="G813" s="161">
        <f>IF(AND(E781*12&gt;=150000),0.17*E781*E783,0.17*E781)</f>
        <v>3590.4000000000005</v>
      </c>
      <c r="H813" s="157">
        <f t="shared" si="122"/>
        <v>337.49760000000003</v>
      </c>
      <c r="I813" s="162">
        <f>MidPeak</f>
        <v>9.4E-2</v>
      </c>
      <c r="J813" s="161">
        <f>IF(AND(E781*12&gt;=150000),0.17*E781*E784,0.17*E781)</f>
        <v>3590.4000000000005</v>
      </c>
      <c r="K813" s="157">
        <f t="shared" si="123"/>
        <v>337.49760000000003</v>
      </c>
      <c r="L813" s="125">
        <f>K813-H813</f>
        <v>0</v>
      </c>
      <c r="M813" s="126">
        <f t="shared" si="124"/>
        <v>0</v>
      </c>
    </row>
    <row r="814" spans="1:13" hidden="1" x14ac:dyDescent="0.25">
      <c r="A814" s="100" t="str">
        <f t="shared" si="120"/>
        <v>GENERAL SERVICE 50 TO 999 KW SERVICE CLASSIFICATION</v>
      </c>
      <c r="B814" s="105" t="s">
        <v>117</v>
      </c>
      <c r="C814" s="117"/>
      <c r="D814" s="105" t="s">
        <v>179</v>
      </c>
      <c r="E814" s="119"/>
      <c r="F814" s="160">
        <f>OnPeak</f>
        <v>0.13200000000000001</v>
      </c>
      <c r="G814" s="161">
        <f>IF(AND(E781*12&gt;=150000),0.18*E781*E783,0.18*E781)</f>
        <v>3801.6000000000004</v>
      </c>
      <c r="H814" s="157">
        <f t="shared" si="122"/>
        <v>501.8112000000001</v>
      </c>
      <c r="I814" s="162">
        <f>OnPeak</f>
        <v>0.13200000000000001</v>
      </c>
      <c r="J814" s="161">
        <f>IF(AND(E781*12&gt;=150000),0.18*E781*E784,0.18*E781)</f>
        <v>3801.6000000000004</v>
      </c>
      <c r="K814" s="157">
        <f t="shared" si="123"/>
        <v>501.8112000000001</v>
      </c>
      <c r="L814" s="125">
        <f>K814-H814</f>
        <v>0</v>
      </c>
      <c r="M814" s="126">
        <f t="shared" si="124"/>
        <v>0</v>
      </c>
    </row>
    <row r="815" spans="1:13" hidden="1" x14ac:dyDescent="0.25">
      <c r="A815" s="100" t="str">
        <f t="shared" si="120"/>
        <v>GENERAL SERVICE 50 TO 999 KW SERVICE CLASSIFICATION</v>
      </c>
      <c r="B815" s="100" t="s">
        <v>180</v>
      </c>
      <c r="C815" s="117"/>
      <c r="D815" s="159" t="s">
        <v>181</v>
      </c>
      <c r="E815" s="119"/>
      <c r="F815" s="163">
        <v>0.1101</v>
      </c>
      <c r="G815" s="161">
        <f>IF(AND(E781*12&gt;=150000),E781*E783,E781)</f>
        <v>21120</v>
      </c>
      <c r="H815" s="157">
        <f>G815*F815</f>
        <v>2325.3119999999999</v>
      </c>
      <c r="I815" s="164">
        <f>F815</f>
        <v>0.1101</v>
      </c>
      <c r="J815" s="161">
        <f>IF(AND(E781*12&gt;=150000),E781*E784,E781)</f>
        <v>21120</v>
      </c>
      <c r="K815" s="157">
        <f>J815*I815</f>
        <v>2325.3119999999999</v>
      </c>
      <c r="L815" s="125">
        <f>K815-H815</f>
        <v>0</v>
      </c>
      <c r="M815" s="126">
        <f t="shared" si="124"/>
        <v>0</v>
      </c>
    </row>
    <row r="816" spans="1:13" ht="15.75" thickBot="1" x14ac:dyDescent="0.3">
      <c r="A816" s="100" t="str">
        <f t="shared" si="120"/>
        <v>GENERAL SERVICE 50 TO 999 KW SERVICE CLASSIFICATION</v>
      </c>
      <c r="B816" s="100" t="s">
        <v>121</v>
      </c>
      <c r="C816" s="117"/>
      <c r="D816" s="159" t="s">
        <v>182</v>
      </c>
      <c r="E816" s="119"/>
      <c r="F816" s="163">
        <v>0.1101</v>
      </c>
      <c r="G816" s="161">
        <f>IF(AND(E781*12&gt;=150000),E781*E783,E781)</f>
        <v>21120</v>
      </c>
      <c r="H816" s="157">
        <f>G816*F816</f>
        <v>2325.3119999999999</v>
      </c>
      <c r="I816" s="164">
        <f>F816</f>
        <v>0.1101</v>
      </c>
      <c r="J816" s="161">
        <f>IF(AND(E781*12&gt;=150000),E781*E784,E781)</f>
        <v>21120</v>
      </c>
      <c r="K816" s="157">
        <f>J816*I816</f>
        <v>2325.3119999999999</v>
      </c>
      <c r="L816" s="125">
        <f>K816-H816</f>
        <v>0</v>
      </c>
      <c r="M816" s="126">
        <f t="shared" si="124"/>
        <v>0</v>
      </c>
    </row>
    <row r="817" spans="1:13" ht="15.75" thickBot="1" x14ac:dyDescent="0.3">
      <c r="A817" s="100" t="str">
        <f t="shared" si="120"/>
        <v>GENERAL SERVICE 50 TO 999 KW SERVICE CLASSIFICATION</v>
      </c>
      <c r="B817" s="105"/>
      <c r="C817" s="117"/>
      <c r="D817" s="165"/>
      <c r="E817" s="166"/>
      <c r="F817" s="167"/>
      <c r="G817" s="168"/>
      <c r="H817" s="169"/>
      <c r="I817" s="167"/>
      <c r="J817" s="170"/>
      <c r="K817" s="169"/>
      <c r="L817" s="171"/>
      <c r="M817" s="172"/>
    </row>
    <row r="818" spans="1:13" hidden="1" x14ac:dyDescent="0.25">
      <c r="A818" s="100" t="str">
        <f t="shared" si="120"/>
        <v>GENERAL SERVICE 50 TO 999 KW SERVICE CLASSIFICATION</v>
      </c>
      <c r="B818" s="105" t="s">
        <v>117</v>
      </c>
      <c r="C818" s="117"/>
      <c r="D818" s="173" t="s">
        <v>183</v>
      </c>
      <c r="E818" s="158"/>
      <c r="F818" s="174"/>
      <c r="G818" s="175"/>
      <c r="H818" s="176">
        <f>SUM(H808:H814,H807)</f>
        <v>2441.5868000000005</v>
      </c>
      <c r="I818" s="177"/>
      <c r="J818" s="177"/>
      <c r="K818" s="176">
        <f>SUM(K808:K814,K807)</f>
        <v>2367.2788000000005</v>
      </c>
      <c r="L818" s="178">
        <f>K818-H818</f>
        <v>-74.307999999999993</v>
      </c>
      <c r="M818" s="179">
        <f>IF((H818)=0,"",(L818/H818))</f>
        <v>-3.043430608324061E-2</v>
      </c>
    </row>
    <row r="819" spans="1:13" hidden="1" x14ac:dyDescent="0.25">
      <c r="A819" s="100" t="str">
        <f t="shared" si="120"/>
        <v>GENERAL SERVICE 50 TO 999 KW SERVICE CLASSIFICATION</v>
      </c>
      <c r="B819" s="105" t="s">
        <v>117</v>
      </c>
      <c r="C819" s="117"/>
      <c r="D819" s="180" t="s">
        <v>184</v>
      </c>
      <c r="E819" s="158"/>
      <c r="F819" s="174">
        <v>0.13</v>
      </c>
      <c r="G819" s="181"/>
      <c r="H819" s="182">
        <f>H818*F819</f>
        <v>317.40628400000008</v>
      </c>
      <c r="I819" s="183">
        <v>0.13</v>
      </c>
      <c r="J819" s="121"/>
      <c r="K819" s="182">
        <f>K818*I819</f>
        <v>307.7462440000001</v>
      </c>
      <c r="L819" s="184">
        <f>K819-H819</f>
        <v>-9.6600399999999809</v>
      </c>
      <c r="M819" s="185">
        <f>IF((H819)=0,"",(L819/H819))</f>
        <v>-3.0434306083240551E-2</v>
      </c>
    </row>
    <row r="820" spans="1:13" hidden="1" x14ac:dyDescent="0.25">
      <c r="A820" s="100" t="str">
        <f t="shared" si="120"/>
        <v>GENERAL SERVICE 50 TO 999 KW SERVICE CLASSIFICATION</v>
      </c>
      <c r="B820" s="105" t="s">
        <v>117</v>
      </c>
      <c r="C820" s="117"/>
      <c r="D820" s="180" t="s">
        <v>185</v>
      </c>
      <c r="E820" s="158"/>
      <c r="F820" s="174">
        <v>0.08</v>
      </c>
      <c r="G820" s="181"/>
      <c r="H820" s="182">
        <v>0</v>
      </c>
      <c r="I820" s="174">
        <v>0.08</v>
      </c>
      <c r="J820" s="121"/>
      <c r="K820" s="182">
        <v>0</v>
      </c>
      <c r="L820" s="184">
        <f>K820-H820</f>
        <v>0</v>
      </c>
      <c r="M820" s="185"/>
    </row>
    <row r="821" spans="1:13" hidden="1" x14ac:dyDescent="0.25">
      <c r="A821" s="100" t="str">
        <f t="shared" si="120"/>
        <v>GENERAL SERVICE 50 TO 999 KW SERVICE CLASSIFICATION</v>
      </c>
      <c r="B821" s="105" t="s">
        <v>186</v>
      </c>
      <c r="C821" s="117"/>
      <c r="D821" s="301" t="s">
        <v>187</v>
      </c>
      <c r="E821" s="301"/>
      <c r="F821" s="186"/>
      <c r="G821" s="187"/>
      <c r="H821" s="188">
        <f>H818+H819+H820</f>
        <v>2758.9930840000006</v>
      </c>
      <c r="I821" s="189"/>
      <c r="J821" s="189"/>
      <c r="K821" s="190">
        <f>K818+K819+K820</f>
        <v>2675.0250440000004</v>
      </c>
      <c r="L821" s="191">
        <f>K821-H821</f>
        <v>-83.968040000000201</v>
      </c>
      <c r="M821" s="192">
        <f>IF((H821)=0,"",(L821/H821))</f>
        <v>-3.0434306083240686E-2</v>
      </c>
    </row>
    <row r="822" spans="1:13" ht="15.75" hidden="1" thickBot="1" x14ac:dyDescent="0.3">
      <c r="A822" s="100" t="str">
        <f t="shared" si="120"/>
        <v>GENERAL SERVICE 50 TO 999 KW SERVICE CLASSIFICATION</v>
      </c>
      <c r="B822" s="100" t="s">
        <v>117</v>
      </c>
      <c r="C822" s="117"/>
      <c r="D822" s="165"/>
      <c r="E822" s="166"/>
      <c r="F822" s="167"/>
      <c r="G822" s="168"/>
      <c r="H822" s="169"/>
      <c r="I822" s="167"/>
      <c r="J822" s="170"/>
      <c r="K822" s="169"/>
      <c r="L822" s="171"/>
      <c r="M822" s="172"/>
    </row>
    <row r="823" spans="1:13" hidden="1" x14ac:dyDescent="0.25">
      <c r="A823" s="100" t="str">
        <f t="shared" si="120"/>
        <v>GENERAL SERVICE 50 TO 999 KW SERVICE CLASSIFICATION</v>
      </c>
      <c r="B823" s="100" t="s">
        <v>180</v>
      </c>
      <c r="C823" s="117"/>
      <c r="D823" s="173" t="s">
        <v>188</v>
      </c>
      <c r="E823" s="158"/>
      <c r="F823" s="174"/>
      <c r="G823" s="175"/>
      <c r="H823" s="176">
        <f>SUM(H815,H808:H811,H807)</f>
        <v>3035.27</v>
      </c>
      <c r="I823" s="177"/>
      <c r="J823" s="177"/>
      <c r="K823" s="176">
        <f>SUM(K815,K808:K811,K807)</f>
        <v>2960.962</v>
      </c>
      <c r="L823" s="178">
        <f>K823-H823</f>
        <v>-74.307999999999993</v>
      </c>
      <c r="M823" s="179">
        <f>IF((H823)=0,"",(L823/H823))</f>
        <v>-2.4481512353102027E-2</v>
      </c>
    </row>
    <row r="824" spans="1:13" hidden="1" x14ac:dyDescent="0.25">
      <c r="A824" s="100" t="str">
        <f t="shared" si="120"/>
        <v>GENERAL SERVICE 50 TO 999 KW SERVICE CLASSIFICATION</v>
      </c>
      <c r="B824" s="100" t="s">
        <v>180</v>
      </c>
      <c r="C824" s="117"/>
      <c r="D824" s="180" t="s">
        <v>184</v>
      </c>
      <c r="E824" s="158"/>
      <c r="F824" s="174">
        <v>0.13</v>
      </c>
      <c r="G824" s="175"/>
      <c r="H824" s="182">
        <f>H823*F824</f>
        <v>394.58510000000001</v>
      </c>
      <c r="I824" s="174">
        <v>0.13</v>
      </c>
      <c r="J824" s="183"/>
      <c r="K824" s="182">
        <f>K823*I824</f>
        <v>384.92506000000003</v>
      </c>
      <c r="L824" s="184">
        <f>K824-H824</f>
        <v>-9.6600399999999809</v>
      </c>
      <c r="M824" s="185">
        <f>IF((H824)=0,"",(L824/H824))</f>
        <v>-2.4481512353101982E-2</v>
      </c>
    </row>
    <row r="825" spans="1:13" hidden="1" x14ac:dyDescent="0.25">
      <c r="A825" s="100" t="str">
        <f t="shared" si="120"/>
        <v>GENERAL SERVICE 50 TO 999 KW SERVICE CLASSIFICATION</v>
      </c>
      <c r="B825" s="100" t="s">
        <v>180</v>
      </c>
      <c r="C825" s="117"/>
      <c r="D825" s="180" t="s">
        <v>185</v>
      </c>
      <c r="E825" s="158"/>
      <c r="F825" s="174">
        <v>0.08</v>
      </c>
      <c r="G825" s="175"/>
      <c r="H825" s="182">
        <v>0</v>
      </c>
      <c r="I825" s="174">
        <v>0.08</v>
      </c>
      <c r="J825" s="183"/>
      <c r="K825" s="182">
        <v>0</v>
      </c>
      <c r="L825" s="184"/>
      <c r="M825" s="185"/>
    </row>
    <row r="826" spans="1:13" hidden="1" x14ac:dyDescent="0.25">
      <c r="A826" s="100" t="str">
        <f t="shared" si="120"/>
        <v>GENERAL SERVICE 50 TO 999 KW SERVICE CLASSIFICATION</v>
      </c>
      <c r="B826" s="100" t="s">
        <v>189</v>
      </c>
      <c r="C826" s="117"/>
      <c r="D826" s="301" t="s">
        <v>188</v>
      </c>
      <c r="E826" s="301"/>
      <c r="F826" s="193"/>
      <c r="G826" s="194"/>
      <c r="H826" s="188">
        <f>SUM(H823,H824)</f>
        <v>3429.8550999999998</v>
      </c>
      <c r="I826" s="195"/>
      <c r="J826" s="195"/>
      <c r="K826" s="188">
        <f>SUM(K823,K824)</f>
        <v>3345.88706</v>
      </c>
      <c r="L826" s="196">
        <f>K826-H826</f>
        <v>-83.968039999999746</v>
      </c>
      <c r="M826" s="197">
        <f>IF((H826)=0,"",(L826/H826))</f>
        <v>-2.4481512353101958E-2</v>
      </c>
    </row>
    <row r="827" spans="1:13" ht="15.75" hidden="1" thickBot="1" x14ac:dyDescent="0.3">
      <c r="A827" s="100" t="str">
        <f t="shared" si="120"/>
        <v>GENERAL SERVICE 50 TO 999 KW SERVICE CLASSIFICATION</v>
      </c>
      <c r="B827" s="100" t="s">
        <v>180</v>
      </c>
      <c r="C827" s="117"/>
      <c r="D827" s="165"/>
      <c r="E827" s="166"/>
      <c r="F827" s="198"/>
      <c r="G827" s="199"/>
      <c r="H827" s="200"/>
      <c r="I827" s="198"/>
      <c r="J827" s="168"/>
      <c r="K827" s="200"/>
      <c r="L827" s="201"/>
      <c r="M827" s="172"/>
    </row>
    <row r="828" spans="1:13" x14ac:dyDescent="0.25">
      <c r="A828" s="100" t="str">
        <f t="shared" si="120"/>
        <v>GENERAL SERVICE 50 TO 999 KW SERVICE CLASSIFICATION</v>
      </c>
      <c r="B828" s="100" t="s">
        <v>121</v>
      </c>
      <c r="C828" s="117"/>
      <c r="D828" s="173" t="s">
        <v>190</v>
      </c>
      <c r="E828" s="158"/>
      <c r="F828" s="174"/>
      <c r="G828" s="175"/>
      <c r="H828" s="176">
        <f>SUM(H816,H808:H811,H807)</f>
        <v>3035.27</v>
      </c>
      <c r="I828" s="177"/>
      <c r="J828" s="177"/>
      <c r="K828" s="176">
        <f>SUM(K816,K808:K811,K807)</f>
        <v>2960.962</v>
      </c>
      <c r="L828" s="178">
        <f>K828-H828</f>
        <v>-74.307999999999993</v>
      </c>
      <c r="M828" s="179">
        <f>IF((H828)=0,"",(L828/H828))</f>
        <v>-2.4481512353102027E-2</v>
      </c>
    </row>
    <row r="829" spans="1:13" x14ac:dyDescent="0.25">
      <c r="A829" s="100" t="str">
        <f t="shared" si="120"/>
        <v>GENERAL SERVICE 50 TO 999 KW SERVICE CLASSIFICATION</v>
      </c>
      <c r="B829" s="100" t="s">
        <v>121</v>
      </c>
      <c r="C829" s="117"/>
      <c r="D829" s="180" t="s">
        <v>184</v>
      </c>
      <c r="E829" s="158"/>
      <c r="F829" s="174">
        <v>0.13</v>
      </c>
      <c r="G829" s="175"/>
      <c r="H829" s="182">
        <f>H828*F829</f>
        <v>394.58510000000001</v>
      </c>
      <c r="I829" s="174">
        <v>0.13</v>
      </c>
      <c r="J829" s="183"/>
      <c r="K829" s="182">
        <f>K828*I829</f>
        <v>384.92506000000003</v>
      </c>
      <c r="L829" s="184">
        <f>K829-H829</f>
        <v>-9.6600399999999809</v>
      </c>
      <c r="M829" s="185">
        <f>IF((H829)=0,"",(L829/H829))</f>
        <v>-2.4481512353101982E-2</v>
      </c>
    </row>
    <row r="830" spans="1:13" x14ac:dyDescent="0.25">
      <c r="A830" s="100" t="str">
        <f t="shared" si="120"/>
        <v>GENERAL SERVICE 50 TO 999 KW SERVICE CLASSIFICATION</v>
      </c>
      <c r="B830" s="100" t="s">
        <v>121</v>
      </c>
      <c r="C830" s="117"/>
      <c r="D830" s="180" t="s">
        <v>185</v>
      </c>
      <c r="E830" s="158"/>
      <c r="F830" s="174">
        <v>0.08</v>
      </c>
      <c r="G830" s="175"/>
      <c r="H830" s="182">
        <v>0</v>
      </c>
      <c r="I830" s="174">
        <v>0.08</v>
      </c>
      <c r="J830" s="183"/>
      <c r="K830" s="182">
        <v>0</v>
      </c>
      <c r="L830" s="184"/>
      <c r="M830" s="185"/>
    </row>
    <row r="831" spans="1:13" ht="15.75" thickBot="1" x14ac:dyDescent="0.3">
      <c r="A831" s="100" t="str">
        <f t="shared" si="120"/>
        <v>GENERAL SERVICE 50 TO 999 KW SERVICE CLASSIFICATION</v>
      </c>
      <c r="B831" s="100" t="s">
        <v>191</v>
      </c>
      <c r="C831" s="117">
        <f>B16</f>
        <v>14</v>
      </c>
      <c r="D831" s="301" t="s">
        <v>190</v>
      </c>
      <c r="E831" s="301"/>
      <c r="F831" s="193"/>
      <c r="G831" s="194"/>
      <c r="H831" s="188">
        <f>SUM(H828,H829)</f>
        <v>3429.8550999999998</v>
      </c>
      <c r="I831" s="195"/>
      <c r="J831" s="195"/>
      <c r="K831" s="188">
        <f>SUM(K828,K829)</f>
        <v>3345.88706</v>
      </c>
      <c r="L831" s="196">
        <f>K831-H831</f>
        <v>-83.968039999999746</v>
      </c>
      <c r="M831" s="197">
        <f>IF((H831)=0,"",(L831/H831))</f>
        <v>-2.4481512353101958E-2</v>
      </c>
    </row>
    <row r="832" spans="1:13" ht="15.75" thickBot="1" x14ac:dyDescent="0.3">
      <c r="A832" s="100" t="str">
        <f t="shared" si="120"/>
        <v>GENERAL SERVICE 50 TO 999 KW SERVICE CLASSIFICATION</v>
      </c>
      <c r="B832" s="100" t="s">
        <v>121</v>
      </c>
      <c r="C832" s="117"/>
      <c r="D832" s="165"/>
      <c r="E832" s="166"/>
      <c r="F832" s="202"/>
      <c r="G832" s="203"/>
      <c r="H832" s="204"/>
      <c r="I832" s="202"/>
      <c r="J832" s="205"/>
      <c r="K832" s="204"/>
      <c r="L832" s="206"/>
      <c r="M832" s="207"/>
    </row>
    <row r="835" spans="1:13" x14ac:dyDescent="0.25">
      <c r="C835" s="100"/>
      <c r="D835" s="101" t="s">
        <v>134</v>
      </c>
      <c r="E835" s="302" t="str">
        <f>D17</f>
        <v>GENERAL SERVICE 50 TO 999 KW SERVICE CLASSIFICATION</v>
      </c>
      <c r="F835" s="302"/>
      <c r="G835" s="302"/>
      <c r="H835" s="302"/>
      <c r="I835" s="302"/>
      <c r="J835" s="302"/>
      <c r="K835" s="100" t="str">
        <f>IF(N17="DEMAND - INTERVAL","RTSR - INTERVAL METERED","")</f>
        <v/>
      </c>
    </row>
    <row r="836" spans="1:13" x14ac:dyDescent="0.25">
      <c r="C836" s="100"/>
      <c r="D836" s="101" t="s">
        <v>135</v>
      </c>
      <c r="E836" s="303" t="str">
        <f>H17</f>
        <v>Non-RPP (Other)</v>
      </c>
      <c r="F836" s="303"/>
      <c r="G836" s="303"/>
      <c r="H836" s="102"/>
      <c r="I836" s="102"/>
    </row>
    <row r="837" spans="1:13" ht="15.75" x14ac:dyDescent="0.25">
      <c r="C837" s="100"/>
      <c r="D837" s="101" t="s">
        <v>136</v>
      </c>
      <c r="E837" s="103">
        <f>K17</f>
        <v>500000</v>
      </c>
      <c r="F837" s="104" t="s">
        <v>137</v>
      </c>
      <c r="G837" s="105"/>
      <c r="J837" s="106"/>
      <c r="K837" s="106"/>
      <c r="L837" s="106"/>
      <c r="M837" s="106"/>
    </row>
    <row r="838" spans="1:13" ht="15.75" x14ac:dyDescent="0.25">
      <c r="C838" s="100"/>
      <c r="D838" s="101" t="s">
        <v>138</v>
      </c>
      <c r="E838" s="103">
        <f>L17</f>
        <v>750</v>
      </c>
      <c r="F838" s="107" t="s">
        <v>139</v>
      </c>
      <c r="G838" s="108"/>
      <c r="H838" s="109"/>
      <c r="I838" s="109"/>
      <c r="J838" s="109"/>
    </row>
    <row r="839" spans="1:13" x14ac:dyDescent="0.25">
      <c r="C839" s="100"/>
      <c r="D839" s="101" t="s">
        <v>140</v>
      </c>
      <c r="E839" s="110">
        <f>I17</f>
        <v>1.056</v>
      </c>
    </row>
    <row r="840" spans="1:13" x14ac:dyDescent="0.25">
      <c r="C840" s="100"/>
      <c r="D840" s="101" t="s">
        <v>141</v>
      </c>
      <c r="E840" s="110">
        <f>J17</f>
        <v>1.056</v>
      </c>
    </row>
    <row r="841" spans="1:13" x14ac:dyDescent="0.25">
      <c r="C841" s="100"/>
      <c r="D841" s="105"/>
    </row>
    <row r="842" spans="1:13" x14ac:dyDescent="0.25">
      <c r="C842" s="100"/>
      <c r="D842" s="105"/>
      <c r="E842" s="111"/>
      <c r="F842" s="304" t="s">
        <v>142</v>
      </c>
      <c r="G842" s="305"/>
      <c r="H842" s="306"/>
      <c r="I842" s="304" t="s">
        <v>143</v>
      </c>
      <c r="J842" s="305"/>
      <c r="K842" s="306"/>
      <c r="L842" s="304" t="s">
        <v>144</v>
      </c>
      <c r="M842" s="306"/>
    </row>
    <row r="843" spans="1:13" x14ac:dyDescent="0.25">
      <c r="C843" s="100"/>
      <c r="D843" s="105"/>
      <c r="E843" s="295"/>
      <c r="F843" s="112" t="s">
        <v>145</v>
      </c>
      <c r="G843" s="112" t="s">
        <v>146</v>
      </c>
      <c r="H843" s="113" t="s">
        <v>147</v>
      </c>
      <c r="I843" s="112" t="s">
        <v>145</v>
      </c>
      <c r="J843" s="114" t="s">
        <v>146</v>
      </c>
      <c r="K843" s="113" t="s">
        <v>147</v>
      </c>
      <c r="L843" s="297" t="s">
        <v>148</v>
      </c>
      <c r="M843" s="299" t="s">
        <v>149</v>
      </c>
    </row>
    <row r="844" spans="1:13" x14ac:dyDescent="0.25">
      <c r="C844" s="100"/>
      <c r="D844" s="105"/>
      <c r="E844" s="296"/>
      <c r="F844" s="115" t="s">
        <v>150</v>
      </c>
      <c r="G844" s="115"/>
      <c r="H844" s="116" t="s">
        <v>150</v>
      </c>
      <c r="I844" s="115" t="s">
        <v>150</v>
      </c>
      <c r="J844" s="116"/>
      <c r="K844" s="116" t="s">
        <v>150</v>
      </c>
      <c r="L844" s="298"/>
      <c r="M844" s="300"/>
    </row>
    <row r="845" spans="1:13" x14ac:dyDescent="0.25">
      <c r="A845" s="100" t="str">
        <f>$E835</f>
        <v>GENERAL SERVICE 50 TO 999 KW SERVICE CLASSIFICATION</v>
      </c>
      <c r="C845" s="117"/>
      <c r="D845" s="118" t="s">
        <v>151</v>
      </c>
      <c r="E845" s="119"/>
      <c r="F845" s="120">
        <v>86.83</v>
      </c>
      <c r="G845" s="121">
        <v>1</v>
      </c>
      <c r="H845" s="122">
        <f>G845*F845</f>
        <v>86.83</v>
      </c>
      <c r="I845" s="123">
        <v>87.87</v>
      </c>
      <c r="J845" s="124">
        <f>G845</f>
        <v>1</v>
      </c>
      <c r="K845" s="122">
        <f>J845*I845</f>
        <v>87.87</v>
      </c>
      <c r="L845" s="125">
        <f t="shared" ref="L845:L866" si="125">K845-H845</f>
        <v>1.0400000000000063</v>
      </c>
      <c r="M845" s="126">
        <f>IF(ISERROR(L845/H845), "", L845/H845)</f>
        <v>1.1977427156512798E-2</v>
      </c>
    </row>
    <row r="846" spans="1:13" x14ac:dyDescent="0.25">
      <c r="A846" s="100" t="str">
        <f>A845</f>
        <v>GENERAL SERVICE 50 TO 999 KW SERVICE CLASSIFICATION</v>
      </c>
      <c r="C846" s="117"/>
      <c r="D846" s="118" t="s">
        <v>152</v>
      </c>
      <c r="E846" s="119"/>
      <c r="F846" s="127">
        <v>3.8580000000000001</v>
      </c>
      <c r="G846" s="121">
        <f>IF($E838&gt;0, $E838, $E837)</f>
        <v>750</v>
      </c>
      <c r="H846" s="122">
        <f t="shared" ref="H846:H858" si="126">G846*F846</f>
        <v>2893.5</v>
      </c>
      <c r="I846" s="128">
        <v>3.9043000000000001</v>
      </c>
      <c r="J846" s="124">
        <f>IF($E838&gt;0, $E838, $E837)</f>
        <v>750</v>
      </c>
      <c r="K846" s="122">
        <f>J846*I846</f>
        <v>2928.2249999999999</v>
      </c>
      <c r="L846" s="125">
        <f t="shared" si="125"/>
        <v>34.724999999999909</v>
      </c>
      <c r="M846" s="126">
        <f t="shared" ref="M846:M856" si="127">IF(ISERROR(L846/H846), "", L846/H846)</f>
        <v>1.2001036806635531E-2</v>
      </c>
    </row>
    <row r="847" spans="1:13" x14ac:dyDescent="0.25">
      <c r="A847" s="100" t="str">
        <f t="shared" ref="A847:A888" si="128">A846</f>
        <v>GENERAL SERVICE 50 TO 999 KW SERVICE CLASSIFICATION</v>
      </c>
      <c r="C847" s="117"/>
      <c r="D847" s="118" t="s">
        <v>153</v>
      </c>
      <c r="E847" s="119"/>
      <c r="F847" s="127"/>
      <c r="G847" s="121">
        <f>IF($E838&gt;0, $E838, $E837)</f>
        <v>750</v>
      </c>
      <c r="H847" s="122">
        <v>0</v>
      </c>
      <c r="I847" s="128"/>
      <c r="J847" s="124">
        <f>IF($E838&gt;0, $E838, $E837)</f>
        <v>750</v>
      </c>
      <c r="K847" s="122">
        <v>0</v>
      </c>
      <c r="L847" s="125"/>
      <c r="M847" s="126"/>
    </row>
    <row r="848" spans="1:13" x14ac:dyDescent="0.25">
      <c r="A848" s="100" t="str">
        <f t="shared" si="128"/>
        <v>GENERAL SERVICE 50 TO 999 KW SERVICE CLASSIFICATION</v>
      </c>
      <c r="C848" s="117"/>
      <c r="D848" s="118" t="s">
        <v>154</v>
      </c>
      <c r="E848" s="119"/>
      <c r="F848" s="127"/>
      <c r="G848" s="121">
        <f>IF($E838&gt;0, $E838, $E837)</f>
        <v>750</v>
      </c>
      <c r="H848" s="122">
        <v>0</v>
      </c>
      <c r="I848" s="128"/>
      <c r="J848" s="121">
        <f>IF($E838&gt;0, $E838, $E837)</f>
        <v>750</v>
      </c>
      <c r="K848" s="122">
        <v>0</v>
      </c>
      <c r="L848" s="125">
        <f>K848-H848</f>
        <v>0</v>
      </c>
      <c r="M848" s="126" t="str">
        <f>IF(ISERROR(L848/H848), "", L848/H848)</f>
        <v/>
      </c>
    </row>
    <row r="849" spans="1:13" x14ac:dyDescent="0.25">
      <c r="A849" s="100" t="str">
        <f t="shared" si="128"/>
        <v>GENERAL SERVICE 50 TO 999 KW SERVICE CLASSIFICATION</v>
      </c>
      <c r="C849" s="117"/>
      <c r="D849" s="129" t="s">
        <v>155</v>
      </c>
      <c r="E849" s="119"/>
      <c r="F849" s="120">
        <v>0</v>
      </c>
      <c r="G849" s="121">
        <v>1</v>
      </c>
      <c r="H849" s="122">
        <f t="shared" si="126"/>
        <v>0</v>
      </c>
      <c r="I849" s="123">
        <v>0</v>
      </c>
      <c r="J849" s="124">
        <f>G849</f>
        <v>1</v>
      </c>
      <c r="K849" s="122">
        <f t="shared" ref="K849:K856" si="129">J849*I849</f>
        <v>0</v>
      </c>
      <c r="L849" s="125">
        <f t="shared" si="125"/>
        <v>0</v>
      </c>
      <c r="M849" s="126" t="str">
        <f t="shared" si="127"/>
        <v/>
      </c>
    </row>
    <row r="850" spans="1:13" x14ac:dyDescent="0.25">
      <c r="A850" s="100" t="str">
        <f t="shared" si="128"/>
        <v>GENERAL SERVICE 50 TO 999 KW SERVICE CLASSIFICATION</v>
      </c>
      <c r="C850" s="117"/>
      <c r="D850" s="118" t="s">
        <v>156</v>
      </c>
      <c r="E850" s="119"/>
      <c r="F850" s="127">
        <v>0</v>
      </c>
      <c r="G850" s="121">
        <f>IF($E838&gt;0, $E838, $E837)</f>
        <v>750</v>
      </c>
      <c r="H850" s="122">
        <f t="shared" si="126"/>
        <v>0</v>
      </c>
      <c r="I850" s="128">
        <v>0</v>
      </c>
      <c r="J850" s="124">
        <f>IF($E838&gt;0, $E838, $E837)</f>
        <v>750</v>
      </c>
      <c r="K850" s="122">
        <f t="shared" si="129"/>
        <v>0</v>
      </c>
      <c r="L850" s="125">
        <f t="shared" si="125"/>
        <v>0</v>
      </c>
      <c r="M850" s="126" t="str">
        <f t="shared" si="127"/>
        <v/>
      </c>
    </row>
    <row r="851" spans="1:13" x14ac:dyDescent="0.25">
      <c r="A851" s="100" t="str">
        <f t="shared" si="128"/>
        <v>GENERAL SERVICE 50 TO 999 KW SERVICE CLASSIFICATION</v>
      </c>
      <c r="B851" s="130" t="s">
        <v>157</v>
      </c>
      <c r="C851" s="117">
        <f>B17</f>
        <v>15</v>
      </c>
      <c r="D851" s="131" t="s">
        <v>158</v>
      </c>
      <c r="E851" s="132"/>
      <c r="F851" s="133"/>
      <c r="G851" s="134"/>
      <c r="H851" s="135">
        <f>SUM(H845:H850)</f>
        <v>2980.33</v>
      </c>
      <c r="I851" s="136"/>
      <c r="J851" s="137"/>
      <c r="K851" s="135">
        <f>SUM(K845:K850)</f>
        <v>3016.0949999999998</v>
      </c>
      <c r="L851" s="138">
        <f t="shared" si="125"/>
        <v>35.764999999999873</v>
      </c>
      <c r="M851" s="139">
        <f>IF((H851)=0,"",(L851/H851))</f>
        <v>1.2000348954645919E-2</v>
      </c>
    </row>
    <row r="852" spans="1:13" x14ac:dyDescent="0.25">
      <c r="A852" s="100" t="str">
        <f t="shared" si="128"/>
        <v>GENERAL SERVICE 50 TO 999 KW SERVICE CLASSIFICATION</v>
      </c>
      <c r="C852" s="117"/>
      <c r="D852" s="140" t="s">
        <v>159</v>
      </c>
      <c r="E852" s="119"/>
      <c r="F852" s="127">
        <f>IF((E837*12&gt;=150000), 0, IF(E836="RPP",(F868*0.65+F869*0.17+F870*0.18),IF(E836="Non-RPP (Retailer)",F871,F872)))</f>
        <v>0</v>
      </c>
      <c r="G852" s="141">
        <f>IF(F852=0, 0, $E837*E839-E837)</f>
        <v>0</v>
      </c>
      <c r="H852" s="122">
        <f>G852*F852</f>
        <v>0</v>
      </c>
      <c r="I852" s="128">
        <f>IF((E837*12&gt;=150000), 0, IF(E836="RPP",(I868*0.65+I869*0.17+I870*0.18),IF(E836="Non-RPP (Retailer)",I871,I872)))</f>
        <v>0</v>
      </c>
      <c r="J852" s="141">
        <f>IF(I852=0, 0, E837*E840-E837)</f>
        <v>0</v>
      </c>
      <c r="K852" s="122">
        <f>J852*I852</f>
        <v>0</v>
      </c>
      <c r="L852" s="125">
        <f>K852-H852</f>
        <v>0</v>
      </c>
      <c r="M852" s="126" t="str">
        <f>IF(ISERROR(L852/H852), "", L852/H852)</f>
        <v/>
      </c>
    </row>
    <row r="853" spans="1:13" ht="25.5" x14ac:dyDescent="0.25">
      <c r="A853" s="100" t="str">
        <f t="shared" si="128"/>
        <v>GENERAL SERVICE 50 TO 999 KW SERVICE CLASSIFICATION</v>
      </c>
      <c r="C853" s="117"/>
      <c r="D853" s="140" t="s">
        <v>160</v>
      </c>
      <c r="E853" s="119"/>
      <c r="F853" s="127">
        <v>-0.70650000000000002</v>
      </c>
      <c r="G853" s="142">
        <f>IF($E838&gt;0, $E838, $E837)</f>
        <v>750</v>
      </c>
      <c r="H853" s="122">
        <f t="shared" si="126"/>
        <v>-529.875</v>
      </c>
      <c r="I853" s="128">
        <v>-1.7801</v>
      </c>
      <c r="J853" s="142">
        <f>IF($E838&gt;0, $E838, $E837)</f>
        <v>750</v>
      </c>
      <c r="K853" s="122">
        <f t="shared" si="129"/>
        <v>-1335.075</v>
      </c>
      <c r="L853" s="125">
        <f t="shared" si="125"/>
        <v>-805.2</v>
      </c>
      <c r="M853" s="126">
        <f t="shared" si="127"/>
        <v>1.5196036801132344</v>
      </c>
    </row>
    <row r="854" spans="1:13" x14ac:dyDescent="0.25">
      <c r="A854" s="100" t="str">
        <f t="shared" si="128"/>
        <v>GENERAL SERVICE 50 TO 999 KW SERVICE CLASSIFICATION</v>
      </c>
      <c r="C854" s="117"/>
      <c r="D854" s="140" t="s">
        <v>161</v>
      </c>
      <c r="E854" s="119"/>
      <c r="F854" s="127">
        <v>-2.76E-2</v>
      </c>
      <c r="G854" s="142">
        <f>IF($E838&gt;0, $E838, $E837)</f>
        <v>750</v>
      </c>
      <c r="H854" s="122">
        <f>G854*F854</f>
        <v>-20.7</v>
      </c>
      <c r="I854" s="128">
        <v>0</v>
      </c>
      <c r="J854" s="142">
        <f>IF($E838&gt;0, $E838, $E837)</f>
        <v>750</v>
      </c>
      <c r="K854" s="122">
        <f>J854*I854</f>
        <v>0</v>
      </c>
      <c r="L854" s="125">
        <f t="shared" si="125"/>
        <v>20.7</v>
      </c>
      <c r="M854" s="126">
        <f t="shared" si="127"/>
        <v>-1</v>
      </c>
    </row>
    <row r="855" spans="1:13" x14ac:dyDescent="0.25">
      <c r="A855" s="100" t="str">
        <f t="shared" si="128"/>
        <v>GENERAL SERVICE 50 TO 999 KW SERVICE CLASSIFICATION</v>
      </c>
      <c r="C855" s="117"/>
      <c r="D855" s="140" t="s">
        <v>162</v>
      </c>
      <c r="E855" s="119"/>
      <c r="F855" s="127"/>
      <c r="G855" s="142">
        <f>E837</f>
        <v>500000</v>
      </c>
      <c r="H855" s="122">
        <f>G855*F855</f>
        <v>0</v>
      </c>
      <c r="I855" s="128"/>
      <c r="J855" s="142">
        <f>E837</f>
        <v>500000</v>
      </c>
      <c r="K855" s="122">
        <f t="shared" si="129"/>
        <v>0</v>
      </c>
      <c r="L855" s="125">
        <f t="shared" si="125"/>
        <v>0</v>
      </c>
      <c r="M855" s="126" t="str">
        <f t="shared" si="127"/>
        <v/>
      </c>
    </row>
    <row r="856" spans="1:13" x14ac:dyDescent="0.25">
      <c r="A856" s="100" t="str">
        <f t="shared" si="128"/>
        <v>GENERAL SERVICE 50 TO 999 KW SERVICE CLASSIFICATION</v>
      </c>
      <c r="C856" s="117"/>
      <c r="D856" s="143" t="s">
        <v>163</v>
      </c>
      <c r="E856" s="119"/>
      <c r="F856" s="127">
        <v>1.0483</v>
      </c>
      <c r="G856" s="142">
        <f>IF($E838&gt;0, $E838, $E837)</f>
        <v>750</v>
      </c>
      <c r="H856" s="122">
        <f t="shared" si="126"/>
        <v>786.22500000000002</v>
      </c>
      <c r="I856" s="128">
        <v>1.0483</v>
      </c>
      <c r="J856" s="142">
        <f>IF($E838&gt;0, $E838, $E837)</f>
        <v>750</v>
      </c>
      <c r="K856" s="122">
        <f t="shared" si="129"/>
        <v>786.22500000000002</v>
      </c>
      <c r="L856" s="125">
        <f t="shared" si="125"/>
        <v>0</v>
      </c>
      <c r="M856" s="126">
        <f t="shared" si="127"/>
        <v>0</v>
      </c>
    </row>
    <row r="857" spans="1:13" ht="25.5" x14ac:dyDescent="0.25">
      <c r="A857" s="100" t="str">
        <f t="shared" si="128"/>
        <v>GENERAL SERVICE 50 TO 999 KW SERVICE CLASSIFICATION</v>
      </c>
      <c r="C857" s="117"/>
      <c r="D857" s="144" t="s">
        <v>164</v>
      </c>
      <c r="E857" s="119"/>
      <c r="F857" s="145">
        <f>IF(OR(ISNUMBER(SEARCH("RESIDENTIAL", E835))=TRUE, ISNUMBER(SEARCH("GENERAL SERVICE LESS THAN 50", E835))=TRUE), SME, 0)</f>
        <v>0</v>
      </c>
      <c r="G857" s="121">
        <v>1</v>
      </c>
      <c r="H857" s="122">
        <f>G857*F857</f>
        <v>0</v>
      </c>
      <c r="I857" s="146">
        <f>IF(OR(ISNUMBER(SEARCH("RESIDENTIAL", E835))=TRUE, ISNUMBER(SEARCH("GENERAL SERVICE LESS THAN 50", E835))=TRUE), SME, 0)</f>
        <v>0</v>
      </c>
      <c r="J857" s="121">
        <v>1</v>
      </c>
      <c r="K857" s="122">
        <f>J857*I857</f>
        <v>0</v>
      </c>
      <c r="L857" s="125">
        <f t="shared" si="125"/>
        <v>0</v>
      </c>
      <c r="M857" s="126" t="str">
        <f>IF(ISERROR(L857/H857), "", L857/H857)</f>
        <v/>
      </c>
    </row>
    <row r="858" spans="1:13" x14ac:dyDescent="0.25">
      <c r="A858" s="100" t="str">
        <f t="shared" si="128"/>
        <v>GENERAL SERVICE 50 TO 999 KW SERVICE CLASSIFICATION</v>
      </c>
      <c r="C858" s="117"/>
      <c r="D858" s="143" t="s">
        <v>165</v>
      </c>
      <c r="E858" s="119"/>
      <c r="F858" s="120">
        <v>0</v>
      </c>
      <c r="G858" s="121">
        <v>1</v>
      </c>
      <c r="H858" s="122">
        <f t="shared" si="126"/>
        <v>0</v>
      </c>
      <c r="I858" s="123">
        <v>0</v>
      </c>
      <c r="J858" s="121">
        <v>1</v>
      </c>
      <c r="K858" s="122">
        <f>J858*I858</f>
        <v>0</v>
      </c>
      <c r="L858" s="125">
        <f>K858-H858</f>
        <v>0</v>
      </c>
      <c r="M858" s="126" t="str">
        <f>IF(ISERROR(L858/H858), "", L858/H858)</f>
        <v/>
      </c>
    </row>
    <row r="859" spans="1:13" x14ac:dyDescent="0.25">
      <c r="A859" s="100" t="str">
        <f t="shared" si="128"/>
        <v>GENERAL SERVICE 50 TO 999 KW SERVICE CLASSIFICATION</v>
      </c>
      <c r="C859" s="117"/>
      <c r="D859" s="143" t="s">
        <v>166</v>
      </c>
      <c r="E859" s="119"/>
      <c r="F859" s="127"/>
      <c r="G859" s="142">
        <f>IF($E838&gt;0, $E838, $E837)</f>
        <v>750</v>
      </c>
      <c r="H859" s="122">
        <f>G859*F859</f>
        <v>0</v>
      </c>
      <c r="I859" s="128">
        <v>0</v>
      </c>
      <c r="J859" s="142">
        <f>IF($E838&gt;0, $E838, $E837)</f>
        <v>750</v>
      </c>
      <c r="K859" s="122">
        <f>J859*I859</f>
        <v>0</v>
      </c>
      <c r="L859" s="125">
        <f t="shared" si="125"/>
        <v>0</v>
      </c>
      <c r="M859" s="126" t="str">
        <f>IF(ISERROR(L859/H859), "", L859/H859)</f>
        <v/>
      </c>
    </row>
    <row r="860" spans="1:13" ht="25.5" x14ac:dyDescent="0.25">
      <c r="A860" s="100" t="str">
        <f t="shared" si="128"/>
        <v>GENERAL SERVICE 50 TO 999 KW SERVICE CLASSIFICATION</v>
      </c>
      <c r="B860" s="105" t="s">
        <v>167</v>
      </c>
      <c r="C860" s="117">
        <f>B17</f>
        <v>15</v>
      </c>
      <c r="D860" s="147" t="s">
        <v>168</v>
      </c>
      <c r="E860" s="148"/>
      <c r="F860" s="149"/>
      <c r="G860" s="150"/>
      <c r="H860" s="151">
        <f>SUM(H851:H859)</f>
        <v>3215.98</v>
      </c>
      <c r="I860" s="152"/>
      <c r="J860" s="153"/>
      <c r="K860" s="151">
        <f>SUM(K851:K859)</f>
        <v>2467.2449999999999</v>
      </c>
      <c r="L860" s="138">
        <f t="shared" si="125"/>
        <v>-748.73500000000013</v>
      </c>
      <c r="M860" s="139">
        <f>IF((H860)=0,"",(L860/H860))</f>
        <v>-0.23281705732000824</v>
      </c>
    </row>
    <row r="861" spans="1:13" x14ac:dyDescent="0.25">
      <c r="A861" s="100" t="str">
        <f t="shared" si="128"/>
        <v>GENERAL SERVICE 50 TO 999 KW SERVICE CLASSIFICATION</v>
      </c>
      <c r="C861" s="117"/>
      <c r="D861" s="154" t="s">
        <v>169</v>
      </c>
      <c r="E861" s="119"/>
      <c r="F861" s="127">
        <v>2.6217000000000001</v>
      </c>
      <c r="G861" s="141">
        <f>IF($E838&gt;0, $E838, $E837*$E839)</f>
        <v>750</v>
      </c>
      <c r="H861" s="122">
        <f>G861*F861</f>
        <v>1966.2750000000001</v>
      </c>
      <c r="I861" s="128">
        <v>2.4868999999999999</v>
      </c>
      <c r="J861" s="141">
        <f>IF($E838&gt;0, $E838, $E837*$E840)</f>
        <v>750</v>
      </c>
      <c r="K861" s="122">
        <f>J861*I861</f>
        <v>1865.175</v>
      </c>
      <c r="L861" s="125">
        <f t="shared" si="125"/>
        <v>-101.10000000000014</v>
      </c>
      <c r="M861" s="126">
        <f>IF(ISERROR(L861/H861), "", L861/H861)</f>
        <v>-5.1417019491169919E-2</v>
      </c>
    </row>
    <row r="862" spans="1:13" ht="25.5" x14ac:dyDescent="0.25">
      <c r="A862" s="100" t="str">
        <f t="shared" si="128"/>
        <v>GENERAL SERVICE 50 TO 999 KW SERVICE CLASSIFICATION</v>
      </c>
      <c r="C862" s="117"/>
      <c r="D862" s="155" t="s">
        <v>170</v>
      </c>
      <c r="E862" s="119"/>
      <c r="F862" s="127">
        <v>2.2145999999999999</v>
      </c>
      <c r="G862" s="141">
        <f>IF($E838&gt;0, $E838, $E837*$E839)</f>
        <v>750</v>
      </c>
      <c r="H862" s="122">
        <f>G862*F862</f>
        <v>1660.9499999999998</v>
      </c>
      <c r="I862" s="128">
        <v>2.0933000000000002</v>
      </c>
      <c r="J862" s="141">
        <f>IF($E838&gt;0, $E838, $E837*$E840)</f>
        <v>750</v>
      </c>
      <c r="K862" s="122">
        <f>J862*I862</f>
        <v>1569.9750000000001</v>
      </c>
      <c r="L862" s="125">
        <f t="shared" si="125"/>
        <v>-90.974999999999682</v>
      </c>
      <c r="M862" s="126">
        <f>IF(ISERROR(L862/H862), "", L862/H862)</f>
        <v>-5.4772870947349221E-2</v>
      </c>
    </row>
    <row r="863" spans="1:13" ht="25.5" x14ac:dyDescent="0.25">
      <c r="A863" s="100" t="str">
        <f t="shared" si="128"/>
        <v>GENERAL SERVICE 50 TO 999 KW SERVICE CLASSIFICATION</v>
      </c>
      <c r="B863" s="105" t="s">
        <v>171</v>
      </c>
      <c r="C863" s="117">
        <f>B17</f>
        <v>15</v>
      </c>
      <c r="D863" s="147" t="s">
        <v>172</v>
      </c>
      <c r="E863" s="132"/>
      <c r="F863" s="149"/>
      <c r="G863" s="150"/>
      <c r="H863" s="151">
        <f>SUM(H860:H862)</f>
        <v>6843.2049999999999</v>
      </c>
      <c r="I863" s="152"/>
      <c r="J863" s="137"/>
      <c r="K863" s="151">
        <f>SUM(K860:K862)</f>
        <v>5902.3950000000004</v>
      </c>
      <c r="L863" s="138">
        <f t="shared" si="125"/>
        <v>-940.80999999999949</v>
      </c>
      <c r="M863" s="139">
        <f>IF((H863)=0,"",(L863/H863))</f>
        <v>-0.1374809025887723</v>
      </c>
    </row>
    <row r="864" spans="1:13" ht="25.5" x14ac:dyDescent="0.25">
      <c r="A864" s="100" t="str">
        <f t="shared" si="128"/>
        <v>GENERAL SERVICE 50 TO 999 KW SERVICE CLASSIFICATION</v>
      </c>
      <c r="C864" s="117"/>
      <c r="D864" s="156" t="s">
        <v>173</v>
      </c>
      <c r="E864" s="119"/>
      <c r="F864" s="127">
        <v>3.6000000000000003E-3</v>
      </c>
      <c r="G864" s="141">
        <f>E837*E839</f>
        <v>528000</v>
      </c>
      <c r="H864" s="157">
        <f t="shared" ref="H864:H870" si="130">G864*F864</f>
        <v>1900.8000000000002</v>
      </c>
      <c r="I864" s="128">
        <v>3.6000000000000003E-3</v>
      </c>
      <c r="J864" s="141">
        <f>E837*E840</f>
        <v>528000</v>
      </c>
      <c r="K864" s="157">
        <f t="shared" ref="K864:K870" si="131">J864*I864</f>
        <v>1900.8000000000002</v>
      </c>
      <c r="L864" s="125">
        <f t="shared" si="125"/>
        <v>0</v>
      </c>
      <c r="M864" s="126">
        <f t="shared" ref="M864:M872" si="132">IF(ISERROR(L864/H864), "", L864/H864)</f>
        <v>0</v>
      </c>
    </row>
    <row r="865" spans="1:13" ht="25.5" x14ac:dyDescent="0.25">
      <c r="A865" s="100" t="str">
        <f t="shared" si="128"/>
        <v>GENERAL SERVICE 50 TO 999 KW SERVICE CLASSIFICATION</v>
      </c>
      <c r="C865" s="117"/>
      <c r="D865" s="156" t="s">
        <v>174</v>
      </c>
      <c r="E865" s="119"/>
      <c r="F865" s="127">
        <f>'[1]17. Regulatory Charges'!$D$16</f>
        <v>2.9999999999999997E-4</v>
      </c>
      <c r="G865" s="141">
        <f>E837*E839</f>
        <v>528000</v>
      </c>
      <c r="H865" s="157">
        <f t="shared" si="130"/>
        <v>158.39999999999998</v>
      </c>
      <c r="I865" s="128">
        <v>2.9999999999999997E-4</v>
      </c>
      <c r="J865" s="141">
        <f>E837*E840</f>
        <v>528000</v>
      </c>
      <c r="K865" s="157">
        <f t="shared" si="131"/>
        <v>158.39999999999998</v>
      </c>
      <c r="L865" s="125">
        <f t="shared" si="125"/>
        <v>0</v>
      </c>
      <c r="M865" s="126">
        <f t="shared" si="132"/>
        <v>0</v>
      </c>
    </row>
    <row r="866" spans="1:13" x14ac:dyDescent="0.25">
      <c r="A866" s="100" t="str">
        <f t="shared" si="128"/>
        <v>GENERAL SERVICE 50 TO 999 KW SERVICE CLASSIFICATION</v>
      </c>
      <c r="C866" s="117"/>
      <c r="D866" s="158" t="s">
        <v>175</v>
      </c>
      <c r="E866" s="119"/>
      <c r="F866" s="145">
        <v>0.25</v>
      </c>
      <c r="G866" s="121">
        <v>1</v>
      </c>
      <c r="H866" s="157">
        <f t="shared" si="130"/>
        <v>0.25</v>
      </c>
      <c r="I866" s="146">
        <f>'[1]17. Regulatory Charges'!$D$17</f>
        <v>0.25</v>
      </c>
      <c r="J866" s="124">
        <v>1</v>
      </c>
      <c r="K866" s="157">
        <f t="shared" si="131"/>
        <v>0.25</v>
      </c>
      <c r="L866" s="125">
        <f t="shared" si="125"/>
        <v>0</v>
      </c>
      <c r="M866" s="126">
        <f t="shared" si="132"/>
        <v>0</v>
      </c>
    </row>
    <row r="867" spans="1:13" ht="25.5" x14ac:dyDescent="0.25">
      <c r="A867" s="100" t="str">
        <f t="shared" si="128"/>
        <v>GENERAL SERVICE 50 TO 999 KW SERVICE CLASSIFICATION</v>
      </c>
      <c r="C867" s="117"/>
      <c r="D867" s="156" t="s">
        <v>176</v>
      </c>
      <c r="E867" s="119"/>
      <c r="F867" s="127"/>
      <c r="G867" s="141"/>
      <c r="H867" s="157"/>
      <c r="I867" s="128"/>
      <c r="J867" s="141"/>
      <c r="K867" s="157"/>
      <c r="L867" s="125"/>
      <c r="M867" s="126"/>
    </row>
    <row r="868" spans="1:13" hidden="1" x14ac:dyDescent="0.25">
      <c r="A868" s="100" t="str">
        <f t="shared" si="128"/>
        <v>GENERAL SERVICE 50 TO 999 KW SERVICE CLASSIFICATION</v>
      </c>
      <c r="B868" s="105" t="s">
        <v>117</v>
      </c>
      <c r="C868" s="117"/>
      <c r="D868" s="159" t="s">
        <v>177</v>
      </c>
      <c r="E868" s="119"/>
      <c r="F868" s="160">
        <f>OffPeak</f>
        <v>6.5000000000000002E-2</v>
      </c>
      <c r="G868" s="161">
        <f>IF(AND(E837*12&gt;=150000),0.65*E837*E839,0.65*E837)</f>
        <v>343200</v>
      </c>
      <c r="H868" s="157">
        <f t="shared" si="130"/>
        <v>22308</v>
      </c>
      <c r="I868" s="162">
        <f>OffPeak</f>
        <v>6.5000000000000002E-2</v>
      </c>
      <c r="J868" s="161">
        <f>IF(AND(E837*12&gt;=150000),0.65*E837*E840,0.65*E837)</f>
        <v>343200</v>
      </c>
      <c r="K868" s="157">
        <f t="shared" si="131"/>
        <v>22308</v>
      </c>
      <c r="L868" s="125">
        <f>K868-H868</f>
        <v>0</v>
      </c>
      <c r="M868" s="126">
        <f t="shared" si="132"/>
        <v>0</v>
      </c>
    </row>
    <row r="869" spans="1:13" hidden="1" x14ac:dyDescent="0.25">
      <c r="A869" s="100" t="str">
        <f t="shared" si="128"/>
        <v>GENERAL SERVICE 50 TO 999 KW SERVICE CLASSIFICATION</v>
      </c>
      <c r="B869" s="105" t="s">
        <v>117</v>
      </c>
      <c r="C869" s="117"/>
      <c r="D869" s="159" t="s">
        <v>178</v>
      </c>
      <c r="E869" s="119"/>
      <c r="F869" s="160">
        <f>MidPeak</f>
        <v>9.4E-2</v>
      </c>
      <c r="G869" s="161">
        <f>IF(AND(E837*12&gt;=150000),0.17*E837*E839,0.17*E837)</f>
        <v>89760</v>
      </c>
      <c r="H869" s="157">
        <f t="shared" si="130"/>
        <v>8437.44</v>
      </c>
      <c r="I869" s="162">
        <f>MidPeak</f>
        <v>9.4E-2</v>
      </c>
      <c r="J869" s="161">
        <f>IF(AND(E837*12&gt;=150000),0.17*E837*E840,0.17*E837)</f>
        <v>89760</v>
      </c>
      <c r="K869" s="157">
        <f t="shared" si="131"/>
        <v>8437.44</v>
      </c>
      <c r="L869" s="125">
        <f>K869-H869</f>
        <v>0</v>
      </c>
      <c r="M869" s="126">
        <f t="shared" si="132"/>
        <v>0</v>
      </c>
    </row>
    <row r="870" spans="1:13" hidden="1" x14ac:dyDescent="0.25">
      <c r="A870" s="100" t="str">
        <f t="shared" si="128"/>
        <v>GENERAL SERVICE 50 TO 999 KW SERVICE CLASSIFICATION</v>
      </c>
      <c r="B870" s="105" t="s">
        <v>117</v>
      </c>
      <c r="C870" s="117"/>
      <c r="D870" s="105" t="s">
        <v>179</v>
      </c>
      <c r="E870" s="119"/>
      <c r="F870" s="160">
        <f>OnPeak</f>
        <v>0.13200000000000001</v>
      </c>
      <c r="G870" s="161">
        <f>IF(AND(E837*12&gt;=150000),0.18*E837*E839,0.18*E837)</f>
        <v>95040</v>
      </c>
      <c r="H870" s="157">
        <f t="shared" si="130"/>
        <v>12545.28</v>
      </c>
      <c r="I870" s="162">
        <f>OnPeak</f>
        <v>0.13200000000000001</v>
      </c>
      <c r="J870" s="161">
        <f>IF(AND(E837*12&gt;=150000),0.18*E837*E840,0.18*E837)</f>
        <v>95040</v>
      </c>
      <c r="K870" s="157">
        <f t="shared" si="131"/>
        <v>12545.28</v>
      </c>
      <c r="L870" s="125">
        <f>K870-H870</f>
        <v>0</v>
      </c>
      <c r="M870" s="126">
        <f t="shared" si="132"/>
        <v>0</v>
      </c>
    </row>
    <row r="871" spans="1:13" hidden="1" x14ac:dyDescent="0.25">
      <c r="A871" s="100" t="str">
        <f t="shared" si="128"/>
        <v>GENERAL SERVICE 50 TO 999 KW SERVICE CLASSIFICATION</v>
      </c>
      <c r="B871" s="100" t="s">
        <v>180</v>
      </c>
      <c r="C871" s="117"/>
      <c r="D871" s="159" t="s">
        <v>181</v>
      </c>
      <c r="E871" s="119"/>
      <c r="F871" s="163">
        <v>0.1101</v>
      </c>
      <c r="G871" s="161">
        <f>IF(AND(E837*12&gt;=150000),E837*E839,E837)</f>
        <v>528000</v>
      </c>
      <c r="H871" s="157">
        <f>G871*F871</f>
        <v>58132.800000000003</v>
      </c>
      <c r="I871" s="164">
        <f>F871</f>
        <v>0.1101</v>
      </c>
      <c r="J871" s="161">
        <f>IF(AND(E837*12&gt;=150000),E837*E840,E837)</f>
        <v>528000</v>
      </c>
      <c r="K871" s="157">
        <f>J871*I871</f>
        <v>58132.800000000003</v>
      </c>
      <c r="L871" s="125">
        <f>K871-H871</f>
        <v>0</v>
      </c>
      <c r="M871" s="126">
        <f t="shared" si="132"/>
        <v>0</v>
      </c>
    </row>
    <row r="872" spans="1:13" ht="15.75" thickBot="1" x14ac:dyDescent="0.3">
      <c r="A872" s="100" t="str">
        <f t="shared" si="128"/>
        <v>GENERAL SERVICE 50 TO 999 KW SERVICE CLASSIFICATION</v>
      </c>
      <c r="B872" s="100" t="s">
        <v>121</v>
      </c>
      <c r="C872" s="117"/>
      <c r="D872" s="159" t="s">
        <v>182</v>
      </c>
      <c r="E872" s="119"/>
      <c r="F872" s="163">
        <v>0.1101</v>
      </c>
      <c r="G872" s="161">
        <f>IF(AND(E837*12&gt;=150000),E837*E839,E837)</f>
        <v>528000</v>
      </c>
      <c r="H872" s="157">
        <f>G872*F872</f>
        <v>58132.800000000003</v>
      </c>
      <c r="I872" s="164">
        <f>F872</f>
        <v>0.1101</v>
      </c>
      <c r="J872" s="161">
        <f>IF(AND(E837*12&gt;=150000),E837*E840,E837)</f>
        <v>528000</v>
      </c>
      <c r="K872" s="157">
        <f>J872*I872</f>
        <v>58132.800000000003</v>
      </c>
      <c r="L872" s="125">
        <f>K872-H872</f>
        <v>0</v>
      </c>
      <c r="M872" s="126">
        <f t="shared" si="132"/>
        <v>0</v>
      </c>
    </row>
    <row r="873" spans="1:13" ht="15.75" thickBot="1" x14ac:dyDescent="0.3">
      <c r="A873" s="100" t="str">
        <f t="shared" si="128"/>
        <v>GENERAL SERVICE 50 TO 999 KW SERVICE CLASSIFICATION</v>
      </c>
      <c r="B873" s="105"/>
      <c r="C873" s="117"/>
      <c r="D873" s="165"/>
      <c r="E873" s="166"/>
      <c r="F873" s="167"/>
      <c r="G873" s="168"/>
      <c r="H873" s="169"/>
      <c r="I873" s="167"/>
      <c r="J873" s="170"/>
      <c r="K873" s="169"/>
      <c r="L873" s="171"/>
      <c r="M873" s="172"/>
    </row>
    <row r="874" spans="1:13" hidden="1" x14ac:dyDescent="0.25">
      <c r="A874" s="100" t="str">
        <f t="shared" si="128"/>
        <v>GENERAL SERVICE 50 TO 999 KW SERVICE CLASSIFICATION</v>
      </c>
      <c r="B874" s="105" t="s">
        <v>117</v>
      </c>
      <c r="C874" s="117"/>
      <c r="D874" s="173" t="s">
        <v>183</v>
      </c>
      <c r="E874" s="158"/>
      <c r="F874" s="174"/>
      <c r="G874" s="175"/>
      <c r="H874" s="176">
        <f>SUM(H864:H870,H863)</f>
        <v>52193.375</v>
      </c>
      <c r="I874" s="177"/>
      <c r="J874" s="177"/>
      <c r="K874" s="176">
        <f>SUM(K864:K870,K863)</f>
        <v>51252.565000000002</v>
      </c>
      <c r="L874" s="178">
        <f>K874-H874</f>
        <v>-940.80999999999767</v>
      </c>
      <c r="M874" s="179">
        <f>IF((H874)=0,"",(L874/H874))</f>
        <v>-1.8025467791649756E-2</v>
      </c>
    </row>
    <row r="875" spans="1:13" hidden="1" x14ac:dyDescent="0.25">
      <c r="A875" s="100" t="str">
        <f t="shared" si="128"/>
        <v>GENERAL SERVICE 50 TO 999 KW SERVICE CLASSIFICATION</v>
      </c>
      <c r="B875" s="105" t="s">
        <v>117</v>
      </c>
      <c r="C875" s="117"/>
      <c r="D875" s="180" t="s">
        <v>184</v>
      </c>
      <c r="E875" s="158"/>
      <c r="F875" s="174">
        <v>0.13</v>
      </c>
      <c r="G875" s="181"/>
      <c r="H875" s="182">
        <f>H874*F875</f>
        <v>6785.1387500000001</v>
      </c>
      <c r="I875" s="183">
        <v>0.13</v>
      </c>
      <c r="J875" s="121"/>
      <c r="K875" s="182">
        <f>K874*I875</f>
        <v>6662.8334500000001</v>
      </c>
      <c r="L875" s="184">
        <f>K875-H875</f>
        <v>-122.30529999999999</v>
      </c>
      <c r="M875" s="185">
        <f>IF((H875)=0,"",(L875/H875))</f>
        <v>-1.8025467791649801E-2</v>
      </c>
    </row>
    <row r="876" spans="1:13" hidden="1" x14ac:dyDescent="0.25">
      <c r="A876" s="100" t="str">
        <f t="shared" si="128"/>
        <v>GENERAL SERVICE 50 TO 999 KW SERVICE CLASSIFICATION</v>
      </c>
      <c r="B876" s="105" t="s">
        <v>117</v>
      </c>
      <c r="C876" s="117"/>
      <c r="D876" s="180" t="s">
        <v>185</v>
      </c>
      <c r="E876" s="158"/>
      <c r="F876" s="174">
        <v>0.08</v>
      </c>
      <c r="G876" s="181"/>
      <c r="H876" s="182">
        <v>0</v>
      </c>
      <c r="I876" s="174">
        <v>0.08</v>
      </c>
      <c r="J876" s="121"/>
      <c r="K876" s="182">
        <v>0</v>
      </c>
      <c r="L876" s="184">
        <f>K876-H876</f>
        <v>0</v>
      </c>
      <c r="M876" s="185"/>
    </row>
    <row r="877" spans="1:13" hidden="1" x14ac:dyDescent="0.25">
      <c r="A877" s="100" t="str">
        <f t="shared" si="128"/>
        <v>GENERAL SERVICE 50 TO 999 KW SERVICE CLASSIFICATION</v>
      </c>
      <c r="B877" s="105" t="s">
        <v>186</v>
      </c>
      <c r="C877" s="117"/>
      <c r="D877" s="301" t="s">
        <v>187</v>
      </c>
      <c r="E877" s="301"/>
      <c r="F877" s="186"/>
      <c r="G877" s="187"/>
      <c r="H877" s="188">
        <f>H874+H875+H876</f>
        <v>58978.513749999998</v>
      </c>
      <c r="I877" s="189"/>
      <c r="J877" s="189"/>
      <c r="K877" s="190">
        <f>K874+K875+K876</f>
        <v>57915.398450000001</v>
      </c>
      <c r="L877" s="191">
        <f>K877-H877</f>
        <v>-1063.1152999999977</v>
      </c>
      <c r="M877" s="192">
        <f>IF((H877)=0,"",(L877/H877))</f>
        <v>-1.8025467791649763E-2</v>
      </c>
    </row>
    <row r="878" spans="1:13" ht="15.75" hidden="1" thickBot="1" x14ac:dyDescent="0.3">
      <c r="A878" s="100" t="str">
        <f t="shared" si="128"/>
        <v>GENERAL SERVICE 50 TO 999 KW SERVICE CLASSIFICATION</v>
      </c>
      <c r="B878" s="100" t="s">
        <v>117</v>
      </c>
      <c r="C878" s="117"/>
      <c r="D878" s="165"/>
      <c r="E878" s="166"/>
      <c r="F878" s="167"/>
      <c r="G878" s="168"/>
      <c r="H878" s="169"/>
      <c r="I878" s="167"/>
      <c r="J878" s="170"/>
      <c r="K878" s="169"/>
      <c r="L878" s="171"/>
      <c r="M878" s="172"/>
    </row>
    <row r="879" spans="1:13" hidden="1" x14ac:dyDescent="0.25">
      <c r="A879" s="100" t="str">
        <f t="shared" si="128"/>
        <v>GENERAL SERVICE 50 TO 999 KW SERVICE CLASSIFICATION</v>
      </c>
      <c r="B879" s="100" t="s">
        <v>180</v>
      </c>
      <c r="C879" s="117"/>
      <c r="D879" s="173" t="s">
        <v>188</v>
      </c>
      <c r="E879" s="158"/>
      <c r="F879" s="174"/>
      <c r="G879" s="175"/>
      <c r="H879" s="176">
        <f>SUM(H871,H864:H867,H863)</f>
        <v>67035.455000000002</v>
      </c>
      <c r="I879" s="177"/>
      <c r="J879" s="177"/>
      <c r="K879" s="176">
        <f>SUM(K871,K864:K867,K863)</f>
        <v>66094.645000000004</v>
      </c>
      <c r="L879" s="178">
        <f>K879-H879</f>
        <v>-940.80999999999767</v>
      </c>
      <c r="M879" s="179">
        <f>IF((H879)=0,"",(L879/H879))</f>
        <v>-1.4034513527207321E-2</v>
      </c>
    </row>
    <row r="880" spans="1:13" hidden="1" x14ac:dyDescent="0.25">
      <c r="A880" s="100" t="str">
        <f t="shared" si="128"/>
        <v>GENERAL SERVICE 50 TO 999 KW SERVICE CLASSIFICATION</v>
      </c>
      <c r="B880" s="100" t="s">
        <v>180</v>
      </c>
      <c r="C880" s="117"/>
      <c r="D880" s="180" t="s">
        <v>184</v>
      </c>
      <c r="E880" s="158"/>
      <c r="F880" s="174">
        <v>0.13</v>
      </c>
      <c r="G880" s="175"/>
      <c r="H880" s="182">
        <f>H879*F880</f>
        <v>8714.6091500000002</v>
      </c>
      <c r="I880" s="174">
        <v>0.13</v>
      </c>
      <c r="J880" s="183"/>
      <c r="K880" s="182">
        <f>K879*I880</f>
        <v>8592.3038500000002</v>
      </c>
      <c r="L880" s="184">
        <f>K880-H880</f>
        <v>-122.30529999999999</v>
      </c>
      <c r="M880" s="185">
        <f>IF((H880)=0,"",(L880/H880))</f>
        <v>-1.4034513527207354E-2</v>
      </c>
    </row>
    <row r="881" spans="1:13" hidden="1" x14ac:dyDescent="0.25">
      <c r="A881" s="100" t="str">
        <f t="shared" si="128"/>
        <v>GENERAL SERVICE 50 TO 999 KW SERVICE CLASSIFICATION</v>
      </c>
      <c r="B881" s="100" t="s">
        <v>180</v>
      </c>
      <c r="C881" s="117"/>
      <c r="D881" s="180" t="s">
        <v>185</v>
      </c>
      <c r="E881" s="158"/>
      <c r="F881" s="174">
        <v>0.08</v>
      </c>
      <c r="G881" s="175"/>
      <c r="H881" s="182">
        <v>0</v>
      </c>
      <c r="I881" s="174">
        <v>0.08</v>
      </c>
      <c r="J881" s="183"/>
      <c r="K881" s="182">
        <v>0</v>
      </c>
      <c r="L881" s="184"/>
      <c r="M881" s="185"/>
    </row>
    <row r="882" spans="1:13" hidden="1" x14ac:dyDescent="0.25">
      <c r="A882" s="100" t="str">
        <f t="shared" si="128"/>
        <v>GENERAL SERVICE 50 TO 999 KW SERVICE CLASSIFICATION</v>
      </c>
      <c r="B882" s="100" t="s">
        <v>189</v>
      </c>
      <c r="C882" s="117"/>
      <c r="D882" s="301" t="s">
        <v>188</v>
      </c>
      <c r="E882" s="301"/>
      <c r="F882" s="193"/>
      <c r="G882" s="194"/>
      <c r="H882" s="188">
        <f>SUM(H879,H880)</f>
        <v>75750.064150000006</v>
      </c>
      <c r="I882" s="195"/>
      <c r="J882" s="195"/>
      <c r="K882" s="188">
        <f>SUM(K879,K880)</f>
        <v>74686.948850000001</v>
      </c>
      <c r="L882" s="196">
        <f>K882-H882</f>
        <v>-1063.1153000000049</v>
      </c>
      <c r="M882" s="197">
        <f>IF((H882)=0,"",(L882/H882))</f>
        <v>-1.403451352720742E-2</v>
      </c>
    </row>
    <row r="883" spans="1:13" ht="15.75" hidden="1" thickBot="1" x14ac:dyDescent="0.3">
      <c r="A883" s="100" t="str">
        <f t="shared" si="128"/>
        <v>GENERAL SERVICE 50 TO 999 KW SERVICE CLASSIFICATION</v>
      </c>
      <c r="B883" s="100" t="s">
        <v>180</v>
      </c>
      <c r="C883" s="117"/>
      <c r="D883" s="165"/>
      <c r="E883" s="166"/>
      <c r="F883" s="198"/>
      <c r="G883" s="199"/>
      <c r="H883" s="200"/>
      <c r="I883" s="198"/>
      <c r="J883" s="168"/>
      <c r="K883" s="200"/>
      <c r="L883" s="201"/>
      <c r="M883" s="172"/>
    </row>
    <row r="884" spans="1:13" x14ac:dyDescent="0.25">
      <c r="A884" s="100" t="str">
        <f t="shared" si="128"/>
        <v>GENERAL SERVICE 50 TO 999 KW SERVICE CLASSIFICATION</v>
      </c>
      <c r="B884" s="100" t="s">
        <v>121</v>
      </c>
      <c r="C884" s="117"/>
      <c r="D884" s="173" t="s">
        <v>190</v>
      </c>
      <c r="E884" s="158"/>
      <c r="F884" s="174"/>
      <c r="G884" s="175"/>
      <c r="H884" s="176">
        <f>SUM(H872,H864:H867,H863)</f>
        <v>67035.455000000002</v>
      </c>
      <c r="I884" s="177"/>
      <c r="J884" s="177"/>
      <c r="K884" s="176">
        <f>SUM(K872,K864:K867,K863)</f>
        <v>66094.645000000004</v>
      </c>
      <c r="L884" s="178">
        <f>K884-H884</f>
        <v>-940.80999999999767</v>
      </c>
      <c r="M884" s="179">
        <f>IF((H884)=0,"",(L884/H884))</f>
        <v>-1.4034513527207321E-2</v>
      </c>
    </row>
    <row r="885" spans="1:13" x14ac:dyDescent="0.25">
      <c r="A885" s="100" t="str">
        <f t="shared" si="128"/>
        <v>GENERAL SERVICE 50 TO 999 KW SERVICE CLASSIFICATION</v>
      </c>
      <c r="B885" s="100" t="s">
        <v>121</v>
      </c>
      <c r="C885" s="117"/>
      <c r="D885" s="180" t="s">
        <v>184</v>
      </c>
      <c r="E885" s="158"/>
      <c r="F885" s="174">
        <v>0.13</v>
      </c>
      <c r="G885" s="175"/>
      <c r="H885" s="182">
        <f>H884*F885</f>
        <v>8714.6091500000002</v>
      </c>
      <c r="I885" s="174">
        <v>0.13</v>
      </c>
      <c r="J885" s="183"/>
      <c r="K885" s="182">
        <f>K884*I885</f>
        <v>8592.3038500000002</v>
      </c>
      <c r="L885" s="184">
        <f>K885-H885</f>
        <v>-122.30529999999999</v>
      </c>
      <c r="M885" s="185">
        <f>IF((H885)=0,"",(L885/H885))</f>
        <v>-1.4034513527207354E-2</v>
      </c>
    </row>
    <row r="886" spans="1:13" x14ac:dyDescent="0.25">
      <c r="A886" s="100" t="str">
        <f t="shared" si="128"/>
        <v>GENERAL SERVICE 50 TO 999 KW SERVICE CLASSIFICATION</v>
      </c>
      <c r="B886" s="100" t="s">
        <v>121</v>
      </c>
      <c r="C886" s="117"/>
      <c r="D886" s="180" t="s">
        <v>185</v>
      </c>
      <c r="E886" s="158"/>
      <c r="F886" s="174">
        <v>0.08</v>
      </c>
      <c r="G886" s="175"/>
      <c r="H886" s="182">
        <v>0</v>
      </c>
      <c r="I886" s="174">
        <v>0.08</v>
      </c>
      <c r="J886" s="183"/>
      <c r="K886" s="182">
        <v>0</v>
      </c>
      <c r="L886" s="184"/>
      <c r="M886" s="185"/>
    </row>
    <row r="887" spans="1:13" ht="15.75" thickBot="1" x14ac:dyDescent="0.3">
      <c r="A887" s="100" t="str">
        <f t="shared" si="128"/>
        <v>GENERAL SERVICE 50 TO 999 KW SERVICE CLASSIFICATION</v>
      </c>
      <c r="B887" s="100" t="s">
        <v>191</v>
      </c>
      <c r="C887" s="117">
        <f>B17</f>
        <v>15</v>
      </c>
      <c r="D887" s="301" t="s">
        <v>190</v>
      </c>
      <c r="E887" s="301"/>
      <c r="F887" s="193"/>
      <c r="G887" s="194"/>
      <c r="H887" s="188">
        <f>SUM(H884,H885)</f>
        <v>75750.064150000006</v>
      </c>
      <c r="I887" s="195"/>
      <c r="J887" s="195"/>
      <c r="K887" s="188">
        <f>SUM(K884,K885)</f>
        <v>74686.948850000001</v>
      </c>
      <c r="L887" s="196">
        <f>K887-H887</f>
        <v>-1063.1153000000049</v>
      </c>
      <c r="M887" s="197">
        <f>IF((H887)=0,"",(L887/H887))</f>
        <v>-1.403451352720742E-2</v>
      </c>
    </row>
    <row r="888" spans="1:13" ht="15.75" thickBot="1" x14ac:dyDescent="0.3">
      <c r="A888" s="100" t="str">
        <f t="shared" si="128"/>
        <v>GENERAL SERVICE 50 TO 999 KW SERVICE CLASSIFICATION</v>
      </c>
      <c r="B888" s="100" t="s">
        <v>121</v>
      </c>
      <c r="C888" s="117"/>
      <c r="D888" s="165"/>
      <c r="E888" s="166"/>
      <c r="F888" s="202"/>
      <c r="G888" s="203"/>
      <c r="H888" s="204"/>
      <c r="I888" s="202"/>
      <c r="J888" s="205"/>
      <c r="K888" s="204"/>
      <c r="L888" s="206"/>
      <c r="M888" s="207"/>
    </row>
    <row r="891" spans="1:13" x14ac:dyDescent="0.25">
      <c r="C891" s="100"/>
      <c r="D891" s="101" t="s">
        <v>134</v>
      </c>
      <c r="E891" s="302" t="str">
        <f>D18</f>
        <v>GENERAL SERVICE 1,000 TO 4,999 KW SERVICE CLASSIFICATION</v>
      </c>
      <c r="F891" s="302"/>
      <c r="G891" s="302"/>
      <c r="H891" s="302"/>
      <c r="I891" s="302"/>
      <c r="J891" s="302"/>
      <c r="K891" s="100" t="str">
        <f>IF(N18="DEMAND - INTERVAL","RTSR - INTERVAL METERED","")</f>
        <v/>
      </c>
    </row>
    <row r="892" spans="1:13" x14ac:dyDescent="0.25">
      <c r="C892" s="100"/>
      <c r="D892" s="101" t="s">
        <v>135</v>
      </c>
      <c r="E892" s="303" t="str">
        <f>H18</f>
        <v>Non-RPP (Other)</v>
      </c>
      <c r="F892" s="303"/>
      <c r="G892" s="303"/>
      <c r="H892" s="102"/>
      <c r="I892" s="102"/>
    </row>
    <row r="893" spans="1:13" ht="15.75" x14ac:dyDescent="0.25">
      <c r="C893" s="100"/>
      <c r="D893" s="101" t="s">
        <v>136</v>
      </c>
      <c r="E893" s="103">
        <f>K18</f>
        <v>1000000</v>
      </c>
      <c r="F893" s="104" t="s">
        <v>137</v>
      </c>
      <c r="G893" s="105"/>
      <c r="J893" s="106"/>
      <c r="K893" s="106"/>
      <c r="L893" s="106"/>
      <c r="M893" s="106"/>
    </row>
    <row r="894" spans="1:13" ht="15.75" x14ac:dyDescent="0.25">
      <c r="C894" s="100"/>
      <c r="D894" s="101" t="s">
        <v>138</v>
      </c>
      <c r="E894" s="103">
        <f>L18</f>
        <v>2000</v>
      </c>
      <c r="F894" s="107" t="s">
        <v>139</v>
      </c>
      <c r="G894" s="108"/>
      <c r="H894" s="109"/>
      <c r="I894" s="109"/>
      <c r="J894" s="109"/>
    </row>
    <row r="895" spans="1:13" x14ac:dyDescent="0.25">
      <c r="C895" s="100"/>
      <c r="D895" s="101" t="s">
        <v>140</v>
      </c>
      <c r="E895" s="110">
        <f>I18</f>
        <v>1.056</v>
      </c>
    </row>
    <row r="896" spans="1:13" x14ac:dyDescent="0.25">
      <c r="C896" s="100"/>
      <c r="D896" s="101" t="s">
        <v>141</v>
      </c>
      <c r="E896" s="110">
        <f>J18</f>
        <v>1.056</v>
      </c>
    </row>
    <row r="897" spans="1:13" x14ac:dyDescent="0.25">
      <c r="C897" s="100"/>
      <c r="D897" s="105"/>
    </row>
    <row r="898" spans="1:13" x14ac:dyDescent="0.25">
      <c r="C898" s="100"/>
      <c r="D898" s="105"/>
      <c r="E898" s="111"/>
      <c r="F898" s="304" t="s">
        <v>142</v>
      </c>
      <c r="G898" s="305"/>
      <c r="H898" s="306"/>
      <c r="I898" s="304" t="s">
        <v>143</v>
      </c>
      <c r="J898" s="305"/>
      <c r="K898" s="306"/>
      <c r="L898" s="304" t="s">
        <v>144</v>
      </c>
      <c r="M898" s="306"/>
    </row>
    <row r="899" spans="1:13" x14ac:dyDescent="0.25">
      <c r="C899" s="100"/>
      <c r="D899" s="105"/>
      <c r="E899" s="295"/>
      <c r="F899" s="112" t="s">
        <v>145</v>
      </c>
      <c r="G899" s="112" t="s">
        <v>146</v>
      </c>
      <c r="H899" s="113" t="s">
        <v>147</v>
      </c>
      <c r="I899" s="112" t="s">
        <v>145</v>
      </c>
      <c r="J899" s="114" t="s">
        <v>146</v>
      </c>
      <c r="K899" s="113" t="s">
        <v>147</v>
      </c>
      <c r="L899" s="297" t="s">
        <v>148</v>
      </c>
      <c r="M899" s="299" t="s">
        <v>149</v>
      </c>
    </row>
    <row r="900" spans="1:13" x14ac:dyDescent="0.25">
      <c r="C900" s="100"/>
      <c r="D900" s="105"/>
      <c r="E900" s="296"/>
      <c r="F900" s="115" t="s">
        <v>150</v>
      </c>
      <c r="G900" s="115"/>
      <c r="H900" s="116" t="s">
        <v>150</v>
      </c>
      <c r="I900" s="115" t="s">
        <v>150</v>
      </c>
      <c r="J900" s="116"/>
      <c r="K900" s="116" t="s">
        <v>150</v>
      </c>
      <c r="L900" s="298"/>
      <c r="M900" s="300"/>
    </row>
    <row r="901" spans="1:13" x14ac:dyDescent="0.25">
      <c r="A901" s="100" t="str">
        <f>$E891</f>
        <v>GENERAL SERVICE 1,000 TO 4,999 KW SERVICE CLASSIFICATION</v>
      </c>
      <c r="C901" s="117"/>
      <c r="D901" s="118" t="s">
        <v>151</v>
      </c>
      <c r="E901" s="119"/>
      <c r="F901" s="120">
        <v>185.55</v>
      </c>
      <c r="G901" s="121">
        <v>1</v>
      </c>
      <c r="H901" s="122">
        <f>G901*F901</f>
        <v>185.55</v>
      </c>
      <c r="I901" s="123">
        <v>187.78</v>
      </c>
      <c r="J901" s="124">
        <f>G901</f>
        <v>1</v>
      </c>
      <c r="K901" s="122">
        <f>J901*I901</f>
        <v>187.78</v>
      </c>
      <c r="L901" s="125">
        <f t="shared" ref="L901:L922" si="133">K901-H901</f>
        <v>2.2299999999999898</v>
      </c>
      <c r="M901" s="126">
        <f>IF(ISERROR(L901/H901), "", L901/H901)</f>
        <v>1.2018323901913175E-2</v>
      </c>
    </row>
    <row r="902" spans="1:13" x14ac:dyDescent="0.25">
      <c r="A902" s="100" t="str">
        <f>A901</f>
        <v>GENERAL SERVICE 1,000 TO 4,999 KW SERVICE CLASSIFICATION</v>
      </c>
      <c r="C902" s="117"/>
      <c r="D902" s="118" t="s">
        <v>152</v>
      </c>
      <c r="E902" s="119"/>
      <c r="F902" s="127">
        <v>3.4704999999999999</v>
      </c>
      <c r="G902" s="121">
        <f>IF($E894&gt;0, $E894, $E893)</f>
        <v>2000</v>
      </c>
      <c r="H902" s="122">
        <f t="shared" ref="H902:H914" si="134">G902*F902</f>
        <v>6941</v>
      </c>
      <c r="I902" s="128">
        <v>3.5121000000000002</v>
      </c>
      <c r="J902" s="124">
        <f>IF($E894&gt;0, $E894, $E893)</f>
        <v>2000</v>
      </c>
      <c r="K902" s="122">
        <f>J902*I902</f>
        <v>7024.2000000000007</v>
      </c>
      <c r="L902" s="125">
        <f t="shared" si="133"/>
        <v>83.200000000000728</v>
      </c>
      <c r="M902" s="126">
        <f t="shared" ref="M902:M912" si="135">IF(ISERROR(L902/H902), "", L902/H902)</f>
        <v>1.1986745425731268E-2</v>
      </c>
    </row>
    <row r="903" spans="1:13" x14ac:dyDescent="0.25">
      <c r="A903" s="100" t="str">
        <f t="shared" ref="A903:A944" si="136">A902</f>
        <v>GENERAL SERVICE 1,000 TO 4,999 KW SERVICE CLASSIFICATION</v>
      </c>
      <c r="C903" s="117"/>
      <c r="D903" s="118" t="s">
        <v>153</v>
      </c>
      <c r="E903" s="119"/>
      <c r="F903" s="127"/>
      <c r="G903" s="121">
        <f>IF($E894&gt;0, $E894, $E893)</f>
        <v>2000</v>
      </c>
      <c r="H903" s="122">
        <v>0</v>
      </c>
      <c r="I903" s="128"/>
      <c r="J903" s="124">
        <f>IF($E894&gt;0, $E894, $E893)</f>
        <v>2000</v>
      </c>
      <c r="K903" s="122">
        <v>0</v>
      </c>
      <c r="L903" s="125"/>
      <c r="M903" s="126"/>
    </row>
    <row r="904" spans="1:13" x14ac:dyDescent="0.25">
      <c r="A904" s="100" t="str">
        <f t="shared" si="136"/>
        <v>GENERAL SERVICE 1,000 TO 4,999 KW SERVICE CLASSIFICATION</v>
      </c>
      <c r="C904" s="117"/>
      <c r="D904" s="118" t="s">
        <v>154</v>
      </c>
      <c r="E904" s="119"/>
      <c r="F904" s="127"/>
      <c r="G904" s="121">
        <f>IF($E894&gt;0, $E894, $E893)</f>
        <v>2000</v>
      </c>
      <c r="H904" s="122">
        <v>0</v>
      </c>
      <c r="I904" s="128"/>
      <c r="J904" s="121">
        <f>IF($E894&gt;0, $E894, $E893)</f>
        <v>2000</v>
      </c>
      <c r="K904" s="122">
        <v>0</v>
      </c>
      <c r="L904" s="125">
        <f>K904-H904</f>
        <v>0</v>
      </c>
      <c r="M904" s="126" t="str">
        <f>IF(ISERROR(L904/H904), "", L904/H904)</f>
        <v/>
      </c>
    </row>
    <row r="905" spans="1:13" x14ac:dyDescent="0.25">
      <c r="A905" s="100" t="str">
        <f t="shared" si="136"/>
        <v>GENERAL SERVICE 1,000 TO 4,999 KW SERVICE CLASSIFICATION</v>
      </c>
      <c r="C905" s="117"/>
      <c r="D905" s="129" t="s">
        <v>155</v>
      </c>
      <c r="E905" s="119"/>
      <c r="F905" s="120">
        <v>0</v>
      </c>
      <c r="G905" s="121">
        <v>1</v>
      </c>
      <c r="H905" s="122">
        <f t="shared" si="134"/>
        <v>0</v>
      </c>
      <c r="I905" s="123">
        <v>0</v>
      </c>
      <c r="J905" s="124">
        <f>G905</f>
        <v>1</v>
      </c>
      <c r="K905" s="122">
        <f t="shared" ref="K905:K912" si="137">J905*I905</f>
        <v>0</v>
      </c>
      <c r="L905" s="125">
        <f t="shared" si="133"/>
        <v>0</v>
      </c>
      <c r="M905" s="126" t="str">
        <f t="shared" si="135"/>
        <v/>
      </c>
    </row>
    <row r="906" spans="1:13" x14ac:dyDescent="0.25">
      <c r="A906" s="100" t="str">
        <f t="shared" si="136"/>
        <v>GENERAL SERVICE 1,000 TO 4,999 KW SERVICE CLASSIFICATION</v>
      </c>
      <c r="C906" s="117"/>
      <c r="D906" s="118" t="s">
        <v>156</v>
      </c>
      <c r="E906" s="119"/>
      <c r="F906" s="127">
        <v>0</v>
      </c>
      <c r="G906" s="121">
        <f>IF($E894&gt;0, $E894, $E893)</f>
        <v>2000</v>
      </c>
      <c r="H906" s="122">
        <f t="shared" si="134"/>
        <v>0</v>
      </c>
      <c r="I906" s="128">
        <v>0</v>
      </c>
      <c r="J906" s="124">
        <f>IF($E894&gt;0, $E894, $E893)</f>
        <v>2000</v>
      </c>
      <c r="K906" s="122">
        <f t="shared" si="137"/>
        <v>0</v>
      </c>
      <c r="L906" s="125">
        <f t="shared" si="133"/>
        <v>0</v>
      </c>
      <c r="M906" s="126" t="str">
        <f t="shared" si="135"/>
        <v/>
      </c>
    </row>
    <row r="907" spans="1:13" x14ac:dyDescent="0.25">
      <c r="A907" s="100" t="str">
        <f t="shared" si="136"/>
        <v>GENERAL SERVICE 1,000 TO 4,999 KW SERVICE CLASSIFICATION</v>
      </c>
      <c r="B907" s="130" t="s">
        <v>157</v>
      </c>
      <c r="C907" s="117">
        <f>B18</f>
        <v>16</v>
      </c>
      <c r="D907" s="131" t="s">
        <v>158</v>
      </c>
      <c r="E907" s="132"/>
      <c r="F907" s="133"/>
      <c r="G907" s="134"/>
      <c r="H907" s="135">
        <f>SUM(H901:H906)</f>
        <v>7126.55</v>
      </c>
      <c r="I907" s="136"/>
      <c r="J907" s="137"/>
      <c r="K907" s="135">
        <f>SUM(K901:K906)</f>
        <v>7211.9800000000005</v>
      </c>
      <c r="L907" s="138">
        <f t="shared" si="133"/>
        <v>85.430000000000291</v>
      </c>
      <c r="M907" s="139">
        <f>IF((H907)=0,"",(L907/H907))</f>
        <v>1.1987567616869354E-2</v>
      </c>
    </row>
    <row r="908" spans="1:13" x14ac:dyDescent="0.25">
      <c r="A908" s="100" t="str">
        <f t="shared" si="136"/>
        <v>GENERAL SERVICE 1,000 TO 4,999 KW SERVICE CLASSIFICATION</v>
      </c>
      <c r="C908" s="117"/>
      <c r="D908" s="140" t="s">
        <v>159</v>
      </c>
      <c r="E908" s="119"/>
      <c r="F908" s="127">
        <f>IF((E893*12&gt;=150000), 0, IF(E892="RPP",(F924*0.65+F925*0.17+F926*0.18),IF(E892="Non-RPP (Retailer)",F927,F928)))</f>
        <v>0</v>
      </c>
      <c r="G908" s="141">
        <f>IF(F908=0, 0, $E893*E895-E893)</f>
        <v>0</v>
      </c>
      <c r="H908" s="122">
        <f>G908*F908</f>
        <v>0</v>
      </c>
      <c r="I908" s="128">
        <f>IF((E893*12&gt;=150000), 0, IF(E892="RPP",(I924*0.65+I925*0.17+I926*0.18),IF(E892="Non-RPP (Retailer)",I927,I928)))</f>
        <v>0</v>
      </c>
      <c r="J908" s="141">
        <f>IF(I908=0, 0, E893*E896-E893)</f>
        <v>0</v>
      </c>
      <c r="K908" s="122">
        <f>J908*I908</f>
        <v>0</v>
      </c>
      <c r="L908" s="125">
        <f>K908-H908</f>
        <v>0</v>
      </c>
      <c r="M908" s="126" t="str">
        <f>IF(ISERROR(L908/H908), "", L908/H908)</f>
        <v/>
      </c>
    </row>
    <row r="909" spans="1:13" ht="25.5" x14ac:dyDescent="0.25">
      <c r="A909" s="100" t="str">
        <f t="shared" si="136"/>
        <v>GENERAL SERVICE 1,000 TO 4,999 KW SERVICE CLASSIFICATION</v>
      </c>
      <c r="C909" s="117"/>
      <c r="D909" s="140" t="s">
        <v>160</v>
      </c>
      <c r="E909" s="119"/>
      <c r="F909" s="127">
        <v>-0.93979999999999997</v>
      </c>
      <c r="G909" s="142">
        <f>IF($E894&gt;0, $E894, $E893)</f>
        <v>2000</v>
      </c>
      <c r="H909" s="122">
        <f t="shared" si="134"/>
        <v>-1879.6</v>
      </c>
      <c r="I909" s="128">
        <v>-1.9907999999999999</v>
      </c>
      <c r="J909" s="142">
        <f>IF($E894&gt;0, $E894, $E893)</f>
        <v>2000</v>
      </c>
      <c r="K909" s="122">
        <f t="shared" si="137"/>
        <v>-3981.6</v>
      </c>
      <c r="L909" s="125">
        <f t="shared" si="133"/>
        <v>-2102</v>
      </c>
      <c r="M909" s="126">
        <f t="shared" si="135"/>
        <v>1.1183230474569057</v>
      </c>
    </row>
    <row r="910" spans="1:13" x14ac:dyDescent="0.25">
      <c r="A910" s="100" t="str">
        <f t="shared" si="136"/>
        <v>GENERAL SERVICE 1,000 TO 4,999 KW SERVICE CLASSIFICATION</v>
      </c>
      <c r="C910" s="117"/>
      <c r="D910" s="140" t="s">
        <v>161</v>
      </c>
      <c r="E910" s="119"/>
      <c r="F910" s="127">
        <v>-3.4099999999999998E-2</v>
      </c>
      <c r="G910" s="142">
        <f>IF($E894&gt;0, $E894, $E893)</f>
        <v>2000</v>
      </c>
      <c r="H910" s="122">
        <f>G910*F910</f>
        <v>-68.2</v>
      </c>
      <c r="I910" s="128">
        <v>0</v>
      </c>
      <c r="J910" s="142">
        <f>IF($E894&gt;0, $E894, $E893)</f>
        <v>2000</v>
      </c>
      <c r="K910" s="122">
        <f>J910*I910</f>
        <v>0</v>
      </c>
      <c r="L910" s="125">
        <f t="shared" si="133"/>
        <v>68.2</v>
      </c>
      <c r="M910" s="126">
        <f t="shared" si="135"/>
        <v>-1</v>
      </c>
    </row>
    <row r="911" spans="1:13" x14ac:dyDescent="0.25">
      <c r="A911" s="100" t="str">
        <f t="shared" si="136"/>
        <v>GENERAL SERVICE 1,000 TO 4,999 KW SERVICE CLASSIFICATION</v>
      </c>
      <c r="C911" s="117"/>
      <c r="D911" s="140" t="s">
        <v>162</v>
      </c>
      <c r="E911" s="119"/>
      <c r="F911" s="127"/>
      <c r="G911" s="142">
        <f>E893</f>
        <v>1000000</v>
      </c>
      <c r="H911" s="122">
        <f>G911*F911</f>
        <v>0</v>
      </c>
      <c r="I911" s="128"/>
      <c r="J911" s="142">
        <f>E893</f>
        <v>1000000</v>
      </c>
      <c r="K911" s="122">
        <f t="shared" si="137"/>
        <v>0</v>
      </c>
      <c r="L911" s="125">
        <f t="shared" si="133"/>
        <v>0</v>
      </c>
      <c r="M911" s="126" t="str">
        <f t="shared" si="135"/>
        <v/>
      </c>
    </row>
    <row r="912" spans="1:13" x14ac:dyDescent="0.25">
      <c r="A912" s="100" t="str">
        <f t="shared" si="136"/>
        <v>GENERAL SERVICE 1,000 TO 4,999 KW SERVICE CLASSIFICATION</v>
      </c>
      <c r="C912" s="117"/>
      <c r="D912" s="143" t="s">
        <v>163</v>
      </c>
      <c r="E912" s="119"/>
      <c r="F912" s="127">
        <v>1.0483</v>
      </c>
      <c r="G912" s="142">
        <f>IF($E894&gt;0, $E894, $E893)</f>
        <v>2000</v>
      </c>
      <c r="H912" s="122">
        <f t="shared" si="134"/>
        <v>2096.6</v>
      </c>
      <c r="I912" s="128">
        <v>1.0483</v>
      </c>
      <c r="J912" s="142">
        <f>IF($E894&gt;0, $E894, $E893)</f>
        <v>2000</v>
      </c>
      <c r="K912" s="122">
        <f t="shared" si="137"/>
        <v>2096.6</v>
      </c>
      <c r="L912" s="125">
        <f t="shared" si="133"/>
        <v>0</v>
      </c>
      <c r="M912" s="126">
        <f t="shared" si="135"/>
        <v>0</v>
      </c>
    </row>
    <row r="913" spans="1:13" ht="25.5" x14ac:dyDescent="0.25">
      <c r="A913" s="100" t="str">
        <f t="shared" si="136"/>
        <v>GENERAL SERVICE 1,000 TO 4,999 KW SERVICE CLASSIFICATION</v>
      </c>
      <c r="C913" s="117"/>
      <c r="D913" s="144" t="s">
        <v>164</v>
      </c>
      <c r="E913" s="119"/>
      <c r="F913" s="145">
        <f>IF(OR(ISNUMBER(SEARCH("RESIDENTIAL", E891))=TRUE, ISNUMBER(SEARCH("GENERAL SERVICE LESS THAN 50", E891))=TRUE), SME, 0)</f>
        <v>0</v>
      </c>
      <c r="G913" s="121">
        <v>1</v>
      </c>
      <c r="H913" s="122">
        <f>G913*F913</f>
        <v>0</v>
      </c>
      <c r="I913" s="146">
        <f>IF(OR(ISNUMBER(SEARCH("RESIDENTIAL", E891))=TRUE, ISNUMBER(SEARCH("GENERAL SERVICE LESS THAN 50", E891))=TRUE), SME, 0)</f>
        <v>0</v>
      </c>
      <c r="J913" s="121">
        <v>1</v>
      </c>
      <c r="K913" s="122">
        <f>J913*I913</f>
        <v>0</v>
      </c>
      <c r="L913" s="125">
        <f t="shared" si="133"/>
        <v>0</v>
      </c>
      <c r="M913" s="126" t="str">
        <f>IF(ISERROR(L913/H913), "", L913/H913)</f>
        <v/>
      </c>
    </row>
    <row r="914" spans="1:13" x14ac:dyDescent="0.25">
      <c r="A914" s="100" t="str">
        <f t="shared" si="136"/>
        <v>GENERAL SERVICE 1,000 TO 4,999 KW SERVICE CLASSIFICATION</v>
      </c>
      <c r="C914" s="117"/>
      <c r="D914" s="143" t="s">
        <v>165</v>
      </c>
      <c r="E914" s="119"/>
      <c r="F914" s="120">
        <v>0</v>
      </c>
      <c r="G914" s="121">
        <v>1</v>
      </c>
      <c r="H914" s="122">
        <f t="shared" si="134"/>
        <v>0</v>
      </c>
      <c r="I914" s="123">
        <v>0</v>
      </c>
      <c r="J914" s="121">
        <v>1</v>
      </c>
      <c r="K914" s="122">
        <f>J914*I914</f>
        <v>0</v>
      </c>
      <c r="L914" s="125">
        <f>K914-H914</f>
        <v>0</v>
      </c>
      <c r="M914" s="126" t="str">
        <f>IF(ISERROR(L914/H914), "", L914/H914)</f>
        <v/>
      </c>
    </row>
    <row r="915" spans="1:13" x14ac:dyDescent="0.25">
      <c r="A915" s="100" t="str">
        <f t="shared" si="136"/>
        <v>GENERAL SERVICE 1,000 TO 4,999 KW SERVICE CLASSIFICATION</v>
      </c>
      <c r="C915" s="117"/>
      <c r="D915" s="143" t="s">
        <v>166</v>
      </c>
      <c r="E915" s="119"/>
      <c r="F915" s="127"/>
      <c r="G915" s="142">
        <f>IF($E894&gt;0, $E894, $E893)</f>
        <v>2000</v>
      </c>
      <c r="H915" s="122">
        <f>G915*F915</f>
        <v>0</v>
      </c>
      <c r="I915" s="128">
        <v>0</v>
      </c>
      <c r="J915" s="142">
        <f>IF($E894&gt;0, $E894, $E893)</f>
        <v>2000</v>
      </c>
      <c r="K915" s="122">
        <f>J915*I915</f>
        <v>0</v>
      </c>
      <c r="L915" s="125">
        <f t="shared" si="133"/>
        <v>0</v>
      </c>
      <c r="M915" s="126" t="str">
        <f>IF(ISERROR(L915/H915), "", L915/H915)</f>
        <v/>
      </c>
    </row>
    <row r="916" spans="1:13" ht="25.5" x14ac:dyDescent="0.25">
      <c r="A916" s="100" t="str">
        <f t="shared" si="136"/>
        <v>GENERAL SERVICE 1,000 TO 4,999 KW SERVICE CLASSIFICATION</v>
      </c>
      <c r="B916" s="105" t="s">
        <v>167</v>
      </c>
      <c r="C916" s="117">
        <f>B18</f>
        <v>16</v>
      </c>
      <c r="D916" s="147" t="s">
        <v>168</v>
      </c>
      <c r="E916" s="148"/>
      <c r="F916" s="149"/>
      <c r="G916" s="150"/>
      <c r="H916" s="151">
        <f>SUM(H907:H915)</f>
        <v>7275.35</v>
      </c>
      <c r="I916" s="152"/>
      <c r="J916" s="153"/>
      <c r="K916" s="151">
        <f>SUM(K907:K915)</f>
        <v>5326.9800000000005</v>
      </c>
      <c r="L916" s="138">
        <f t="shared" si="133"/>
        <v>-1948.37</v>
      </c>
      <c r="M916" s="139">
        <f>IF((H916)=0,"",(L916/H916))</f>
        <v>-0.26780429807500666</v>
      </c>
    </row>
    <row r="917" spans="1:13" x14ac:dyDescent="0.25">
      <c r="A917" s="100" t="str">
        <f t="shared" si="136"/>
        <v>GENERAL SERVICE 1,000 TO 4,999 KW SERVICE CLASSIFICATION</v>
      </c>
      <c r="C917" s="117"/>
      <c r="D917" s="154" t="s">
        <v>169</v>
      </c>
      <c r="E917" s="119"/>
      <c r="F917" s="127">
        <v>2.6217000000000001</v>
      </c>
      <c r="G917" s="141">
        <f>IF($E894&gt;0, $E894, $E893*$E895)</f>
        <v>2000</v>
      </c>
      <c r="H917" s="122">
        <f>G917*F917</f>
        <v>5243.4000000000005</v>
      </c>
      <c r="I917" s="128">
        <v>2.4868999999999999</v>
      </c>
      <c r="J917" s="141">
        <f>IF($E894&gt;0, $E894, $E893*$E896)</f>
        <v>2000</v>
      </c>
      <c r="K917" s="122">
        <f>J917*I917</f>
        <v>4973.8</v>
      </c>
      <c r="L917" s="125">
        <f t="shared" si="133"/>
        <v>-269.60000000000036</v>
      </c>
      <c r="M917" s="126">
        <f>IF(ISERROR(L917/H917), "", L917/H917)</f>
        <v>-5.1417019491169919E-2</v>
      </c>
    </row>
    <row r="918" spans="1:13" ht="25.5" x14ac:dyDescent="0.25">
      <c r="A918" s="100" t="str">
        <f t="shared" si="136"/>
        <v>GENERAL SERVICE 1,000 TO 4,999 KW SERVICE CLASSIFICATION</v>
      </c>
      <c r="C918" s="117"/>
      <c r="D918" s="155" t="s">
        <v>170</v>
      </c>
      <c r="E918" s="119"/>
      <c r="F918" s="127">
        <v>2.2145999999999999</v>
      </c>
      <c r="G918" s="141">
        <f>IF($E894&gt;0, $E894, $E893*$E895)</f>
        <v>2000</v>
      </c>
      <c r="H918" s="122">
        <f>G918*F918</f>
        <v>4429.2</v>
      </c>
      <c r="I918" s="128">
        <v>2.0933000000000002</v>
      </c>
      <c r="J918" s="141">
        <f>IF($E894&gt;0, $E894, $E893*$E896)</f>
        <v>2000</v>
      </c>
      <c r="K918" s="122">
        <f>J918*I918</f>
        <v>4186.6000000000004</v>
      </c>
      <c r="L918" s="125">
        <f t="shared" si="133"/>
        <v>-242.59999999999945</v>
      </c>
      <c r="M918" s="126">
        <f>IF(ISERROR(L918/H918), "", L918/H918)</f>
        <v>-5.4772870947349291E-2</v>
      </c>
    </row>
    <row r="919" spans="1:13" ht="25.5" x14ac:dyDescent="0.25">
      <c r="A919" s="100" t="str">
        <f t="shared" si="136"/>
        <v>GENERAL SERVICE 1,000 TO 4,999 KW SERVICE CLASSIFICATION</v>
      </c>
      <c r="B919" s="105" t="s">
        <v>171</v>
      </c>
      <c r="C919" s="117">
        <f>B18</f>
        <v>16</v>
      </c>
      <c r="D919" s="147" t="s">
        <v>172</v>
      </c>
      <c r="E919" s="132"/>
      <c r="F919" s="149"/>
      <c r="G919" s="150"/>
      <c r="H919" s="151">
        <f>SUM(H916:H918)</f>
        <v>16947.95</v>
      </c>
      <c r="I919" s="152"/>
      <c r="J919" s="137"/>
      <c r="K919" s="151">
        <f>SUM(K916:K918)</f>
        <v>14487.380000000001</v>
      </c>
      <c r="L919" s="138">
        <f t="shared" si="133"/>
        <v>-2460.5699999999997</v>
      </c>
      <c r="M919" s="139">
        <f>IF((H919)=0,"",(L919/H919))</f>
        <v>-0.14518393079989023</v>
      </c>
    </row>
    <row r="920" spans="1:13" ht="25.5" x14ac:dyDescent="0.25">
      <c r="A920" s="100" t="str">
        <f t="shared" si="136"/>
        <v>GENERAL SERVICE 1,000 TO 4,999 KW SERVICE CLASSIFICATION</v>
      </c>
      <c r="C920" s="117"/>
      <c r="D920" s="156" t="s">
        <v>173</v>
      </c>
      <c r="E920" s="119"/>
      <c r="F920" s="127">
        <v>3.6000000000000003E-3</v>
      </c>
      <c r="G920" s="141">
        <f>E893*E895</f>
        <v>1056000</v>
      </c>
      <c r="H920" s="157">
        <f t="shared" ref="H920:H926" si="138">G920*F920</f>
        <v>3801.6000000000004</v>
      </c>
      <c r="I920" s="128">
        <v>3.6000000000000003E-3</v>
      </c>
      <c r="J920" s="141">
        <f>E893*E896</f>
        <v>1056000</v>
      </c>
      <c r="K920" s="157">
        <f t="shared" ref="K920:K926" si="139">J920*I920</f>
        <v>3801.6000000000004</v>
      </c>
      <c r="L920" s="125">
        <f t="shared" si="133"/>
        <v>0</v>
      </c>
      <c r="M920" s="126">
        <f t="shared" ref="M920:M928" si="140">IF(ISERROR(L920/H920), "", L920/H920)</f>
        <v>0</v>
      </c>
    </row>
    <row r="921" spans="1:13" ht="25.5" x14ac:dyDescent="0.25">
      <c r="A921" s="100" t="str">
        <f t="shared" si="136"/>
        <v>GENERAL SERVICE 1,000 TO 4,999 KW SERVICE CLASSIFICATION</v>
      </c>
      <c r="C921" s="117"/>
      <c r="D921" s="156" t="s">
        <v>174</v>
      </c>
      <c r="E921" s="119"/>
      <c r="F921" s="127">
        <f>'[1]17. Regulatory Charges'!$D$16</f>
        <v>2.9999999999999997E-4</v>
      </c>
      <c r="G921" s="141">
        <f>E893*E895</f>
        <v>1056000</v>
      </c>
      <c r="H921" s="157">
        <f t="shared" si="138"/>
        <v>316.79999999999995</v>
      </c>
      <c r="I921" s="128">
        <v>2.9999999999999997E-4</v>
      </c>
      <c r="J921" s="141">
        <f>E893*E896</f>
        <v>1056000</v>
      </c>
      <c r="K921" s="157">
        <f t="shared" si="139"/>
        <v>316.79999999999995</v>
      </c>
      <c r="L921" s="125">
        <f t="shared" si="133"/>
        <v>0</v>
      </c>
      <c r="M921" s="126">
        <f t="shared" si="140"/>
        <v>0</v>
      </c>
    </row>
    <row r="922" spans="1:13" x14ac:dyDescent="0.25">
      <c r="A922" s="100" t="str">
        <f t="shared" si="136"/>
        <v>GENERAL SERVICE 1,000 TO 4,999 KW SERVICE CLASSIFICATION</v>
      </c>
      <c r="C922" s="117"/>
      <c r="D922" s="158" t="s">
        <v>175</v>
      </c>
      <c r="E922" s="119"/>
      <c r="F922" s="145">
        <v>0.25</v>
      </c>
      <c r="G922" s="121">
        <v>1</v>
      </c>
      <c r="H922" s="157">
        <f t="shared" si="138"/>
        <v>0.25</v>
      </c>
      <c r="I922" s="146">
        <f>'[1]17. Regulatory Charges'!$D$17</f>
        <v>0.25</v>
      </c>
      <c r="J922" s="124">
        <v>1</v>
      </c>
      <c r="K922" s="157">
        <f t="shared" si="139"/>
        <v>0.25</v>
      </c>
      <c r="L922" s="125">
        <f t="shared" si="133"/>
        <v>0</v>
      </c>
      <c r="M922" s="126">
        <f t="shared" si="140"/>
        <v>0</v>
      </c>
    </row>
    <row r="923" spans="1:13" ht="25.5" x14ac:dyDescent="0.25">
      <c r="A923" s="100" t="str">
        <f t="shared" si="136"/>
        <v>GENERAL SERVICE 1,000 TO 4,999 KW SERVICE CLASSIFICATION</v>
      </c>
      <c r="C923" s="117"/>
      <c r="D923" s="156" t="s">
        <v>176</v>
      </c>
      <c r="E923" s="119"/>
      <c r="F923" s="127"/>
      <c r="G923" s="141"/>
      <c r="H923" s="157"/>
      <c r="I923" s="128"/>
      <c r="J923" s="141"/>
      <c r="K923" s="157"/>
      <c r="L923" s="125"/>
      <c r="M923" s="126"/>
    </row>
    <row r="924" spans="1:13" hidden="1" x14ac:dyDescent="0.25">
      <c r="A924" s="100" t="str">
        <f t="shared" si="136"/>
        <v>GENERAL SERVICE 1,000 TO 4,999 KW SERVICE CLASSIFICATION</v>
      </c>
      <c r="B924" s="105" t="s">
        <v>117</v>
      </c>
      <c r="C924" s="117"/>
      <c r="D924" s="159" t="s">
        <v>177</v>
      </c>
      <c r="E924" s="119"/>
      <c r="F924" s="160">
        <f>OffPeak</f>
        <v>6.5000000000000002E-2</v>
      </c>
      <c r="G924" s="161">
        <f>IF(AND(E893*12&gt;=150000),0.65*E893*E895,0.65*E893)</f>
        <v>686400</v>
      </c>
      <c r="H924" s="157">
        <f t="shared" si="138"/>
        <v>44616</v>
      </c>
      <c r="I924" s="162">
        <f>OffPeak</f>
        <v>6.5000000000000002E-2</v>
      </c>
      <c r="J924" s="161">
        <f>IF(AND(E893*12&gt;=150000),0.65*E893*E896,0.65*E893)</f>
        <v>686400</v>
      </c>
      <c r="K924" s="157">
        <f t="shared" si="139"/>
        <v>44616</v>
      </c>
      <c r="L924" s="125">
        <f>K924-H924</f>
        <v>0</v>
      </c>
      <c r="M924" s="126">
        <f t="shared" si="140"/>
        <v>0</v>
      </c>
    </row>
    <row r="925" spans="1:13" hidden="1" x14ac:dyDescent="0.25">
      <c r="A925" s="100" t="str">
        <f t="shared" si="136"/>
        <v>GENERAL SERVICE 1,000 TO 4,999 KW SERVICE CLASSIFICATION</v>
      </c>
      <c r="B925" s="105" t="s">
        <v>117</v>
      </c>
      <c r="C925" s="117"/>
      <c r="D925" s="159" t="s">
        <v>178</v>
      </c>
      <c r="E925" s="119"/>
      <c r="F925" s="160">
        <f>MidPeak</f>
        <v>9.4E-2</v>
      </c>
      <c r="G925" s="161">
        <f>IF(AND(E893*12&gt;=150000),0.17*E893*E895,0.17*E893)</f>
        <v>179520</v>
      </c>
      <c r="H925" s="157">
        <f t="shared" si="138"/>
        <v>16874.88</v>
      </c>
      <c r="I925" s="162">
        <f>MidPeak</f>
        <v>9.4E-2</v>
      </c>
      <c r="J925" s="161">
        <f>IF(AND(E893*12&gt;=150000),0.17*E893*E896,0.17*E893)</f>
        <v>179520</v>
      </c>
      <c r="K925" s="157">
        <f t="shared" si="139"/>
        <v>16874.88</v>
      </c>
      <c r="L925" s="125">
        <f>K925-H925</f>
        <v>0</v>
      </c>
      <c r="M925" s="126">
        <f t="shared" si="140"/>
        <v>0</v>
      </c>
    </row>
    <row r="926" spans="1:13" hidden="1" x14ac:dyDescent="0.25">
      <c r="A926" s="100" t="str">
        <f t="shared" si="136"/>
        <v>GENERAL SERVICE 1,000 TO 4,999 KW SERVICE CLASSIFICATION</v>
      </c>
      <c r="B926" s="105" t="s">
        <v>117</v>
      </c>
      <c r="C926" s="117"/>
      <c r="D926" s="105" t="s">
        <v>179</v>
      </c>
      <c r="E926" s="119"/>
      <c r="F926" s="160">
        <f>OnPeak</f>
        <v>0.13200000000000001</v>
      </c>
      <c r="G926" s="161">
        <f>IF(AND(E893*12&gt;=150000),0.18*E893*E895,0.18*E893)</f>
        <v>190080</v>
      </c>
      <c r="H926" s="157">
        <f t="shared" si="138"/>
        <v>25090.560000000001</v>
      </c>
      <c r="I926" s="162">
        <f>OnPeak</f>
        <v>0.13200000000000001</v>
      </c>
      <c r="J926" s="161">
        <f>IF(AND(E893*12&gt;=150000),0.18*E893*E896,0.18*E893)</f>
        <v>190080</v>
      </c>
      <c r="K926" s="157">
        <f t="shared" si="139"/>
        <v>25090.560000000001</v>
      </c>
      <c r="L926" s="125">
        <f>K926-H926</f>
        <v>0</v>
      </c>
      <c r="M926" s="126">
        <f t="shared" si="140"/>
        <v>0</v>
      </c>
    </row>
    <row r="927" spans="1:13" hidden="1" x14ac:dyDescent="0.25">
      <c r="A927" s="100" t="str">
        <f t="shared" si="136"/>
        <v>GENERAL SERVICE 1,000 TO 4,999 KW SERVICE CLASSIFICATION</v>
      </c>
      <c r="B927" s="100" t="s">
        <v>180</v>
      </c>
      <c r="C927" s="117"/>
      <c r="D927" s="159" t="s">
        <v>181</v>
      </c>
      <c r="E927" s="119"/>
      <c r="F927" s="163">
        <v>0.1101</v>
      </c>
      <c r="G927" s="161">
        <f>IF(AND(E893*12&gt;=150000),E893*E895,E893)</f>
        <v>1056000</v>
      </c>
      <c r="H927" s="157">
        <f>G927*F927</f>
        <v>116265.60000000001</v>
      </c>
      <c r="I927" s="164">
        <f>F927</f>
        <v>0.1101</v>
      </c>
      <c r="J927" s="161">
        <f>IF(AND(E893*12&gt;=150000),E893*E896,E893)</f>
        <v>1056000</v>
      </c>
      <c r="K927" s="157">
        <f>J927*I927</f>
        <v>116265.60000000001</v>
      </c>
      <c r="L927" s="125">
        <f>K927-H927</f>
        <v>0</v>
      </c>
      <c r="M927" s="126">
        <f t="shared" si="140"/>
        <v>0</v>
      </c>
    </row>
    <row r="928" spans="1:13" ht="15.75" thickBot="1" x14ac:dyDescent="0.3">
      <c r="A928" s="100" t="str">
        <f t="shared" si="136"/>
        <v>GENERAL SERVICE 1,000 TO 4,999 KW SERVICE CLASSIFICATION</v>
      </c>
      <c r="B928" s="100" t="s">
        <v>121</v>
      </c>
      <c r="C928" s="117"/>
      <c r="D928" s="159" t="s">
        <v>182</v>
      </c>
      <c r="E928" s="119"/>
      <c r="F928" s="163">
        <v>0.1101</v>
      </c>
      <c r="G928" s="161">
        <f>IF(AND(E893*12&gt;=150000),E893*E895,E893)</f>
        <v>1056000</v>
      </c>
      <c r="H928" s="157">
        <f>G928*F928</f>
        <v>116265.60000000001</v>
      </c>
      <c r="I928" s="164">
        <f>F928</f>
        <v>0.1101</v>
      </c>
      <c r="J928" s="161">
        <f>IF(AND(E893*12&gt;=150000),E893*E896,E893)</f>
        <v>1056000</v>
      </c>
      <c r="K928" s="157">
        <f>J928*I928</f>
        <v>116265.60000000001</v>
      </c>
      <c r="L928" s="125">
        <f>K928-H928</f>
        <v>0</v>
      </c>
      <c r="M928" s="126">
        <f t="shared" si="140"/>
        <v>0</v>
      </c>
    </row>
    <row r="929" spans="1:13" ht="15.75" thickBot="1" x14ac:dyDescent="0.3">
      <c r="A929" s="100" t="str">
        <f t="shared" si="136"/>
        <v>GENERAL SERVICE 1,000 TO 4,999 KW SERVICE CLASSIFICATION</v>
      </c>
      <c r="B929" s="105"/>
      <c r="C929" s="117"/>
      <c r="D929" s="165"/>
      <c r="E929" s="166"/>
      <c r="F929" s="167"/>
      <c r="G929" s="168"/>
      <c r="H929" s="169"/>
      <c r="I929" s="167"/>
      <c r="J929" s="170"/>
      <c r="K929" s="169"/>
      <c r="L929" s="171"/>
      <c r="M929" s="172"/>
    </row>
    <row r="930" spans="1:13" hidden="1" x14ac:dyDescent="0.25">
      <c r="A930" s="100" t="str">
        <f t="shared" si="136"/>
        <v>GENERAL SERVICE 1,000 TO 4,999 KW SERVICE CLASSIFICATION</v>
      </c>
      <c r="B930" s="105" t="s">
        <v>117</v>
      </c>
      <c r="C930" s="117"/>
      <c r="D930" s="173" t="s">
        <v>183</v>
      </c>
      <c r="E930" s="158"/>
      <c r="F930" s="174"/>
      <c r="G930" s="175"/>
      <c r="H930" s="176">
        <f>SUM(H920:H926,H919)</f>
        <v>107648.04</v>
      </c>
      <c r="I930" s="177"/>
      <c r="J930" s="177"/>
      <c r="K930" s="176">
        <f>SUM(K920:K926,K919)</f>
        <v>105187.47</v>
      </c>
      <c r="L930" s="178">
        <f>K930-H930</f>
        <v>-2460.5699999999924</v>
      </c>
      <c r="M930" s="179">
        <f>IF((H930)=0,"",(L930/H930))</f>
        <v>-2.2857545757451716E-2</v>
      </c>
    </row>
    <row r="931" spans="1:13" hidden="1" x14ac:dyDescent="0.25">
      <c r="A931" s="100" t="str">
        <f t="shared" si="136"/>
        <v>GENERAL SERVICE 1,000 TO 4,999 KW SERVICE CLASSIFICATION</v>
      </c>
      <c r="B931" s="105" t="s">
        <v>117</v>
      </c>
      <c r="C931" s="117"/>
      <c r="D931" s="180" t="s">
        <v>184</v>
      </c>
      <c r="E931" s="158"/>
      <c r="F931" s="174">
        <v>0.13</v>
      </c>
      <c r="G931" s="181"/>
      <c r="H931" s="182">
        <f>H930*F931</f>
        <v>13994.245199999999</v>
      </c>
      <c r="I931" s="183">
        <v>0.13</v>
      </c>
      <c r="J931" s="121"/>
      <c r="K931" s="182">
        <f>K930*I931</f>
        <v>13674.3711</v>
      </c>
      <c r="L931" s="184">
        <f>K931-H931</f>
        <v>-319.87409999999909</v>
      </c>
      <c r="M931" s="185">
        <f>IF((H931)=0,"",(L931/H931))</f>
        <v>-2.2857545757451719E-2</v>
      </c>
    </row>
    <row r="932" spans="1:13" hidden="1" x14ac:dyDescent="0.25">
      <c r="A932" s="100" t="str">
        <f t="shared" si="136"/>
        <v>GENERAL SERVICE 1,000 TO 4,999 KW SERVICE CLASSIFICATION</v>
      </c>
      <c r="B932" s="105" t="s">
        <v>117</v>
      </c>
      <c r="C932" s="117"/>
      <c r="D932" s="180" t="s">
        <v>185</v>
      </c>
      <c r="E932" s="158"/>
      <c r="F932" s="174">
        <v>0.08</v>
      </c>
      <c r="G932" s="181"/>
      <c r="H932" s="182">
        <v>0</v>
      </c>
      <c r="I932" s="174">
        <v>0.08</v>
      </c>
      <c r="J932" s="121"/>
      <c r="K932" s="182">
        <v>0</v>
      </c>
      <c r="L932" s="184">
        <f>K932-H932</f>
        <v>0</v>
      </c>
      <c r="M932" s="185"/>
    </row>
    <row r="933" spans="1:13" hidden="1" x14ac:dyDescent="0.25">
      <c r="A933" s="100" t="str">
        <f t="shared" si="136"/>
        <v>GENERAL SERVICE 1,000 TO 4,999 KW SERVICE CLASSIFICATION</v>
      </c>
      <c r="B933" s="105" t="s">
        <v>186</v>
      </c>
      <c r="C933" s="117"/>
      <c r="D933" s="301" t="s">
        <v>187</v>
      </c>
      <c r="E933" s="301"/>
      <c r="F933" s="186"/>
      <c r="G933" s="187"/>
      <c r="H933" s="188">
        <f>H930+H931+H932</f>
        <v>121642.2852</v>
      </c>
      <c r="I933" s="189"/>
      <c r="J933" s="189"/>
      <c r="K933" s="190">
        <f>K930+K931+K932</f>
        <v>118861.84110000001</v>
      </c>
      <c r="L933" s="191">
        <f>K933-H933</f>
        <v>-2780.4440999999933</v>
      </c>
      <c r="M933" s="192">
        <f>IF((H933)=0,"",(L933/H933))</f>
        <v>-2.285754575745173E-2</v>
      </c>
    </row>
    <row r="934" spans="1:13" ht="15.75" hidden="1" thickBot="1" x14ac:dyDescent="0.3">
      <c r="A934" s="100" t="str">
        <f t="shared" si="136"/>
        <v>GENERAL SERVICE 1,000 TO 4,999 KW SERVICE CLASSIFICATION</v>
      </c>
      <c r="B934" s="100" t="s">
        <v>117</v>
      </c>
      <c r="C934" s="117"/>
      <c r="D934" s="165"/>
      <c r="E934" s="166"/>
      <c r="F934" s="167"/>
      <c r="G934" s="168"/>
      <c r="H934" s="169"/>
      <c r="I934" s="167"/>
      <c r="J934" s="170"/>
      <c r="K934" s="169"/>
      <c r="L934" s="171"/>
      <c r="M934" s="172"/>
    </row>
    <row r="935" spans="1:13" hidden="1" x14ac:dyDescent="0.25">
      <c r="A935" s="100" t="str">
        <f t="shared" si="136"/>
        <v>GENERAL SERVICE 1,000 TO 4,999 KW SERVICE CLASSIFICATION</v>
      </c>
      <c r="B935" s="100" t="s">
        <v>180</v>
      </c>
      <c r="C935" s="117"/>
      <c r="D935" s="173" t="s">
        <v>188</v>
      </c>
      <c r="E935" s="158"/>
      <c r="F935" s="174"/>
      <c r="G935" s="175"/>
      <c r="H935" s="176">
        <f>SUM(H927,H920:H923,H919)</f>
        <v>137332.20000000001</v>
      </c>
      <c r="I935" s="177"/>
      <c r="J935" s="177"/>
      <c r="K935" s="176">
        <f>SUM(K927,K920:K923,K919)</f>
        <v>134871.63</v>
      </c>
      <c r="L935" s="178">
        <f>K935-H935</f>
        <v>-2460.570000000007</v>
      </c>
      <c r="M935" s="179">
        <f>IF((H935)=0,"",(L935/H935))</f>
        <v>-1.791691970273546E-2</v>
      </c>
    </row>
    <row r="936" spans="1:13" hidden="1" x14ac:dyDescent="0.25">
      <c r="A936" s="100" t="str">
        <f t="shared" si="136"/>
        <v>GENERAL SERVICE 1,000 TO 4,999 KW SERVICE CLASSIFICATION</v>
      </c>
      <c r="B936" s="100" t="s">
        <v>180</v>
      </c>
      <c r="C936" s="117"/>
      <c r="D936" s="180" t="s">
        <v>184</v>
      </c>
      <c r="E936" s="158"/>
      <c r="F936" s="174">
        <v>0.13</v>
      </c>
      <c r="G936" s="175"/>
      <c r="H936" s="182">
        <f>H935*F936</f>
        <v>17853.186000000002</v>
      </c>
      <c r="I936" s="174">
        <v>0.13</v>
      </c>
      <c r="J936" s="183"/>
      <c r="K936" s="182">
        <f>K935*I936</f>
        <v>17533.311900000001</v>
      </c>
      <c r="L936" s="184">
        <f>K936-H936</f>
        <v>-319.87410000000091</v>
      </c>
      <c r="M936" s="185">
        <f>IF((H936)=0,"",(L936/H936))</f>
        <v>-1.791691970273546E-2</v>
      </c>
    </row>
    <row r="937" spans="1:13" hidden="1" x14ac:dyDescent="0.25">
      <c r="A937" s="100" t="str">
        <f t="shared" si="136"/>
        <v>GENERAL SERVICE 1,000 TO 4,999 KW SERVICE CLASSIFICATION</v>
      </c>
      <c r="B937" s="100" t="s">
        <v>180</v>
      </c>
      <c r="C937" s="117"/>
      <c r="D937" s="180" t="s">
        <v>185</v>
      </c>
      <c r="E937" s="158"/>
      <c r="F937" s="174">
        <v>0.08</v>
      </c>
      <c r="G937" s="175"/>
      <c r="H937" s="182">
        <v>0</v>
      </c>
      <c r="I937" s="174">
        <v>0.08</v>
      </c>
      <c r="J937" s="183"/>
      <c r="K937" s="182">
        <v>0</v>
      </c>
      <c r="L937" s="184"/>
      <c r="M937" s="185"/>
    </row>
    <row r="938" spans="1:13" hidden="1" x14ac:dyDescent="0.25">
      <c r="A938" s="100" t="str">
        <f t="shared" si="136"/>
        <v>GENERAL SERVICE 1,000 TO 4,999 KW SERVICE CLASSIFICATION</v>
      </c>
      <c r="B938" s="100" t="s">
        <v>189</v>
      </c>
      <c r="C938" s="117"/>
      <c r="D938" s="301" t="s">
        <v>188</v>
      </c>
      <c r="E938" s="301"/>
      <c r="F938" s="193"/>
      <c r="G938" s="194"/>
      <c r="H938" s="188">
        <f>SUM(H935,H936)</f>
        <v>155185.386</v>
      </c>
      <c r="I938" s="195"/>
      <c r="J938" s="195"/>
      <c r="K938" s="188">
        <f>SUM(K935,K936)</f>
        <v>152404.94190000001</v>
      </c>
      <c r="L938" s="196">
        <f>K938-H938</f>
        <v>-2780.4440999999933</v>
      </c>
      <c r="M938" s="197">
        <f>IF((H938)=0,"",(L938/H938))</f>
        <v>-1.791691970273537E-2</v>
      </c>
    </row>
    <row r="939" spans="1:13" ht="15.75" hidden="1" thickBot="1" x14ac:dyDescent="0.3">
      <c r="A939" s="100" t="str">
        <f t="shared" si="136"/>
        <v>GENERAL SERVICE 1,000 TO 4,999 KW SERVICE CLASSIFICATION</v>
      </c>
      <c r="B939" s="100" t="s">
        <v>180</v>
      </c>
      <c r="C939" s="117"/>
      <c r="D939" s="165"/>
      <c r="E939" s="166"/>
      <c r="F939" s="198"/>
      <c r="G939" s="199"/>
      <c r="H939" s="200"/>
      <c r="I939" s="198"/>
      <c r="J939" s="168"/>
      <c r="K939" s="200"/>
      <c r="L939" s="201"/>
      <c r="M939" s="172"/>
    </row>
    <row r="940" spans="1:13" x14ac:dyDescent="0.25">
      <c r="A940" s="100" t="str">
        <f t="shared" si="136"/>
        <v>GENERAL SERVICE 1,000 TO 4,999 KW SERVICE CLASSIFICATION</v>
      </c>
      <c r="B940" s="100" t="s">
        <v>121</v>
      </c>
      <c r="C940" s="117"/>
      <c r="D940" s="173" t="s">
        <v>190</v>
      </c>
      <c r="E940" s="158"/>
      <c r="F940" s="174"/>
      <c r="G940" s="175"/>
      <c r="H940" s="176">
        <f>SUM(H928,H920:H923,H919)</f>
        <v>137332.20000000001</v>
      </c>
      <c r="I940" s="177"/>
      <c r="J940" s="177"/>
      <c r="K940" s="176">
        <f>SUM(K928,K920:K923,K919)</f>
        <v>134871.63</v>
      </c>
      <c r="L940" s="178">
        <f>K940-H940</f>
        <v>-2460.570000000007</v>
      </c>
      <c r="M940" s="179">
        <f>IF((H940)=0,"",(L940/H940))</f>
        <v>-1.791691970273546E-2</v>
      </c>
    </row>
    <row r="941" spans="1:13" x14ac:dyDescent="0.25">
      <c r="A941" s="100" t="str">
        <f t="shared" si="136"/>
        <v>GENERAL SERVICE 1,000 TO 4,999 KW SERVICE CLASSIFICATION</v>
      </c>
      <c r="B941" s="100" t="s">
        <v>121</v>
      </c>
      <c r="C941" s="117"/>
      <c r="D941" s="180" t="s">
        <v>184</v>
      </c>
      <c r="E941" s="158"/>
      <c r="F941" s="174">
        <v>0.13</v>
      </c>
      <c r="G941" s="175"/>
      <c r="H941" s="182">
        <f>H940*F941</f>
        <v>17853.186000000002</v>
      </c>
      <c r="I941" s="174">
        <v>0.13</v>
      </c>
      <c r="J941" s="183"/>
      <c r="K941" s="182">
        <f>K940*I941</f>
        <v>17533.311900000001</v>
      </c>
      <c r="L941" s="184">
        <f>K941-H941</f>
        <v>-319.87410000000091</v>
      </c>
      <c r="M941" s="185">
        <f>IF((H941)=0,"",(L941/H941))</f>
        <v>-1.791691970273546E-2</v>
      </c>
    </row>
    <row r="942" spans="1:13" x14ac:dyDescent="0.25">
      <c r="A942" s="100" t="str">
        <f t="shared" si="136"/>
        <v>GENERAL SERVICE 1,000 TO 4,999 KW SERVICE CLASSIFICATION</v>
      </c>
      <c r="B942" s="100" t="s">
        <v>121</v>
      </c>
      <c r="C942" s="117"/>
      <c r="D942" s="180" t="s">
        <v>185</v>
      </c>
      <c r="E942" s="158"/>
      <c r="F942" s="174">
        <v>0.08</v>
      </c>
      <c r="G942" s="175"/>
      <c r="H942" s="182">
        <v>0</v>
      </c>
      <c r="I942" s="174">
        <v>0.08</v>
      </c>
      <c r="J942" s="183"/>
      <c r="K942" s="182">
        <v>0</v>
      </c>
      <c r="L942" s="184"/>
      <c r="M942" s="185"/>
    </row>
    <row r="943" spans="1:13" ht="15.75" thickBot="1" x14ac:dyDescent="0.3">
      <c r="A943" s="100" t="str">
        <f t="shared" si="136"/>
        <v>GENERAL SERVICE 1,000 TO 4,999 KW SERVICE CLASSIFICATION</v>
      </c>
      <c r="B943" s="100" t="s">
        <v>191</v>
      </c>
      <c r="C943" s="117">
        <f>B18</f>
        <v>16</v>
      </c>
      <c r="D943" s="301" t="s">
        <v>190</v>
      </c>
      <c r="E943" s="301"/>
      <c r="F943" s="193"/>
      <c r="G943" s="194"/>
      <c r="H943" s="188">
        <f>SUM(H940,H941)</f>
        <v>155185.386</v>
      </c>
      <c r="I943" s="195"/>
      <c r="J943" s="195"/>
      <c r="K943" s="188">
        <f>SUM(K940,K941)</f>
        <v>152404.94190000001</v>
      </c>
      <c r="L943" s="196">
        <f>K943-H943</f>
        <v>-2780.4440999999933</v>
      </c>
      <c r="M943" s="197">
        <f>IF((H943)=0,"",(L943/H943))</f>
        <v>-1.791691970273537E-2</v>
      </c>
    </row>
    <row r="944" spans="1:13" ht="15.75" thickBot="1" x14ac:dyDescent="0.3">
      <c r="A944" s="100" t="str">
        <f t="shared" si="136"/>
        <v>GENERAL SERVICE 1,000 TO 4,999 KW SERVICE CLASSIFICATION</v>
      </c>
      <c r="B944" s="100" t="s">
        <v>121</v>
      </c>
      <c r="C944" s="117"/>
      <c r="D944" s="165"/>
      <c r="E944" s="166"/>
      <c r="F944" s="202"/>
      <c r="G944" s="203"/>
      <c r="H944" s="204"/>
      <c r="I944" s="202"/>
      <c r="J944" s="205"/>
      <c r="K944" s="204"/>
      <c r="L944" s="206"/>
      <c r="M944" s="207"/>
    </row>
    <row r="947" spans="1:13" x14ac:dyDescent="0.25">
      <c r="C947" s="100"/>
      <c r="D947" s="101" t="s">
        <v>134</v>
      </c>
      <c r="E947" s="302" t="str">
        <f>D19</f>
        <v>GENERAL SERVICE 1,000 TO 4,999 KW SERVICE CLASSIFICATION</v>
      </c>
      <c r="F947" s="302"/>
      <c r="G947" s="302"/>
      <c r="H947" s="302"/>
      <c r="I947" s="302"/>
      <c r="J947" s="302"/>
      <c r="K947" s="100" t="str">
        <f>IF(N19="DEMAND - INTERVAL","RTSR - INTERVAL METERED","")</f>
        <v/>
      </c>
    </row>
    <row r="948" spans="1:13" x14ac:dyDescent="0.25">
      <c r="C948" s="100"/>
      <c r="D948" s="101" t="s">
        <v>135</v>
      </c>
      <c r="E948" s="303" t="str">
        <f>H19</f>
        <v>Non-RPP (Other)</v>
      </c>
      <c r="F948" s="303"/>
      <c r="G948" s="303"/>
      <c r="H948" s="102"/>
      <c r="I948" s="102"/>
    </row>
    <row r="949" spans="1:13" ht="15.75" x14ac:dyDescent="0.25">
      <c r="C949" s="100"/>
      <c r="D949" s="101" t="s">
        <v>136</v>
      </c>
      <c r="E949" s="103">
        <f>K19</f>
        <v>3000000</v>
      </c>
      <c r="F949" s="104" t="s">
        <v>137</v>
      </c>
      <c r="G949" s="105"/>
      <c r="J949" s="106"/>
      <c r="K949" s="106"/>
      <c r="L949" s="106"/>
      <c r="M949" s="106"/>
    </row>
    <row r="950" spans="1:13" ht="15.75" x14ac:dyDescent="0.25">
      <c r="C950" s="100"/>
      <c r="D950" s="101" t="s">
        <v>138</v>
      </c>
      <c r="E950" s="103">
        <f>L19</f>
        <v>4000</v>
      </c>
      <c r="F950" s="107" t="s">
        <v>139</v>
      </c>
      <c r="G950" s="108"/>
      <c r="H950" s="109"/>
      <c r="I950" s="109"/>
      <c r="J950" s="109"/>
    </row>
    <row r="951" spans="1:13" x14ac:dyDescent="0.25">
      <c r="C951" s="100"/>
      <c r="D951" s="101" t="s">
        <v>140</v>
      </c>
      <c r="E951" s="110">
        <f>I19</f>
        <v>1.056</v>
      </c>
    </row>
    <row r="952" spans="1:13" x14ac:dyDescent="0.25">
      <c r="C952" s="100"/>
      <c r="D952" s="101" t="s">
        <v>141</v>
      </c>
      <c r="E952" s="110">
        <f>J19</f>
        <v>1.056</v>
      </c>
    </row>
    <row r="953" spans="1:13" x14ac:dyDescent="0.25">
      <c r="C953" s="100"/>
      <c r="D953" s="105"/>
    </row>
    <row r="954" spans="1:13" x14ac:dyDescent="0.25">
      <c r="C954" s="100"/>
      <c r="D954" s="105"/>
      <c r="E954" s="111"/>
      <c r="F954" s="304" t="s">
        <v>142</v>
      </c>
      <c r="G954" s="305"/>
      <c r="H954" s="306"/>
      <c r="I954" s="304" t="s">
        <v>143</v>
      </c>
      <c r="J954" s="305"/>
      <c r="K954" s="306"/>
      <c r="L954" s="304" t="s">
        <v>144</v>
      </c>
      <c r="M954" s="306"/>
    </row>
    <row r="955" spans="1:13" x14ac:dyDescent="0.25">
      <c r="C955" s="100"/>
      <c r="D955" s="105"/>
      <c r="E955" s="295"/>
      <c r="F955" s="112" t="s">
        <v>145</v>
      </c>
      <c r="G955" s="112" t="s">
        <v>146</v>
      </c>
      <c r="H955" s="113" t="s">
        <v>147</v>
      </c>
      <c r="I955" s="112" t="s">
        <v>145</v>
      </c>
      <c r="J955" s="114" t="s">
        <v>146</v>
      </c>
      <c r="K955" s="113" t="s">
        <v>147</v>
      </c>
      <c r="L955" s="297" t="s">
        <v>148</v>
      </c>
      <c r="M955" s="299" t="s">
        <v>149</v>
      </c>
    </row>
    <row r="956" spans="1:13" x14ac:dyDescent="0.25">
      <c r="C956" s="100"/>
      <c r="D956" s="105"/>
      <c r="E956" s="296"/>
      <c r="F956" s="115" t="s">
        <v>150</v>
      </c>
      <c r="G956" s="115"/>
      <c r="H956" s="116" t="s">
        <v>150</v>
      </c>
      <c r="I956" s="115" t="s">
        <v>150</v>
      </c>
      <c r="J956" s="116"/>
      <c r="K956" s="116" t="s">
        <v>150</v>
      </c>
      <c r="L956" s="298"/>
      <c r="M956" s="300"/>
    </row>
    <row r="957" spans="1:13" x14ac:dyDescent="0.25">
      <c r="A957" s="100" t="str">
        <f>$E947</f>
        <v>GENERAL SERVICE 1,000 TO 4,999 KW SERVICE CLASSIFICATION</v>
      </c>
      <c r="C957" s="117"/>
      <c r="D957" s="118" t="s">
        <v>151</v>
      </c>
      <c r="E957" s="119"/>
      <c r="F957" s="120">
        <v>185.55</v>
      </c>
      <c r="G957" s="121">
        <v>1</v>
      </c>
      <c r="H957" s="122">
        <f>G957*F957</f>
        <v>185.55</v>
      </c>
      <c r="I957" s="123">
        <v>187.78</v>
      </c>
      <c r="J957" s="124">
        <f>G957</f>
        <v>1</v>
      </c>
      <c r="K957" s="122">
        <f>J957*I957</f>
        <v>187.78</v>
      </c>
      <c r="L957" s="125">
        <f t="shared" ref="L957:L978" si="141">K957-H957</f>
        <v>2.2299999999999898</v>
      </c>
      <c r="M957" s="126">
        <f>IF(ISERROR(L957/H957), "", L957/H957)</f>
        <v>1.2018323901913175E-2</v>
      </c>
    </row>
    <row r="958" spans="1:13" x14ac:dyDescent="0.25">
      <c r="A958" s="100" t="str">
        <f>A957</f>
        <v>GENERAL SERVICE 1,000 TO 4,999 KW SERVICE CLASSIFICATION</v>
      </c>
      <c r="C958" s="117"/>
      <c r="D958" s="118" t="s">
        <v>152</v>
      </c>
      <c r="E958" s="119"/>
      <c r="F958" s="127">
        <v>3.4704999999999999</v>
      </c>
      <c r="G958" s="121">
        <f>IF($E950&gt;0, $E950, $E949)</f>
        <v>4000</v>
      </c>
      <c r="H958" s="122">
        <f t="shared" ref="H958:H970" si="142">G958*F958</f>
        <v>13882</v>
      </c>
      <c r="I958" s="128">
        <v>3.5121000000000002</v>
      </c>
      <c r="J958" s="124">
        <f>IF($E950&gt;0, $E950, $E949)</f>
        <v>4000</v>
      </c>
      <c r="K958" s="122">
        <f>J958*I958</f>
        <v>14048.400000000001</v>
      </c>
      <c r="L958" s="125">
        <f t="shared" si="141"/>
        <v>166.40000000000146</v>
      </c>
      <c r="M958" s="126">
        <f t="shared" ref="M958:M968" si="143">IF(ISERROR(L958/H958), "", L958/H958)</f>
        <v>1.1986745425731268E-2</v>
      </c>
    </row>
    <row r="959" spans="1:13" x14ac:dyDescent="0.25">
      <c r="A959" s="100" t="str">
        <f t="shared" ref="A959:A1000" si="144">A958</f>
        <v>GENERAL SERVICE 1,000 TO 4,999 KW SERVICE CLASSIFICATION</v>
      </c>
      <c r="C959" s="117"/>
      <c r="D959" s="118" t="s">
        <v>153</v>
      </c>
      <c r="E959" s="119"/>
      <c r="F959" s="127"/>
      <c r="G959" s="121">
        <f>IF($E950&gt;0, $E950, $E949)</f>
        <v>4000</v>
      </c>
      <c r="H959" s="122">
        <v>0</v>
      </c>
      <c r="I959" s="128"/>
      <c r="J959" s="124">
        <f>IF($E950&gt;0, $E950, $E949)</f>
        <v>4000</v>
      </c>
      <c r="K959" s="122">
        <v>0</v>
      </c>
      <c r="L959" s="125"/>
      <c r="M959" s="126"/>
    </row>
    <row r="960" spans="1:13" x14ac:dyDescent="0.25">
      <c r="A960" s="100" t="str">
        <f t="shared" si="144"/>
        <v>GENERAL SERVICE 1,000 TO 4,999 KW SERVICE CLASSIFICATION</v>
      </c>
      <c r="C960" s="117"/>
      <c r="D960" s="118" t="s">
        <v>154</v>
      </c>
      <c r="E960" s="119"/>
      <c r="F960" s="127"/>
      <c r="G960" s="121">
        <f>IF($E950&gt;0, $E950, $E949)</f>
        <v>4000</v>
      </c>
      <c r="H960" s="122">
        <v>0</v>
      </c>
      <c r="I960" s="128"/>
      <c r="J960" s="121">
        <f>IF($E950&gt;0, $E950, $E949)</f>
        <v>4000</v>
      </c>
      <c r="K960" s="122">
        <v>0</v>
      </c>
      <c r="L960" s="125">
        <f>K960-H960</f>
        <v>0</v>
      </c>
      <c r="M960" s="126" t="str">
        <f>IF(ISERROR(L960/H960), "", L960/H960)</f>
        <v/>
      </c>
    </row>
    <row r="961" spans="1:13" x14ac:dyDescent="0.25">
      <c r="A961" s="100" t="str">
        <f t="shared" si="144"/>
        <v>GENERAL SERVICE 1,000 TO 4,999 KW SERVICE CLASSIFICATION</v>
      </c>
      <c r="C961" s="117"/>
      <c r="D961" s="129" t="s">
        <v>155</v>
      </c>
      <c r="E961" s="119"/>
      <c r="F961" s="120">
        <v>0</v>
      </c>
      <c r="G961" s="121">
        <v>1</v>
      </c>
      <c r="H961" s="122">
        <f t="shared" si="142"/>
        <v>0</v>
      </c>
      <c r="I961" s="123">
        <v>0</v>
      </c>
      <c r="J961" s="124">
        <f>G961</f>
        <v>1</v>
      </c>
      <c r="K961" s="122">
        <f t="shared" ref="K961:K968" si="145">J961*I961</f>
        <v>0</v>
      </c>
      <c r="L961" s="125">
        <f t="shared" si="141"/>
        <v>0</v>
      </c>
      <c r="M961" s="126" t="str">
        <f t="shared" si="143"/>
        <v/>
      </c>
    </row>
    <row r="962" spans="1:13" x14ac:dyDescent="0.25">
      <c r="A962" s="100" t="str">
        <f t="shared" si="144"/>
        <v>GENERAL SERVICE 1,000 TO 4,999 KW SERVICE CLASSIFICATION</v>
      </c>
      <c r="C962" s="117"/>
      <c r="D962" s="118" t="s">
        <v>156</v>
      </c>
      <c r="E962" s="119"/>
      <c r="F962" s="127">
        <v>0</v>
      </c>
      <c r="G962" s="121">
        <f>IF($E950&gt;0, $E950, $E949)</f>
        <v>4000</v>
      </c>
      <c r="H962" s="122">
        <f t="shared" si="142"/>
        <v>0</v>
      </c>
      <c r="I962" s="128">
        <v>0</v>
      </c>
      <c r="J962" s="124">
        <f>IF($E950&gt;0, $E950, $E949)</f>
        <v>4000</v>
      </c>
      <c r="K962" s="122">
        <f t="shared" si="145"/>
        <v>0</v>
      </c>
      <c r="L962" s="125">
        <f t="shared" si="141"/>
        <v>0</v>
      </c>
      <c r="M962" s="126" t="str">
        <f t="shared" si="143"/>
        <v/>
      </c>
    </row>
    <row r="963" spans="1:13" x14ac:dyDescent="0.25">
      <c r="A963" s="100" t="str">
        <f t="shared" si="144"/>
        <v>GENERAL SERVICE 1,000 TO 4,999 KW SERVICE CLASSIFICATION</v>
      </c>
      <c r="B963" s="130" t="s">
        <v>157</v>
      </c>
      <c r="C963" s="117">
        <f>B19</f>
        <v>17</v>
      </c>
      <c r="D963" s="131" t="s">
        <v>158</v>
      </c>
      <c r="E963" s="132"/>
      <c r="F963" s="133"/>
      <c r="G963" s="134"/>
      <c r="H963" s="135">
        <f>SUM(H957:H962)</f>
        <v>14067.55</v>
      </c>
      <c r="I963" s="136"/>
      <c r="J963" s="137"/>
      <c r="K963" s="135">
        <f>SUM(K957:K962)</f>
        <v>14236.180000000002</v>
      </c>
      <c r="L963" s="138">
        <f t="shared" si="141"/>
        <v>168.63000000000284</v>
      </c>
      <c r="M963" s="139">
        <f>IF((H963)=0,"",(L963/H963))</f>
        <v>1.1987161943622227E-2</v>
      </c>
    </row>
    <row r="964" spans="1:13" x14ac:dyDescent="0.25">
      <c r="A964" s="100" t="str">
        <f t="shared" si="144"/>
        <v>GENERAL SERVICE 1,000 TO 4,999 KW SERVICE CLASSIFICATION</v>
      </c>
      <c r="C964" s="117"/>
      <c r="D964" s="140" t="s">
        <v>159</v>
      </c>
      <c r="E964" s="119"/>
      <c r="F964" s="127">
        <f>IF((E949*12&gt;=150000), 0, IF(E948="RPP",(F980*0.65+F981*0.17+F982*0.18),IF(E948="Non-RPP (Retailer)",F983,F984)))</f>
        <v>0</v>
      </c>
      <c r="G964" s="141">
        <f>IF(F964=0, 0, $E949*E951-E949)</f>
        <v>0</v>
      </c>
      <c r="H964" s="122">
        <f>G964*F964</f>
        <v>0</v>
      </c>
      <c r="I964" s="128">
        <f>IF((E949*12&gt;=150000), 0, IF(E948="RPP",(I980*0.65+I981*0.17+I982*0.18),IF(E948="Non-RPP (Retailer)",I983,I984)))</f>
        <v>0</v>
      </c>
      <c r="J964" s="141">
        <f>IF(I964=0, 0, E949*E952-E949)</f>
        <v>0</v>
      </c>
      <c r="K964" s="122">
        <f>J964*I964</f>
        <v>0</v>
      </c>
      <c r="L964" s="125">
        <f>K964-H964</f>
        <v>0</v>
      </c>
      <c r="M964" s="126" t="str">
        <f>IF(ISERROR(L964/H964), "", L964/H964)</f>
        <v/>
      </c>
    </row>
    <row r="965" spans="1:13" ht="25.5" x14ac:dyDescent="0.25">
      <c r="A965" s="100" t="str">
        <f t="shared" si="144"/>
        <v>GENERAL SERVICE 1,000 TO 4,999 KW SERVICE CLASSIFICATION</v>
      </c>
      <c r="C965" s="117"/>
      <c r="D965" s="140" t="s">
        <v>160</v>
      </c>
      <c r="E965" s="119"/>
      <c r="F965" s="127">
        <v>-0.93979999999999997</v>
      </c>
      <c r="G965" s="142">
        <f>IF($E950&gt;0, $E950, $E949)</f>
        <v>4000</v>
      </c>
      <c r="H965" s="122">
        <f t="shared" si="142"/>
        <v>-3759.2</v>
      </c>
      <c r="I965" s="128">
        <v>-1.9907999999999999</v>
      </c>
      <c r="J965" s="142">
        <f>IF($E950&gt;0, $E950, $E949)</f>
        <v>4000</v>
      </c>
      <c r="K965" s="122">
        <f t="shared" si="145"/>
        <v>-7963.2</v>
      </c>
      <c r="L965" s="125">
        <f t="shared" si="141"/>
        <v>-4204</v>
      </c>
      <c r="M965" s="126">
        <f t="shared" si="143"/>
        <v>1.1183230474569057</v>
      </c>
    </row>
    <row r="966" spans="1:13" x14ac:dyDescent="0.25">
      <c r="A966" s="100" t="str">
        <f t="shared" si="144"/>
        <v>GENERAL SERVICE 1,000 TO 4,999 KW SERVICE CLASSIFICATION</v>
      </c>
      <c r="C966" s="117"/>
      <c r="D966" s="140" t="s">
        <v>161</v>
      </c>
      <c r="E966" s="119"/>
      <c r="F966" s="127">
        <v>-3.4099999999999998E-2</v>
      </c>
      <c r="G966" s="142">
        <f>IF($E950&gt;0, $E950, $E949)</f>
        <v>4000</v>
      </c>
      <c r="H966" s="122">
        <f>G966*F966</f>
        <v>-136.4</v>
      </c>
      <c r="I966" s="128">
        <v>0</v>
      </c>
      <c r="J966" s="142">
        <f>IF($E950&gt;0, $E950, $E949)</f>
        <v>4000</v>
      </c>
      <c r="K966" s="122">
        <f>J966*I966</f>
        <v>0</v>
      </c>
      <c r="L966" s="125">
        <f t="shared" si="141"/>
        <v>136.4</v>
      </c>
      <c r="M966" s="126">
        <f t="shared" si="143"/>
        <v>-1</v>
      </c>
    </row>
    <row r="967" spans="1:13" x14ac:dyDescent="0.25">
      <c r="A967" s="100" t="str">
        <f t="shared" si="144"/>
        <v>GENERAL SERVICE 1,000 TO 4,999 KW SERVICE CLASSIFICATION</v>
      </c>
      <c r="C967" s="117"/>
      <c r="D967" s="140" t="s">
        <v>162</v>
      </c>
      <c r="E967" s="119"/>
      <c r="F967" s="127"/>
      <c r="G967" s="142">
        <f>E949</f>
        <v>3000000</v>
      </c>
      <c r="H967" s="122">
        <f>G967*F967</f>
        <v>0</v>
      </c>
      <c r="I967" s="128"/>
      <c r="J967" s="142">
        <f>E949</f>
        <v>3000000</v>
      </c>
      <c r="K967" s="122">
        <f t="shared" si="145"/>
        <v>0</v>
      </c>
      <c r="L967" s="125">
        <f t="shared" si="141"/>
        <v>0</v>
      </c>
      <c r="M967" s="126" t="str">
        <f t="shared" si="143"/>
        <v/>
      </c>
    </row>
    <row r="968" spans="1:13" x14ac:dyDescent="0.25">
      <c r="A968" s="100" t="str">
        <f t="shared" si="144"/>
        <v>GENERAL SERVICE 1,000 TO 4,999 KW SERVICE CLASSIFICATION</v>
      </c>
      <c r="C968" s="117"/>
      <c r="D968" s="143" t="s">
        <v>163</v>
      </c>
      <c r="E968" s="119"/>
      <c r="F968" s="127">
        <v>1.0483</v>
      </c>
      <c r="G968" s="142">
        <f>IF($E950&gt;0, $E950, $E949)</f>
        <v>4000</v>
      </c>
      <c r="H968" s="122">
        <f t="shared" si="142"/>
        <v>4193.2</v>
      </c>
      <c r="I968" s="128">
        <v>1.0483</v>
      </c>
      <c r="J968" s="142">
        <f>IF($E950&gt;0, $E950, $E949)</f>
        <v>4000</v>
      </c>
      <c r="K968" s="122">
        <f t="shared" si="145"/>
        <v>4193.2</v>
      </c>
      <c r="L968" s="125">
        <f t="shared" si="141"/>
        <v>0</v>
      </c>
      <c r="M968" s="126">
        <f t="shared" si="143"/>
        <v>0</v>
      </c>
    </row>
    <row r="969" spans="1:13" ht="25.5" x14ac:dyDescent="0.25">
      <c r="A969" s="100" t="str">
        <f t="shared" si="144"/>
        <v>GENERAL SERVICE 1,000 TO 4,999 KW SERVICE CLASSIFICATION</v>
      </c>
      <c r="C969" s="117"/>
      <c r="D969" s="144" t="s">
        <v>164</v>
      </c>
      <c r="E969" s="119"/>
      <c r="F969" s="145">
        <f>IF(OR(ISNUMBER(SEARCH("RESIDENTIAL", E947))=TRUE, ISNUMBER(SEARCH("GENERAL SERVICE LESS THAN 50", E947))=TRUE), SME, 0)</f>
        <v>0</v>
      </c>
      <c r="G969" s="121">
        <v>1</v>
      </c>
      <c r="H969" s="122">
        <f>G969*F969</f>
        <v>0</v>
      </c>
      <c r="I969" s="146">
        <f>IF(OR(ISNUMBER(SEARCH("RESIDENTIAL", E947))=TRUE, ISNUMBER(SEARCH("GENERAL SERVICE LESS THAN 50", E947))=TRUE), SME, 0)</f>
        <v>0</v>
      </c>
      <c r="J969" s="121">
        <v>1</v>
      </c>
      <c r="K969" s="122">
        <f>J969*I969</f>
        <v>0</v>
      </c>
      <c r="L969" s="125">
        <f t="shared" si="141"/>
        <v>0</v>
      </c>
      <c r="M969" s="126" t="str">
        <f>IF(ISERROR(L969/H969), "", L969/H969)</f>
        <v/>
      </c>
    </row>
    <row r="970" spans="1:13" x14ac:dyDescent="0.25">
      <c r="A970" s="100" t="str">
        <f t="shared" si="144"/>
        <v>GENERAL SERVICE 1,000 TO 4,999 KW SERVICE CLASSIFICATION</v>
      </c>
      <c r="C970" s="117"/>
      <c r="D970" s="143" t="s">
        <v>165</v>
      </c>
      <c r="E970" s="119"/>
      <c r="F970" s="120">
        <v>0</v>
      </c>
      <c r="G970" s="121">
        <v>1</v>
      </c>
      <c r="H970" s="122">
        <f t="shared" si="142"/>
        <v>0</v>
      </c>
      <c r="I970" s="123">
        <v>0</v>
      </c>
      <c r="J970" s="121">
        <v>1</v>
      </c>
      <c r="K970" s="122">
        <f>J970*I970</f>
        <v>0</v>
      </c>
      <c r="L970" s="125">
        <f>K970-H970</f>
        <v>0</v>
      </c>
      <c r="M970" s="126" t="str">
        <f>IF(ISERROR(L970/H970), "", L970/H970)</f>
        <v/>
      </c>
    </row>
    <row r="971" spans="1:13" x14ac:dyDescent="0.25">
      <c r="A971" s="100" t="str">
        <f t="shared" si="144"/>
        <v>GENERAL SERVICE 1,000 TO 4,999 KW SERVICE CLASSIFICATION</v>
      </c>
      <c r="C971" s="117"/>
      <c r="D971" s="143" t="s">
        <v>166</v>
      </c>
      <c r="E971" s="119"/>
      <c r="F971" s="127"/>
      <c r="G971" s="142">
        <f>IF($E950&gt;0, $E950, $E949)</f>
        <v>4000</v>
      </c>
      <c r="H971" s="122">
        <f>G971*F971</f>
        <v>0</v>
      </c>
      <c r="I971" s="128">
        <v>0</v>
      </c>
      <c r="J971" s="142">
        <f>IF($E950&gt;0, $E950, $E949)</f>
        <v>4000</v>
      </c>
      <c r="K971" s="122">
        <f>J971*I971</f>
        <v>0</v>
      </c>
      <c r="L971" s="125">
        <f t="shared" si="141"/>
        <v>0</v>
      </c>
      <c r="M971" s="126" t="str">
        <f>IF(ISERROR(L971/H971), "", L971/H971)</f>
        <v/>
      </c>
    </row>
    <row r="972" spans="1:13" ht="25.5" x14ac:dyDescent="0.25">
      <c r="A972" s="100" t="str">
        <f t="shared" si="144"/>
        <v>GENERAL SERVICE 1,000 TO 4,999 KW SERVICE CLASSIFICATION</v>
      </c>
      <c r="B972" s="105" t="s">
        <v>167</v>
      </c>
      <c r="C972" s="117">
        <f>B19</f>
        <v>17</v>
      </c>
      <c r="D972" s="147" t="s">
        <v>168</v>
      </c>
      <c r="E972" s="148"/>
      <c r="F972" s="149"/>
      <c r="G972" s="150"/>
      <c r="H972" s="151">
        <f>SUM(H963:H971)</f>
        <v>14365.149999999998</v>
      </c>
      <c r="I972" s="152"/>
      <c r="J972" s="153"/>
      <c r="K972" s="151">
        <f>SUM(K963:K971)</f>
        <v>10466.180000000002</v>
      </c>
      <c r="L972" s="138">
        <f t="shared" si="141"/>
        <v>-3898.9699999999957</v>
      </c>
      <c r="M972" s="139">
        <f>IF((H972)=0,"",(L972/H972))</f>
        <v>-0.27141867644960171</v>
      </c>
    </row>
    <row r="973" spans="1:13" x14ac:dyDescent="0.25">
      <c r="A973" s="100" t="str">
        <f t="shared" si="144"/>
        <v>GENERAL SERVICE 1,000 TO 4,999 KW SERVICE CLASSIFICATION</v>
      </c>
      <c r="C973" s="117"/>
      <c r="D973" s="154" t="s">
        <v>169</v>
      </c>
      <c r="E973" s="119"/>
      <c r="F973" s="127">
        <v>2.6217000000000001</v>
      </c>
      <c r="G973" s="141">
        <f>IF($E950&gt;0, $E950, $E949*$E951)</f>
        <v>4000</v>
      </c>
      <c r="H973" s="122">
        <f>G973*F973</f>
        <v>10486.800000000001</v>
      </c>
      <c r="I973" s="128">
        <v>2.4868999999999999</v>
      </c>
      <c r="J973" s="141">
        <f>IF($E950&gt;0, $E950, $E949*$E952)</f>
        <v>4000</v>
      </c>
      <c r="K973" s="122">
        <f>J973*I973</f>
        <v>9947.6</v>
      </c>
      <c r="L973" s="125">
        <f t="shared" si="141"/>
        <v>-539.20000000000073</v>
      </c>
      <c r="M973" s="126">
        <f>IF(ISERROR(L973/H973), "", L973/H973)</f>
        <v>-5.1417019491169919E-2</v>
      </c>
    </row>
    <row r="974" spans="1:13" ht="25.5" x14ac:dyDescent="0.25">
      <c r="A974" s="100" t="str">
        <f t="shared" si="144"/>
        <v>GENERAL SERVICE 1,000 TO 4,999 KW SERVICE CLASSIFICATION</v>
      </c>
      <c r="C974" s="117"/>
      <c r="D974" s="155" t="s">
        <v>170</v>
      </c>
      <c r="E974" s="119"/>
      <c r="F974" s="127">
        <v>2.2145999999999999</v>
      </c>
      <c r="G974" s="141">
        <f>IF($E950&gt;0, $E950, $E949*$E951)</f>
        <v>4000</v>
      </c>
      <c r="H974" s="122">
        <f>G974*F974</f>
        <v>8858.4</v>
      </c>
      <c r="I974" s="128">
        <v>2.0933000000000002</v>
      </c>
      <c r="J974" s="141">
        <f>IF($E950&gt;0, $E950, $E949*$E952)</f>
        <v>4000</v>
      </c>
      <c r="K974" s="122">
        <f>J974*I974</f>
        <v>8373.2000000000007</v>
      </c>
      <c r="L974" s="125">
        <f t="shared" si="141"/>
        <v>-485.19999999999891</v>
      </c>
      <c r="M974" s="126">
        <f>IF(ISERROR(L974/H974), "", L974/H974)</f>
        <v>-5.4772870947349291E-2</v>
      </c>
    </row>
    <row r="975" spans="1:13" ht="25.5" x14ac:dyDescent="0.25">
      <c r="A975" s="100" t="str">
        <f t="shared" si="144"/>
        <v>GENERAL SERVICE 1,000 TO 4,999 KW SERVICE CLASSIFICATION</v>
      </c>
      <c r="B975" s="105" t="s">
        <v>171</v>
      </c>
      <c r="C975" s="117">
        <f>B19</f>
        <v>17</v>
      </c>
      <c r="D975" s="147" t="s">
        <v>172</v>
      </c>
      <c r="E975" s="132"/>
      <c r="F975" s="149"/>
      <c r="G975" s="150"/>
      <c r="H975" s="151">
        <f>SUM(H972:H974)</f>
        <v>33710.35</v>
      </c>
      <c r="I975" s="152"/>
      <c r="J975" s="137"/>
      <c r="K975" s="151">
        <f>SUM(K972:K974)</f>
        <v>28786.980000000003</v>
      </c>
      <c r="L975" s="138">
        <f t="shared" si="141"/>
        <v>-4923.3699999999953</v>
      </c>
      <c r="M975" s="139">
        <f>IF((H975)=0,"",(L975/H975))</f>
        <v>-0.14604921040570612</v>
      </c>
    </row>
    <row r="976" spans="1:13" ht="25.5" x14ac:dyDescent="0.25">
      <c r="A976" s="100" t="str">
        <f t="shared" si="144"/>
        <v>GENERAL SERVICE 1,000 TO 4,999 KW SERVICE CLASSIFICATION</v>
      </c>
      <c r="C976" s="117"/>
      <c r="D976" s="156" t="s">
        <v>173</v>
      </c>
      <c r="E976" s="119"/>
      <c r="F976" s="127">
        <v>3.6000000000000003E-3</v>
      </c>
      <c r="G976" s="141">
        <f>E949*E951</f>
        <v>3168000</v>
      </c>
      <c r="H976" s="157">
        <f t="shared" ref="H976:H982" si="146">G976*F976</f>
        <v>11404.800000000001</v>
      </c>
      <c r="I976" s="128">
        <v>3.6000000000000003E-3</v>
      </c>
      <c r="J976" s="141">
        <f>E949*E952</f>
        <v>3168000</v>
      </c>
      <c r="K976" s="157">
        <f t="shared" ref="K976:K982" si="147">J976*I976</f>
        <v>11404.800000000001</v>
      </c>
      <c r="L976" s="125">
        <f t="shared" si="141"/>
        <v>0</v>
      </c>
      <c r="M976" s="126">
        <f t="shared" ref="M976:M984" si="148">IF(ISERROR(L976/H976), "", L976/H976)</f>
        <v>0</v>
      </c>
    </row>
    <row r="977" spans="1:13" ht="25.5" x14ac:dyDescent="0.25">
      <c r="A977" s="100" t="str">
        <f t="shared" si="144"/>
        <v>GENERAL SERVICE 1,000 TO 4,999 KW SERVICE CLASSIFICATION</v>
      </c>
      <c r="C977" s="117"/>
      <c r="D977" s="156" t="s">
        <v>174</v>
      </c>
      <c r="E977" s="119"/>
      <c r="F977" s="127">
        <f>'[1]17. Regulatory Charges'!$D$16</f>
        <v>2.9999999999999997E-4</v>
      </c>
      <c r="G977" s="141">
        <f>E949*E951</f>
        <v>3168000</v>
      </c>
      <c r="H977" s="157">
        <f t="shared" si="146"/>
        <v>950.39999999999986</v>
      </c>
      <c r="I977" s="128">
        <v>2.9999999999999997E-4</v>
      </c>
      <c r="J977" s="141">
        <f>E949*E952</f>
        <v>3168000</v>
      </c>
      <c r="K977" s="157">
        <f t="shared" si="147"/>
        <v>950.39999999999986</v>
      </c>
      <c r="L977" s="125">
        <f t="shared" si="141"/>
        <v>0</v>
      </c>
      <c r="M977" s="126">
        <f t="shared" si="148"/>
        <v>0</v>
      </c>
    </row>
    <row r="978" spans="1:13" x14ac:dyDescent="0.25">
      <c r="A978" s="100" t="str">
        <f t="shared" si="144"/>
        <v>GENERAL SERVICE 1,000 TO 4,999 KW SERVICE CLASSIFICATION</v>
      </c>
      <c r="C978" s="117"/>
      <c r="D978" s="158" t="s">
        <v>175</v>
      </c>
      <c r="E978" s="119"/>
      <c r="F978" s="145">
        <v>0.25</v>
      </c>
      <c r="G978" s="121">
        <v>1</v>
      </c>
      <c r="H978" s="157">
        <f t="shared" si="146"/>
        <v>0.25</v>
      </c>
      <c r="I978" s="146">
        <f>'[1]17. Regulatory Charges'!$D$17</f>
        <v>0.25</v>
      </c>
      <c r="J978" s="124">
        <v>1</v>
      </c>
      <c r="K978" s="157">
        <f t="shared" si="147"/>
        <v>0.25</v>
      </c>
      <c r="L978" s="125">
        <f t="shared" si="141"/>
        <v>0</v>
      </c>
      <c r="M978" s="126">
        <f t="shared" si="148"/>
        <v>0</v>
      </c>
    </row>
    <row r="979" spans="1:13" ht="25.5" x14ac:dyDescent="0.25">
      <c r="A979" s="100" t="str">
        <f t="shared" si="144"/>
        <v>GENERAL SERVICE 1,000 TO 4,999 KW SERVICE CLASSIFICATION</v>
      </c>
      <c r="C979" s="117"/>
      <c r="D979" s="156" t="s">
        <v>176</v>
      </c>
      <c r="E979" s="119"/>
      <c r="F979" s="127"/>
      <c r="G979" s="141"/>
      <c r="H979" s="157"/>
      <c r="I979" s="128"/>
      <c r="J979" s="141"/>
      <c r="K979" s="157"/>
      <c r="L979" s="125"/>
      <c r="M979" s="126"/>
    </row>
    <row r="980" spans="1:13" hidden="1" x14ac:dyDescent="0.25">
      <c r="A980" s="100" t="str">
        <f t="shared" si="144"/>
        <v>GENERAL SERVICE 1,000 TO 4,999 KW SERVICE CLASSIFICATION</v>
      </c>
      <c r="B980" s="105" t="s">
        <v>117</v>
      </c>
      <c r="C980" s="117"/>
      <c r="D980" s="159" t="s">
        <v>177</v>
      </c>
      <c r="E980" s="119"/>
      <c r="F980" s="160">
        <f>OffPeak</f>
        <v>6.5000000000000002E-2</v>
      </c>
      <c r="G980" s="161">
        <f>IF(AND(E949*12&gt;=150000),0.65*E949*E951,0.65*E949)</f>
        <v>2059200</v>
      </c>
      <c r="H980" s="157">
        <f t="shared" si="146"/>
        <v>133848</v>
      </c>
      <c r="I980" s="162">
        <f>OffPeak</f>
        <v>6.5000000000000002E-2</v>
      </c>
      <c r="J980" s="161">
        <f>IF(AND(E949*12&gt;=150000),0.65*E949*E952,0.65*E949)</f>
        <v>2059200</v>
      </c>
      <c r="K980" s="157">
        <f t="shared" si="147"/>
        <v>133848</v>
      </c>
      <c r="L980" s="125">
        <f>K980-H980</f>
        <v>0</v>
      </c>
      <c r="M980" s="126">
        <f t="shared" si="148"/>
        <v>0</v>
      </c>
    </row>
    <row r="981" spans="1:13" hidden="1" x14ac:dyDescent="0.25">
      <c r="A981" s="100" t="str">
        <f t="shared" si="144"/>
        <v>GENERAL SERVICE 1,000 TO 4,999 KW SERVICE CLASSIFICATION</v>
      </c>
      <c r="B981" s="105" t="s">
        <v>117</v>
      </c>
      <c r="C981" s="117"/>
      <c r="D981" s="159" t="s">
        <v>178</v>
      </c>
      <c r="E981" s="119"/>
      <c r="F981" s="160">
        <f>MidPeak</f>
        <v>9.4E-2</v>
      </c>
      <c r="G981" s="161">
        <f>IF(AND(E949*12&gt;=150000),0.17*E949*E951,0.17*E949)</f>
        <v>538560.00000000012</v>
      </c>
      <c r="H981" s="157">
        <f t="shared" si="146"/>
        <v>50624.640000000014</v>
      </c>
      <c r="I981" s="162">
        <f>MidPeak</f>
        <v>9.4E-2</v>
      </c>
      <c r="J981" s="161">
        <f>IF(AND(E949*12&gt;=150000),0.17*E949*E952,0.17*E949)</f>
        <v>538560.00000000012</v>
      </c>
      <c r="K981" s="157">
        <f t="shared" si="147"/>
        <v>50624.640000000014</v>
      </c>
      <c r="L981" s="125">
        <f>K981-H981</f>
        <v>0</v>
      </c>
      <c r="M981" s="126">
        <f t="shared" si="148"/>
        <v>0</v>
      </c>
    </row>
    <row r="982" spans="1:13" hidden="1" x14ac:dyDescent="0.25">
      <c r="A982" s="100" t="str">
        <f t="shared" si="144"/>
        <v>GENERAL SERVICE 1,000 TO 4,999 KW SERVICE CLASSIFICATION</v>
      </c>
      <c r="B982" s="105" t="s">
        <v>117</v>
      </c>
      <c r="C982" s="117"/>
      <c r="D982" s="105" t="s">
        <v>179</v>
      </c>
      <c r="E982" s="119"/>
      <c r="F982" s="160">
        <f>OnPeak</f>
        <v>0.13200000000000001</v>
      </c>
      <c r="G982" s="161">
        <f>IF(AND(E949*12&gt;=150000),0.18*E949*E951,0.18*E949)</f>
        <v>570240</v>
      </c>
      <c r="H982" s="157">
        <f t="shared" si="146"/>
        <v>75271.680000000008</v>
      </c>
      <c r="I982" s="162">
        <f>OnPeak</f>
        <v>0.13200000000000001</v>
      </c>
      <c r="J982" s="161">
        <f>IF(AND(E949*12&gt;=150000),0.18*E949*E952,0.18*E949)</f>
        <v>570240</v>
      </c>
      <c r="K982" s="157">
        <f t="shared" si="147"/>
        <v>75271.680000000008</v>
      </c>
      <c r="L982" s="125">
        <f>K982-H982</f>
        <v>0</v>
      </c>
      <c r="M982" s="126">
        <f t="shared" si="148"/>
        <v>0</v>
      </c>
    </row>
    <row r="983" spans="1:13" hidden="1" x14ac:dyDescent="0.25">
      <c r="A983" s="100" t="str">
        <f t="shared" si="144"/>
        <v>GENERAL SERVICE 1,000 TO 4,999 KW SERVICE CLASSIFICATION</v>
      </c>
      <c r="B983" s="100" t="s">
        <v>180</v>
      </c>
      <c r="C983" s="117"/>
      <c r="D983" s="159" t="s">
        <v>181</v>
      </c>
      <c r="E983" s="119"/>
      <c r="F983" s="163">
        <v>0.1101</v>
      </c>
      <c r="G983" s="161">
        <f>IF(AND(E949*12&gt;=150000),E949*E951,E949)</f>
        <v>3168000</v>
      </c>
      <c r="H983" s="157">
        <f>G983*F983</f>
        <v>348796.8</v>
      </c>
      <c r="I983" s="164">
        <f>F983</f>
        <v>0.1101</v>
      </c>
      <c r="J983" s="161">
        <f>IF(AND(E949*12&gt;=150000),E949*E952,E949)</f>
        <v>3168000</v>
      </c>
      <c r="K983" s="157">
        <f>J983*I983</f>
        <v>348796.8</v>
      </c>
      <c r="L983" s="125">
        <f>K983-H983</f>
        <v>0</v>
      </c>
      <c r="M983" s="126">
        <f t="shared" si="148"/>
        <v>0</v>
      </c>
    </row>
    <row r="984" spans="1:13" ht="15.75" thickBot="1" x14ac:dyDescent="0.3">
      <c r="A984" s="100" t="str">
        <f t="shared" si="144"/>
        <v>GENERAL SERVICE 1,000 TO 4,999 KW SERVICE CLASSIFICATION</v>
      </c>
      <c r="B984" s="100" t="s">
        <v>121</v>
      </c>
      <c r="C984" s="117"/>
      <c r="D984" s="159" t="s">
        <v>182</v>
      </c>
      <c r="E984" s="119"/>
      <c r="F984" s="163">
        <v>0.1101</v>
      </c>
      <c r="G984" s="161">
        <f>IF(AND(E949*12&gt;=150000),E949*E951,E949)</f>
        <v>3168000</v>
      </c>
      <c r="H984" s="157">
        <f>G984*F984</f>
        <v>348796.8</v>
      </c>
      <c r="I984" s="164">
        <f>F984</f>
        <v>0.1101</v>
      </c>
      <c r="J984" s="161">
        <f>IF(AND(E949*12&gt;=150000),E949*E952,E949)</f>
        <v>3168000</v>
      </c>
      <c r="K984" s="157">
        <f>J984*I984</f>
        <v>348796.8</v>
      </c>
      <c r="L984" s="125">
        <f>K984-H984</f>
        <v>0</v>
      </c>
      <c r="M984" s="126">
        <f t="shared" si="148"/>
        <v>0</v>
      </c>
    </row>
    <row r="985" spans="1:13" ht="15.75" thickBot="1" x14ac:dyDescent="0.3">
      <c r="A985" s="100" t="str">
        <f t="shared" si="144"/>
        <v>GENERAL SERVICE 1,000 TO 4,999 KW SERVICE CLASSIFICATION</v>
      </c>
      <c r="B985" s="105"/>
      <c r="C985" s="117"/>
      <c r="D985" s="165"/>
      <c r="E985" s="166"/>
      <c r="F985" s="167"/>
      <c r="G985" s="168"/>
      <c r="H985" s="169"/>
      <c r="I985" s="167"/>
      <c r="J985" s="170"/>
      <c r="K985" s="169"/>
      <c r="L985" s="171"/>
      <c r="M985" s="172"/>
    </row>
    <row r="986" spans="1:13" hidden="1" x14ac:dyDescent="0.25">
      <c r="A986" s="100" t="str">
        <f t="shared" si="144"/>
        <v>GENERAL SERVICE 1,000 TO 4,999 KW SERVICE CLASSIFICATION</v>
      </c>
      <c r="B986" s="105" t="s">
        <v>117</v>
      </c>
      <c r="C986" s="117"/>
      <c r="D986" s="173" t="s">
        <v>183</v>
      </c>
      <c r="E986" s="158"/>
      <c r="F986" s="174"/>
      <c r="G986" s="175"/>
      <c r="H986" s="176">
        <f>SUM(H976:H982,H975)</f>
        <v>305810.12</v>
      </c>
      <c r="I986" s="177"/>
      <c r="J986" s="177"/>
      <c r="K986" s="176">
        <f>SUM(K976:K982,K975)</f>
        <v>300886.75</v>
      </c>
      <c r="L986" s="178">
        <f>K986-H986</f>
        <v>-4923.3699999999953</v>
      </c>
      <c r="M986" s="179">
        <f>IF((H986)=0,"",(L986/H986))</f>
        <v>-1.6099434511846748E-2</v>
      </c>
    </row>
    <row r="987" spans="1:13" hidden="1" x14ac:dyDescent="0.25">
      <c r="A987" s="100" t="str">
        <f t="shared" si="144"/>
        <v>GENERAL SERVICE 1,000 TO 4,999 KW SERVICE CLASSIFICATION</v>
      </c>
      <c r="B987" s="105" t="s">
        <v>117</v>
      </c>
      <c r="C987" s="117"/>
      <c r="D987" s="180" t="s">
        <v>184</v>
      </c>
      <c r="E987" s="158"/>
      <c r="F987" s="174">
        <v>0.13</v>
      </c>
      <c r="G987" s="181"/>
      <c r="H987" s="182">
        <f>H986*F987</f>
        <v>39755.315600000002</v>
      </c>
      <c r="I987" s="183">
        <v>0.13</v>
      </c>
      <c r="J987" s="121"/>
      <c r="K987" s="182">
        <f>K986*I987</f>
        <v>39115.277500000004</v>
      </c>
      <c r="L987" s="184">
        <f>K987-H987</f>
        <v>-640.03809999999794</v>
      </c>
      <c r="M987" s="185">
        <f>IF((H987)=0,"",(L987/H987))</f>
        <v>-1.609943451184671E-2</v>
      </c>
    </row>
    <row r="988" spans="1:13" hidden="1" x14ac:dyDescent="0.25">
      <c r="A988" s="100" t="str">
        <f t="shared" si="144"/>
        <v>GENERAL SERVICE 1,000 TO 4,999 KW SERVICE CLASSIFICATION</v>
      </c>
      <c r="B988" s="105" t="s">
        <v>117</v>
      </c>
      <c r="C988" s="117"/>
      <c r="D988" s="180" t="s">
        <v>185</v>
      </c>
      <c r="E988" s="158"/>
      <c r="F988" s="174">
        <v>0.08</v>
      </c>
      <c r="G988" s="181"/>
      <c r="H988" s="182">
        <v>0</v>
      </c>
      <c r="I988" s="174">
        <v>0.08</v>
      </c>
      <c r="J988" s="121"/>
      <c r="K988" s="182">
        <v>0</v>
      </c>
      <c r="L988" s="184">
        <f>K988-H988</f>
        <v>0</v>
      </c>
      <c r="M988" s="185"/>
    </row>
    <row r="989" spans="1:13" hidden="1" x14ac:dyDescent="0.25">
      <c r="A989" s="100" t="str">
        <f t="shared" si="144"/>
        <v>GENERAL SERVICE 1,000 TO 4,999 KW SERVICE CLASSIFICATION</v>
      </c>
      <c r="B989" s="105" t="s">
        <v>186</v>
      </c>
      <c r="C989" s="117"/>
      <c r="D989" s="301" t="s">
        <v>187</v>
      </c>
      <c r="E989" s="301"/>
      <c r="F989" s="186"/>
      <c r="G989" s="187"/>
      <c r="H989" s="188">
        <f>H986+H987+H988</f>
        <v>345565.43559999997</v>
      </c>
      <c r="I989" s="189"/>
      <c r="J989" s="189"/>
      <c r="K989" s="190">
        <f>K986+K987+K988</f>
        <v>340002.02750000003</v>
      </c>
      <c r="L989" s="191">
        <f>K989-H989</f>
        <v>-5563.4080999999424</v>
      </c>
      <c r="M989" s="192">
        <f>IF((H989)=0,"",(L989/H989))</f>
        <v>-1.6099434511846599E-2</v>
      </c>
    </row>
    <row r="990" spans="1:13" ht="15.75" hidden="1" thickBot="1" x14ac:dyDescent="0.3">
      <c r="A990" s="100" t="str">
        <f t="shared" si="144"/>
        <v>GENERAL SERVICE 1,000 TO 4,999 KW SERVICE CLASSIFICATION</v>
      </c>
      <c r="B990" s="100" t="s">
        <v>117</v>
      </c>
      <c r="C990" s="117"/>
      <c r="D990" s="165"/>
      <c r="E990" s="166"/>
      <c r="F990" s="167"/>
      <c r="G990" s="168"/>
      <c r="H990" s="169"/>
      <c r="I990" s="167"/>
      <c r="J990" s="170"/>
      <c r="K990" s="169"/>
      <c r="L990" s="171"/>
      <c r="M990" s="172"/>
    </row>
    <row r="991" spans="1:13" hidden="1" x14ac:dyDescent="0.25">
      <c r="A991" s="100" t="str">
        <f t="shared" si="144"/>
        <v>GENERAL SERVICE 1,000 TO 4,999 KW SERVICE CLASSIFICATION</v>
      </c>
      <c r="B991" s="100" t="s">
        <v>180</v>
      </c>
      <c r="C991" s="117"/>
      <c r="D991" s="173" t="s">
        <v>188</v>
      </c>
      <c r="E991" s="158"/>
      <c r="F991" s="174"/>
      <c r="G991" s="175"/>
      <c r="H991" s="176">
        <f>SUM(H983,H976:H979,H975)</f>
        <v>394862.6</v>
      </c>
      <c r="I991" s="177"/>
      <c r="J991" s="177"/>
      <c r="K991" s="176">
        <f>SUM(K983,K976:K979,K975)</f>
        <v>389939.23</v>
      </c>
      <c r="L991" s="178">
        <f>K991-H991</f>
        <v>-4923.3699999999953</v>
      </c>
      <c r="M991" s="179">
        <f>IF((H991)=0,"",(L991/H991))</f>
        <v>-1.246856501476715E-2</v>
      </c>
    </row>
    <row r="992" spans="1:13" hidden="1" x14ac:dyDescent="0.25">
      <c r="A992" s="100" t="str">
        <f t="shared" si="144"/>
        <v>GENERAL SERVICE 1,000 TO 4,999 KW SERVICE CLASSIFICATION</v>
      </c>
      <c r="B992" s="100" t="s">
        <v>180</v>
      </c>
      <c r="C992" s="117"/>
      <c r="D992" s="180" t="s">
        <v>184</v>
      </c>
      <c r="E992" s="158"/>
      <c r="F992" s="174">
        <v>0.13</v>
      </c>
      <c r="G992" s="175"/>
      <c r="H992" s="182">
        <f>H991*F992</f>
        <v>51332.137999999999</v>
      </c>
      <c r="I992" s="174">
        <v>0.13</v>
      </c>
      <c r="J992" s="183"/>
      <c r="K992" s="182">
        <f>K991*I992</f>
        <v>50692.099900000001</v>
      </c>
      <c r="L992" s="184">
        <f>K992-H992</f>
        <v>-640.03809999999794</v>
      </c>
      <c r="M992" s="185">
        <f>IF((H992)=0,"",(L992/H992))</f>
        <v>-1.2468565014767122E-2</v>
      </c>
    </row>
    <row r="993" spans="1:13" hidden="1" x14ac:dyDescent="0.25">
      <c r="A993" s="100" t="str">
        <f t="shared" si="144"/>
        <v>GENERAL SERVICE 1,000 TO 4,999 KW SERVICE CLASSIFICATION</v>
      </c>
      <c r="B993" s="100" t="s">
        <v>180</v>
      </c>
      <c r="C993" s="117"/>
      <c r="D993" s="180" t="s">
        <v>185</v>
      </c>
      <c r="E993" s="158"/>
      <c r="F993" s="174">
        <v>0.08</v>
      </c>
      <c r="G993" s="175"/>
      <c r="H993" s="182">
        <v>0</v>
      </c>
      <c r="I993" s="174">
        <v>0.08</v>
      </c>
      <c r="J993" s="183"/>
      <c r="K993" s="182">
        <v>0</v>
      </c>
      <c r="L993" s="184"/>
      <c r="M993" s="185"/>
    </row>
    <row r="994" spans="1:13" hidden="1" x14ac:dyDescent="0.25">
      <c r="A994" s="100" t="str">
        <f t="shared" si="144"/>
        <v>GENERAL SERVICE 1,000 TO 4,999 KW SERVICE CLASSIFICATION</v>
      </c>
      <c r="B994" s="100" t="s">
        <v>189</v>
      </c>
      <c r="C994" s="117"/>
      <c r="D994" s="301" t="s">
        <v>188</v>
      </c>
      <c r="E994" s="301"/>
      <c r="F994" s="193"/>
      <c r="G994" s="194"/>
      <c r="H994" s="188">
        <f>SUM(H991,H992)</f>
        <v>446194.73799999995</v>
      </c>
      <c r="I994" s="195"/>
      <c r="J994" s="195"/>
      <c r="K994" s="188">
        <f>SUM(K991,K992)</f>
        <v>440631.32990000001</v>
      </c>
      <c r="L994" s="196">
        <f>K994-H994</f>
        <v>-5563.4080999999424</v>
      </c>
      <c r="M994" s="197">
        <f>IF((H994)=0,"",(L994/H994))</f>
        <v>-1.2468565014767034E-2</v>
      </c>
    </row>
    <row r="995" spans="1:13" ht="15.75" hidden="1" thickBot="1" x14ac:dyDescent="0.3">
      <c r="A995" s="100" t="str">
        <f t="shared" si="144"/>
        <v>GENERAL SERVICE 1,000 TO 4,999 KW SERVICE CLASSIFICATION</v>
      </c>
      <c r="B995" s="100" t="s">
        <v>180</v>
      </c>
      <c r="C995" s="117"/>
      <c r="D995" s="165"/>
      <c r="E995" s="166"/>
      <c r="F995" s="198"/>
      <c r="G995" s="199"/>
      <c r="H995" s="200"/>
      <c r="I995" s="198"/>
      <c r="J995" s="168"/>
      <c r="K995" s="200"/>
      <c r="L995" s="201"/>
      <c r="M995" s="172"/>
    </row>
    <row r="996" spans="1:13" x14ac:dyDescent="0.25">
      <c r="A996" s="100" t="str">
        <f t="shared" si="144"/>
        <v>GENERAL SERVICE 1,000 TO 4,999 KW SERVICE CLASSIFICATION</v>
      </c>
      <c r="B996" s="100" t="s">
        <v>121</v>
      </c>
      <c r="C996" s="117"/>
      <c r="D996" s="173" t="s">
        <v>190</v>
      </c>
      <c r="E996" s="158"/>
      <c r="F996" s="174"/>
      <c r="G996" s="175"/>
      <c r="H996" s="176">
        <f>SUM(H984,H976:H979,H975)</f>
        <v>394862.6</v>
      </c>
      <c r="I996" s="177"/>
      <c r="J996" s="177"/>
      <c r="K996" s="176">
        <f>SUM(K984,K976:K979,K975)</f>
        <v>389939.23</v>
      </c>
      <c r="L996" s="178">
        <f>K996-H996</f>
        <v>-4923.3699999999953</v>
      </c>
      <c r="M996" s="179">
        <f>IF((H996)=0,"",(L996/H996))</f>
        <v>-1.246856501476715E-2</v>
      </c>
    </row>
    <row r="997" spans="1:13" x14ac:dyDescent="0.25">
      <c r="A997" s="100" t="str">
        <f t="shared" si="144"/>
        <v>GENERAL SERVICE 1,000 TO 4,999 KW SERVICE CLASSIFICATION</v>
      </c>
      <c r="B997" s="100" t="s">
        <v>121</v>
      </c>
      <c r="C997" s="117"/>
      <c r="D997" s="180" t="s">
        <v>184</v>
      </c>
      <c r="E997" s="158"/>
      <c r="F997" s="174">
        <v>0.13</v>
      </c>
      <c r="G997" s="175"/>
      <c r="H997" s="182">
        <f>H996*F997</f>
        <v>51332.137999999999</v>
      </c>
      <c r="I997" s="174">
        <v>0.13</v>
      </c>
      <c r="J997" s="183"/>
      <c r="K997" s="182">
        <f>K996*I997</f>
        <v>50692.099900000001</v>
      </c>
      <c r="L997" s="184">
        <f>K997-H997</f>
        <v>-640.03809999999794</v>
      </c>
      <c r="M997" s="185">
        <f>IF((H997)=0,"",(L997/H997))</f>
        <v>-1.2468565014767122E-2</v>
      </c>
    </row>
    <row r="998" spans="1:13" x14ac:dyDescent="0.25">
      <c r="A998" s="100" t="str">
        <f t="shared" si="144"/>
        <v>GENERAL SERVICE 1,000 TO 4,999 KW SERVICE CLASSIFICATION</v>
      </c>
      <c r="B998" s="100" t="s">
        <v>121</v>
      </c>
      <c r="C998" s="117"/>
      <c r="D998" s="180" t="s">
        <v>185</v>
      </c>
      <c r="E998" s="158"/>
      <c r="F998" s="174">
        <v>0.08</v>
      </c>
      <c r="G998" s="175"/>
      <c r="H998" s="182">
        <v>0</v>
      </c>
      <c r="I998" s="174">
        <v>0.08</v>
      </c>
      <c r="J998" s="183"/>
      <c r="K998" s="182">
        <v>0</v>
      </c>
      <c r="L998" s="184"/>
      <c r="M998" s="185"/>
    </row>
    <row r="999" spans="1:13" ht="15.75" thickBot="1" x14ac:dyDescent="0.3">
      <c r="A999" s="100" t="str">
        <f t="shared" si="144"/>
        <v>GENERAL SERVICE 1,000 TO 4,999 KW SERVICE CLASSIFICATION</v>
      </c>
      <c r="B999" s="100" t="s">
        <v>191</v>
      </c>
      <c r="C999" s="117">
        <f>B19</f>
        <v>17</v>
      </c>
      <c r="D999" s="301" t="s">
        <v>190</v>
      </c>
      <c r="E999" s="301"/>
      <c r="F999" s="193"/>
      <c r="G999" s="194"/>
      <c r="H999" s="188">
        <f>SUM(H996,H997)</f>
        <v>446194.73799999995</v>
      </c>
      <c r="I999" s="195"/>
      <c r="J999" s="195"/>
      <c r="K999" s="188">
        <f>SUM(K996,K997)</f>
        <v>440631.32990000001</v>
      </c>
      <c r="L999" s="196">
        <f>K999-H999</f>
        <v>-5563.4080999999424</v>
      </c>
      <c r="M999" s="197">
        <f>IF((H999)=0,"",(L999/H999))</f>
        <v>-1.2468565014767034E-2</v>
      </c>
    </row>
    <row r="1000" spans="1:13" ht="15.75" thickBot="1" x14ac:dyDescent="0.3">
      <c r="A1000" s="100" t="str">
        <f t="shared" si="144"/>
        <v>GENERAL SERVICE 1,000 TO 4,999 KW SERVICE CLASSIFICATION</v>
      </c>
      <c r="B1000" s="100" t="s">
        <v>121</v>
      </c>
      <c r="C1000" s="117"/>
      <c r="D1000" s="165"/>
      <c r="E1000" s="166"/>
      <c r="F1000" s="202"/>
      <c r="G1000" s="203"/>
      <c r="H1000" s="204"/>
      <c r="I1000" s="202"/>
      <c r="J1000" s="205"/>
      <c r="K1000" s="204"/>
      <c r="L1000" s="206"/>
      <c r="M1000" s="207"/>
    </row>
    <row r="1003" spans="1:13" x14ac:dyDescent="0.25">
      <c r="C1003" s="100"/>
      <c r="D1003" s="101" t="s">
        <v>134</v>
      </c>
      <c r="E1003" s="302" t="str">
        <f>D20</f>
        <v>GENERAL SERVICE 50 TO 999 KW SERVICE CLASSIFICATION</v>
      </c>
      <c r="F1003" s="302"/>
      <c r="G1003" s="302"/>
      <c r="H1003" s="302"/>
      <c r="I1003" s="302"/>
      <c r="J1003" s="302"/>
      <c r="K1003" s="100" t="str">
        <f>IF(N20="DEMAND - INTERVAL","RTSR - INTERVAL METERED","")</f>
        <v/>
      </c>
    </row>
    <row r="1004" spans="1:13" x14ac:dyDescent="0.25">
      <c r="C1004" s="100"/>
      <c r="D1004" s="101" t="s">
        <v>135</v>
      </c>
      <c r="E1004" s="303" t="str">
        <f>H20</f>
        <v>RPP</v>
      </c>
      <c r="F1004" s="303"/>
      <c r="G1004" s="303"/>
      <c r="H1004" s="102"/>
      <c r="I1004" s="102"/>
    </row>
    <row r="1005" spans="1:13" ht="15.75" x14ac:dyDescent="0.25">
      <c r="C1005" s="100"/>
      <c r="D1005" s="101" t="s">
        <v>136</v>
      </c>
      <c r="E1005" s="103">
        <f>K20</f>
        <v>69000</v>
      </c>
      <c r="F1005" s="104" t="s">
        <v>137</v>
      </c>
      <c r="G1005" s="105"/>
      <c r="J1005" s="106"/>
      <c r="K1005" s="106"/>
      <c r="L1005" s="106"/>
      <c r="M1005" s="106"/>
    </row>
    <row r="1006" spans="1:13" ht="15.75" x14ac:dyDescent="0.25">
      <c r="C1006" s="100"/>
      <c r="D1006" s="101" t="s">
        <v>138</v>
      </c>
      <c r="E1006" s="103">
        <f>L20</f>
        <v>160</v>
      </c>
      <c r="F1006" s="107" t="s">
        <v>139</v>
      </c>
      <c r="G1006" s="108"/>
      <c r="H1006" s="109"/>
      <c r="I1006" s="109"/>
      <c r="J1006" s="109"/>
    </row>
    <row r="1007" spans="1:13" x14ac:dyDescent="0.25">
      <c r="C1007" s="100"/>
      <c r="D1007" s="101" t="s">
        <v>140</v>
      </c>
      <c r="E1007" s="110">
        <f>I20</f>
        <v>1.056</v>
      </c>
    </row>
    <row r="1008" spans="1:13" x14ac:dyDescent="0.25">
      <c r="C1008" s="100"/>
      <c r="D1008" s="101" t="s">
        <v>141</v>
      </c>
      <c r="E1008" s="110">
        <f>J20</f>
        <v>1.056</v>
      </c>
    </row>
    <row r="1009" spans="1:13" x14ac:dyDescent="0.25">
      <c r="C1009" s="100"/>
      <c r="D1009" s="105"/>
    </row>
    <row r="1010" spans="1:13" x14ac:dyDescent="0.25">
      <c r="C1010" s="100"/>
      <c r="D1010" s="105"/>
      <c r="E1010" s="111"/>
      <c r="F1010" s="304" t="s">
        <v>142</v>
      </c>
      <c r="G1010" s="305"/>
      <c r="H1010" s="306"/>
      <c r="I1010" s="304" t="s">
        <v>143</v>
      </c>
      <c r="J1010" s="305"/>
      <c r="K1010" s="306"/>
      <c r="L1010" s="304" t="s">
        <v>144</v>
      </c>
      <c r="M1010" s="306"/>
    </row>
    <row r="1011" spans="1:13" x14ac:dyDescent="0.25">
      <c r="C1011" s="100"/>
      <c r="D1011" s="105"/>
      <c r="E1011" s="295"/>
      <c r="F1011" s="112" t="s">
        <v>145</v>
      </c>
      <c r="G1011" s="112" t="s">
        <v>146</v>
      </c>
      <c r="H1011" s="113" t="s">
        <v>147</v>
      </c>
      <c r="I1011" s="112" t="s">
        <v>145</v>
      </c>
      <c r="J1011" s="114" t="s">
        <v>146</v>
      </c>
      <c r="K1011" s="113" t="s">
        <v>147</v>
      </c>
      <c r="L1011" s="297" t="s">
        <v>148</v>
      </c>
      <c r="M1011" s="299" t="s">
        <v>149</v>
      </c>
    </row>
    <row r="1012" spans="1:13" x14ac:dyDescent="0.25">
      <c r="C1012" s="100"/>
      <c r="D1012" s="105"/>
      <c r="E1012" s="296"/>
      <c r="F1012" s="115" t="s">
        <v>150</v>
      </c>
      <c r="G1012" s="115"/>
      <c r="H1012" s="116" t="s">
        <v>150</v>
      </c>
      <c r="I1012" s="115" t="s">
        <v>150</v>
      </c>
      <c r="J1012" s="116"/>
      <c r="K1012" s="116" t="s">
        <v>150</v>
      </c>
      <c r="L1012" s="298"/>
      <c r="M1012" s="300"/>
    </row>
    <row r="1013" spans="1:13" x14ac:dyDescent="0.25">
      <c r="A1013" s="100" t="str">
        <f>$E1003</f>
        <v>GENERAL SERVICE 50 TO 999 KW SERVICE CLASSIFICATION</v>
      </c>
      <c r="C1013" s="117"/>
      <c r="D1013" s="118" t="s">
        <v>151</v>
      </c>
      <c r="E1013" s="119"/>
      <c r="F1013" s="120">
        <v>86.83</v>
      </c>
      <c r="G1013" s="121">
        <v>1</v>
      </c>
      <c r="H1013" s="122">
        <f>G1013*F1013</f>
        <v>86.83</v>
      </c>
      <c r="I1013" s="123">
        <v>87.87</v>
      </c>
      <c r="J1013" s="124">
        <f>G1013</f>
        <v>1</v>
      </c>
      <c r="K1013" s="122">
        <f>J1013*I1013</f>
        <v>87.87</v>
      </c>
      <c r="L1013" s="125">
        <f t="shared" ref="L1013:L1034" si="149">K1013-H1013</f>
        <v>1.0400000000000063</v>
      </c>
      <c r="M1013" s="126">
        <f>IF(ISERROR(L1013/H1013), "", L1013/H1013)</f>
        <v>1.1977427156512798E-2</v>
      </c>
    </row>
    <row r="1014" spans="1:13" x14ac:dyDescent="0.25">
      <c r="A1014" s="100" t="str">
        <f>A1013</f>
        <v>GENERAL SERVICE 50 TO 999 KW SERVICE CLASSIFICATION</v>
      </c>
      <c r="C1014" s="117"/>
      <c r="D1014" s="118" t="s">
        <v>152</v>
      </c>
      <c r="E1014" s="119"/>
      <c r="F1014" s="127">
        <v>3.8580000000000001</v>
      </c>
      <c r="G1014" s="121">
        <f>IF($E1006&gt;0, $E1006, $E1005)</f>
        <v>160</v>
      </c>
      <c r="H1014" s="122">
        <f t="shared" ref="H1014:H1026" si="150">G1014*F1014</f>
        <v>617.28</v>
      </c>
      <c r="I1014" s="128">
        <v>3.9043000000000001</v>
      </c>
      <c r="J1014" s="124">
        <f>IF($E1006&gt;0, $E1006, $E1005)</f>
        <v>160</v>
      </c>
      <c r="K1014" s="122">
        <f>J1014*I1014</f>
        <v>624.68799999999999</v>
      </c>
      <c r="L1014" s="125">
        <f t="shared" si="149"/>
        <v>7.4080000000000155</v>
      </c>
      <c r="M1014" s="126">
        <f t="shared" ref="M1014:M1024" si="151">IF(ISERROR(L1014/H1014), "", L1014/H1014)</f>
        <v>1.2001036806635588E-2</v>
      </c>
    </row>
    <row r="1015" spans="1:13" x14ac:dyDescent="0.25">
      <c r="A1015" s="100" t="str">
        <f t="shared" ref="A1015:A1056" si="152">A1014</f>
        <v>GENERAL SERVICE 50 TO 999 KW SERVICE CLASSIFICATION</v>
      </c>
      <c r="C1015" s="117"/>
      <c r="D1015" s="118" t="s">
        <v>153</v>
      </c>
      <c r="E1015" s="119"/>
      <c r="F1015" s="127"/>
      <c r="G1015" s="121">
        <f>IF($E1006&gt;0, $E1006, $E1005)</f>
        <v>160</v>
      </c>
      <c r="H1015" s="122">
        <v>0</v>
      </c>
      <c r="I1015" s="128"/>
      <c r="J1015" s="124">
        <f>IF($E1006&gt;0, $E1006, $E1005)</f>
        <v>160</v>
      </c>
      <c r="K1015" s="122">
        <v>0</v>
      </c>
      <c r="L1015" s="125"/>
      <c r="M1015" s="126"/>
    </row>
    <row r="1016" spans="1:13" x14ac:dyDescent="0.25">
      <c r="A1016" s="100" t="str">
        <f t="shared" si="152"/>
        <v>GENERAL SERVICE 50 TO 999 KW SERVICE CLASSIFICATION</v>
      </c>
      <c r="C1016" s="117"/>
      <c r="D1016" s="118" t="s">
        <v>154</v>
      </c>
      <c r="E1016" s="119"/>
      <c r="F1016" s="127"/>
      <c r="G1016" s="121">
        <f>IF($E1006&gt;0, $E1006, $E1005)</f>
        <v>160</v>
      </c>
      <c r="H1016" s="122">
        <v>0</v>
      </c>
      <c r="I1016" s="128"/>
      <c r="J1016" s="121">
        <f>IF($E1006&gt;0, $E1006, $E1005)</f>
        <v>160</v>
      </c>
      <c r="K1016" s="122">
        <v>0</v>
      </c>
      <c r="L1016" s="125">
        <f>K1016-H1016</f>
        <v>0</v>
      </c>
      <c r="M1016" s="126" t="str">
        <f>IF(ISERROR(L1016/H1016), "", L1016/H1016)</f>
        <v/>
      </c>
    </row>
    <row r="1017" spans="1:13" x14ac:dyDescent="0.25">
      <c r="A1017" s="100" t="str">
        <f t="shared" si="152"/>
        <v>GENERAL SERVICE 50 TO 999 KW SERVICE CLASSIFICATION</v>
      </c>
      <c r="C1017" s="117"/>
      <c r="D1017" s="129" t="s">
        <v>155</v>
      </c>
      <c r="E1017" s="119"/>
      <c r="F1017" s="120">
        <v>0</v>
      </c>
      <c r="G1017" s="121">
        <v>1</v>
      </c>
      <c r="H1017" s="122">
        <f t="shared" si="150"/>
        <v>0</v>
      </c>
      <c r="I1017" s="123">
        <v>0</v>
      </c>
      <c r="J1017" s="124">
        <f>G1017</f>
        <v>1</v>
      </c>
      <c r="K1017" s="122">
        <f t="shared" ref="K1017:K1024" si="153">J1017*I1017</f>
        <v>0</v>
      </c>
      <c r="L1017" s="125">
        <f t="shared" si="149"/>
        <v>0</v>
      </c>
      <c r="M1017" s="126" t="str">
        <f t="shared" si="151"/>
        <v/>
      </c>
    </row>
    <row r="1018" spans="1:13" x14ac:dyDescent="0.25">
      <c r="A1018" s="100" t="str">
        <f t="shared" si="152"/>
        <v>GENERAL SERVICE 50 TO 999 KW SERVICE CLASSIFICATION</v>
      </c>
      <c r="C1018" s="117"/>
      <c r="D1018" s="118" t="s">
        <v>156</v>
      </c>
      <c r="E1018" s="119"/>
      <c r="F1018" s="127">
        <v>0</v>
      </c>
      <c r="G1018" s="121">
        <f>IF($E1006&gt;0, $E1006, $E1005)</f>
        <v>160</v>
      </c>
      <c r="H1018" s="122">
        <f t="shared" si="150"/>
        <v>0</v>
      </c>
      <c r="I1018" s="128">
        <v>0</v>
      </c>
      <c r="J1018" s="124">
        <f>IF($E1006&gt;0, $E1006, $E1005)</f>
        <v>160</v>
      </c>
      <c r="K1018" s="122">
        <f t="shared" si="153"/>
        <v>0</v>
      </c>
      <c r="L1018" s="125">
        <f t="shared" si="149"/>
        <v>0</v>
      </c>
      <c r="M1018" s="126" t="str">
        <f t="shared" si="151"/>
        <v/>
      </c>
    </row>
    <row r="1019" spans="1:13" x14ac:dyDescent="0.25">
      <c r="A1019" s="100" t="str">
        <f t="shared" si="152"/>
        <v>GENERAL SERVICE 50 TO 999 KW SERVICE CLASSIFICATION</v>
      </c>
      <c r="B1019" s="130" t="s">
        <v>157</v>
      </c>
      <c r="C1019" s="117">
        <f>B20</f>
        <v>18</v>
      </c>
      <c r="D1019" s="131" t="s">
        <v>158</v>
      </c>
      <c r="E1019" s="132"/>
      <c r="F1019" s="133"/>
      <c r="G1019" s="134"/>
      <c r="H1019" s="135">
        <f>SUM(H1013:H1018)</f>
        <v>704.11</v>
      </c>
      <c r="I1019" s="136"/>
      <c r="J1019" s="137"/>
      <c r="K1019" s="135">
        <f>SUM(K1013:K1018)</f>
        <v>712.55799999999999</v>
      </c>
      <c r="L1019" s="138">
        <f t="shared" si="149"/>
        <v>8.4479999999999791</v>
      </c>
      <c r="M1019" s="139">
        <f>IF((H1019)=0,"",(L1019/H1019))</f>
        <v>1.1998125292922952E-2</v>
      </c>
    </row>
    <row r="1020" spans="1:13" x14ac:dyDescent="0.25">
      <c r="A1020" s="100" t="str">
        <f t="shared" si="152"/>
        <v>GENERAL SERVICE 50 TO 999 KW SERVICE CLASSIFICATION</v>
      </c>
      <c r="C1020" s="117"/>
      <c r="D1020" s="140" t="s">
        <v>159</v>
      </c>
      <c r="E1020" s="119"/>
      <c r="F1020" s="127">
        <f>IF((E1005*12&gt;=150000), 0, IF(E1004="RPP",(F1036*0.65+F1037*0.17+F1038*0.18),IF(E1004="Non-RPP (Retailer)",F1039,F1040)))</f>
        <v>0</v>
      </c>
      <c r="G1020" s="141">
        <f>IF(F1020=0, 0, $E1005*E1007-E1005)</f>
        <v>0</v>
      </c>
      <c r="H1020" s="122">
        <f>G1020*F1020</f>
        <v>0</v>
      </c>
      <c r="I1020" s="128">
        <f>IF((E1005*12&gt;=150000), 0, IF(E1004="RPP",(I1036*0.65+I1037*0.17+I1038*0.18),IF(E1004="Non-RPP (Retailer)",I1039,I1040)))</f>
        <v>0</v>
      </c>
      <c r="J1020" s="141">
        <f>IF(I1020=0, 0, E1005*E1008-E1005)</f>
        <v>0</v>
      </c>
      <c r="K1020" s="122">
        <f>J1020*I1020</f>
        <v>0</v>
      </c>
      <c r="L1020" s="125">
        <f>K1020-H1020</f>
        <v>0</v>
      </c>
      <c r="M1020" s="126" t="str">
        <f>IF(ISERROR(L1020/H1020), "", L1020/H1020)</f>
        <v/>
      </c>
    </row>
    <row r="1021" spans="1:13" ht="25.5" x14ac:dyDescent="0.25">
      <c r="A1021" s="100" t="str">
        <f t="shared" si="152"/>
        <v>GENERAL SERVICE 50 TO 999 KW SERVICE CLASSIFICATION</v>
      </c>
      <c r="C1021" s="117"/>
      <c r="D1021" s="140" t="s">
        <v>160</v>
      </c>
      <c r="E1021" s="119"/>
      <c r="F1021" s="127">
        <v>-0.70650000000000002</v>
      </c>
      <c r="G1021" s="142">
        <f>IF($E1006&gt;0, $E1006, $E1005)</f>
        <v>160</v>
      </c>
      <c r="H1021" s="122">
        <f t="shared" si="150"/>
        <v>-113.04</v>
      </c>
      <c r="I1021" s="128">
        <v>-1.7801</v>
      </c>
      <c r="J1021" s="142">
        <f>IF($E1006&gt;0, $E1006, $E1005)</f>
        <v>160</v>
      </c>
      <c r="K1021" s="122">
        <f t="shared" si="153"/>
        <v>-284.81600000000003</v>
      </c>
      <c r="L1021" s="125">
        <f t="shared" si="149"/>
        <v>-171.77600000000001</v>
      </c>
      <c r="M1021" s="126">
        <f t="shared" si="151"/>
        <v>1.5196036801132342</v>
      </c>
    </row>
    <row r="1022" spans="1:13" x14ac:dyDescent="0.25">
      <c r="A1022" s="100" t="str">
        <f t="shared" si="152"/>
        <v>GENERAL SERVICE 50 TO 999 KW SERVICE CLASSIFICATION</v>
      </c>
      <c r="C1022" s="117"/>
      <c r="D1022" s="140" t="s">
        <v>161</v>
      </c>
      <c r="E1022" s="119"/>
      <c r="F1022" s="127">
        <v>-2.76E-2</v>
      </c>
      <c r="G1022" s="142">
        <f>IF($E1006&gt;0, $E1006, $E1005)</f>
        <v>160</v>
      </c>
      <c r="H1022" s="122">
        <f>G1022*F1022</f>
        <v>-4.4160000000000004</v>
      </c>
      <c r="I1022" s="128">
        <v>0</v>
      </c>
      <c r="J1022" s="142">
        <f>IF($E1006&gt;0, $E1006, $E1005)</f>
        <v>160</v>
      </c>
      <c r="K1022" s="122">
        <f>J1022*I1022</f>
        <v>0</v>
      </c>
      <c r="L1022" s="125">
        <f t="shared" si="149"/>
        <v>4.4160000000000004</v>
      </c>
      <c r="M1022" s="126">
        <f t="shared" si="151"/>
        <v>-1</v>
      </c>
    </row>
    <row r="1023" spans="1:13" x14ac:dyDescent="0.25">
      <c r="A1023" s="100" t="str">
        <f t="shared" si="152"/>
        <v>GENERAL SERVICE 50 TO 999 KW SERVICE CLASSIFICATION</v>
      </c>
      <c r="C1023" s="117"/>
      <c r="D1023" s="140" t="s">
        <v>162</v>
      </c>
      <c r="E1023" s="119"/>
      <c r="F1023" s="127">
        <v>0</v>
      </c>
      <c r="G1023" s="142">
        <f>E1005</f>
        <v>69000</v>
      </c>
      <c r="H1023" s="122">
        <f>G1023*F1023</f>
        <v>0</v>
      </c>
      <c r="I1023" s="128">
        <v>0</v>
      </c>
      <c r="J1023" s="142">
        <f>E1005</f>
        <v>69000</v>
      </c>
      <c r="K1023" s="122">
        <f t="shared" si="153"/>
        <v>0</v>
      </c>
      <c r="L1023" s="125">
        <f t="shared" si="149"/>
        <v>0</v>
      </c>
      <c r="M1023" s="126" t="str">
        <f t="shared" si="151"/>
        <v/>
      </c>
    </row>
    <row r="1024" spans="1:13" x14ac:dyDescent="0.25">
      <c r="A1024" s="100" t="str">
        <f t="shared" si="152"/>
        <v>GENERAL SERVICE 50 TO 999 KW SERVICE CLASSIFICATION</v>
      </c>
      <c r="C1024" s="117"/>
      <c r="D1024" s="143" t="s">
        <v>163</v>
      </c>
      <c r="E1024" s="119"/>
      <c r="F1024" s="127">
        <v>1.0483</v>
      </c>
      <c r="G1024" s="142">
        <f>IF($E1006&gt;0, $E1006, $E1005)</f>
        <v>160</v>
      </c>
      <c r="H1024" s="122">
        <f t="shared" si="150"/>
        <v>167.72800000000001</v>
      </c>
      <c r="I1024" s="128">
        <v>1.0483</v>
      </c>
      <c r="J1024" s="142">
        <f>IF($E1006&gt;0, $E1006, $E1005)</f>
        <v>160</v>
      </c>
      <c r="K1024" s="122">
        <f t="shared" si="153"/>
        <v>167.72800000000001</v>
      </c>
      <c r="L1024" s="125">
        <f t="shared" si="149"/>
        <v>0</v>
      </c>
      <c r="M1024" s="126">
        <f t="shared" si="151"/>
        <v>0</v>
      </c>
    </row>
    <row r="1025" spans="1:13" ht="25.5" x14ac:dyDescent="0.25">
      <c r="A1025" s="100" t="str">
        <f t="shared" si="152"/>
        <v>GENERAL SERVICE 50 TO 999 KW SERVICE CLASSIFICATION</v>
      </c>
      <c r="C1025" s="117"/>
      <c r="D1025" s="144" t="s">
        <v>164</v>
      </c>
      <c r="E1025" s="119"/>
      <c r="F1025" s="145">
        <f>IF(OR(ISNUMBER(SEARCH("RESIDENTIAL", E1003))=TRUE, ISNUMBER(SEARCH("GENERAL SERVICE LESS THAN 50", E1003))=TRUE), SME, 0)</f>
        <v>0</v>
      </c>
      <c r="G1025" s="121">
        <v>1</v>
      </c>
      <c r="H1025" s="122">
        <f>G1025*F1025</f>
        <v>0</v>
      </c>
      <c r="I1025" s="146">
        <f>IF(OR(ISNUMBER(SEARCH("RESIDENTIAL", E1003))=TRUE, ISNUMBER(SEARCH("GENERAL SERVICE LESS THAN 50", E1003))=TRUE), SME, 0)</f>
        <v>0</v>
      </c>
      <c r="J1025" s="121">
        <v>1</v>
      </c>
      <c r="K1025" s="122">
        <f>J1025*I1025</f>
        <v>0</v>
      </c>
      <c r="L1025" s="125">
        <f t="shared" si="149"/>
        <v>0</v>
      </c>
      <c r="M1025" s="126" t="str">
        <f>IF(ISERROR(L1025/H1025), "", L1025/H1025)</f>
        <v/>
      </c>
    </row>
    <row r="1026" spans="1:13" x14ac:dyDescent="0.25">
      <c r="A1026" s="100" t="str">
        <f t="shared" si="152"/>
        <v>GENERAL SERVICE 50 TO 999 KW SERVICE CLASSIFICATION</v>
      </c>
      <c r="C1026" s="117"/>
      <c r="D1026" s="143" t="s">
        <v>165</v>
      </c>
      <c r="E1026" s="119"/>
      <c r="F1026" s="120">
        <v>0</v>
      </c>
      <c r="G1026" s="121">
        <v>1</v>
      </c>
      <c r="H1026" s="122">
        <f t="shared" si="150"/>
        <v>0</v>
      </c>
      <c r="I1026" s="123">
        <v>0</v>
      </c>
      <c r="J1026" s="121">
        <v>1</v>
      </c>
      <c r="K1026" s="122">
        <f>J1026*I1026</f>
        <v>0</v>
      </c>
      <c r="L1026" s="125">
        <f>K1026-H1026</f>
        <v>0</v>
      </c>
      <c r="M1026" s="126" t="str">
        <f>IF(ISERROR(L1026/H1026), "", L1026/H1026)</f>
        <v/>
      </c>
    </row>
    <row r="1027" spans="1:13" x14ac:dyDescent="0.25">
      <c r="A1027" s="100" t="str">
        <f t="shared" si="152"/>
        <v>GENERAL SERVICE 50 TO 999 KW SERVICE CLASSIFICATION</v>
      </c>
      <c r="C1027" s="117"/>
      <c r="D1027" s="143" t="s">
        <v>166</v>
      </c>
      <c r="E1027" s="119"/>
      <c r="F1027" s="127"/>
      <c r="G1027" s="142">
        <f>IF($E1006&gt;0, $E1006, $E1005)</f>
        <v>160</v>
      </c>
      <c r="H1027" s="122">
        <f>G1027*F1027</f>
        <v>0</v>
      </c>
      <c r="I1027" s="128">
        <v>0</v>
      </c>
      <c r="J1027" s="142">
        <f>IF($E1006&gt;0, $E1006, $E1005)</f>
        <v>160</v>
      </c>
      <c r="K1027" s="122">
        <f>J1027*I1027</f>
        <v>0</v>
      </c>
      <c r="L1027" s="125">
        <f t="shared" si="149"/>
        <v>0</v>
      </c>
      <c r="M1027" s="126" t="str">
        <f>IF(ISERROR(L1027/H1027), "", L1027/H1027)</f>
        <v/>
      </c>
    </row>
    <row r="1028" spans="1:13" ht="25.5" x14ac:dyDescent="0.25">
      <c r="A1028" s="100" t="str">
        <f t="shared" si="152"/>
        <v>GENERAL SERVICE 50 TO 999 KW SERVICE CLASSIFICATION</v>
      </c>
      <c r="B1028" s="105" t="s">
        <v>167</v>
      </c>
      <c r="C1028" s="117">
        <f>B20</f>
        <v>18</v>
      </c>
      <c r="D1028" s="147" t="s">
        <v>168</v>
      </c>
      <c r="E1028" s="148"/>
      <c r="F1028" s="149"/>
      <c r="G1028" s="150"/>
      <c r="H1028" s="151">
        <f>SUM(H1019:H1027)</f>
        <v>754.38200000000006</v>
      </c>
      <c r="I1028" s="152"/>
      <c r="J1028" s="153"/>
      <c r="K1028" s="151">
        <f>SUM(K1019:K1027)</f>
        <v>595.47</v>
      </c>
      <c r="L1028" s="138">
        <f t="shared" si="149"/>
        <v>-158.91200000000003</v>
      </c>
      <c r="M1028" s="139">
        <f>IF((H1028)=0,"",(L1028/H1028))</f>
        <v>-0.21065189784485847</v>
      </c>
    </row>
    <row r="1029" spans="1:13" x14ac:dyDescent="0.25">
      <c r="A1029" s="100" t="str">
        <f t="shared" si="152"/>
        <v>GENERAL SERVICE 50 TO 999 KW SERVICE CLASSIFICATION</v>
      </c>
      <c r="C1029" s="117"/>
      <c r="D1029" s="154" t="s">
        <v>169</v>
      </c>
      <c r="E1029" s="119"/>
      <c r="F1029" s="127">
        <v>2.6217000000000001</v>
      </c>
      <c r="G1029" s="141">
        <f>IF($E1006&gt;0, $E1006, $E1005*$E1007)</f>
        <v>160</v>
      </c>
      <c r="H1029" s="122">
        <f>G1029*F1029</f>
        <v>419.47200000000004</v>
      </c>
      <c r="I1029" s="128">
        <v>2.4868999999999999</v>
      </c>
      <c r="J1029" s="141">
        <f>IF($E1006&gt;0, $E1006, $E1005*$E1008)</f>
        <v>160</v>
      </c>
      <c r="K1029" s="122">
        <f>J1029*I1029</f>
        <v>397.904</v>
      </c>
      <c r="L1029" s="125">
        <f t="shared" si="149"/>
        <v>-21.56800000000004</v>
      </c>
      <c r="M1029" s="126">
        <f>IF(ISERROR(L1029/H1029), "", L1029/H1029)</f>
        <v>-5.1417019491169946E-2</v>
      </c>
    </row>
    <row r="1030" spans="1:13" ht="25.5" x14ac:dyDescent="0.25">
      <c r="A1030" s="100" t="str">
        <f t="shared" si="152"/>
        <v>GENERAL SERVICE 50 TO 999 KW SERVICE CLASSIFICATION</v>
      </c>
      <c r="C1030" s="117"/>
      <c r="D1030" s="155" t="s">
        <v>170</v>
      </c>
      <c r="E1030" s="119"/>
      <c r="F1030" s="127">
        <v>2.2145999999999999</v>
      </c>
      <c r="G1030" s="141">
        <f>IF($E1006&gt;0, $E1006, $E1005*$E1007)</f>
        <v>160</v>
      </c>
      <c r="H1030" s="122">
        <f>G1030*F1030</f>
        <v>354.33600000000001</v>
      </c>
      <c r="I1030" s="128">
        <v>2.0933000000000002</v>
      </c>
      <c r="J1030" s="141">
        <f>IF($E1006&gt;0, $E1006, $E1005*$E1008)</f>
        <v>160</v>
      </c>
      <c r="K1030" s="122">
        <f>J1030*I1030</f>
        <v>334.928</v>
      </c>
      <c r="L1030" s="125">
        <f t="shared" si="149"/>
        <v>-19.408000000000015</v>
      </c>
      <c r="M1030" s="126">
        <f>IF(ISERROR(L1030/H1030), "", L1030/H1030)</f>
        <v>-5.477287094734945E-2</v>
      </c>
    </row>
    <row r="1031" spans="1:13" ht="25.5" x14ac:dyDescent="0.25">
      <c r="A1031" s="100" t="str">
        <f t="shared" si="152"/>
        <v>GENERAL SERVICE 50 TO 999 KW SERVICE CLASSIFICATION</v>
      </c>
      <c r="B1031" s="105" t="s">
        <v>171</v>
      </c>
      <c r="C1031" s="117">
        <f>B20</f>
        <v>18</v>
      </c>
      <c r="D1031" s="147" t="s">
        <v>172</v>
      </c>
      <c r="E1031" s="132"/>
      <c r="F1031" s="149"/>
      <c r="G1031" s="150"/>
      <c r="H1031" s="151">
        <f>SUM(H1028:H1030)</f>
        <v>1528.19</v>
      </c>
      <c r="I1031" s="152"/>
      <c r="J1031" s="137"/>
      <c r="K1031" s="151">
        <f>SUM(K1028:K1030)</f>
        <v>1328.3020000000001</v>
      </c>
      <c r="L1031" s="138">
        <f t="shared" si="149"/>
        <v>-199.88799999999992</v>
      </c>
      <c r="M1031" s="139">
        <f>IF((H1031)=0,"",(L1031/H1031))</f>
        <v>-0.1308004894679326</v>
      </c>
    </row>
    <row r="1032" spans="1:13" ht="25.5" x14ac:dyDescent="0.25">
      <c r="A1032" s="100" t="str">
        <f t="shared" si="152"/>
        <v>GENERAL SERVICE 50 TO 999 KW SERVICE CLASSIFICATION</v>
      </c>
      <c r="C1032" s="117"/>
      <c r="D1032" s="156" t="s">
        <v>173</v>
      </c>
      <c r="E1032" s="119"/>
      <c r="F1032" s="127">
        <v>3.6000000000000003E-3</v>
      </c>
      <c r="G1032" s="141">
        <f>E1005*E1007</f>
        <v>72864</v>
      </c>
      <c r="H1032" s="157">
        <f t="shared" ref="H1032:H1038" si="154">G1032*F1032</f>
        <v>262.31040000000002</v>
      </c>
      <c r="I1032" s="128">
        <v>3.6000000000000003E-3</v>
      </c>
      <c r="J1032" s="141">
        <f>E1005*E1008</f>
        <v>72864</v>
      </c>
      <c r="K1032" s="157">
        <f t="shared" ref="K1032:K1038" si="155">J1032*I1032</f>
        <v>262.31040000000002</v>
      </c>
      <c r="L1032" s="125">
        <f t="shared" si="149"/>
        <v>0</v>
      </c>
      <c r="M1032" s="126">
        <f t="shared" ref="M1032:M1040" si="156">IF(ISERROR(L1032/H1032), "", L1032/H1032)</f>
        <v>0</v>
      </c>
    </row>
    <row r="1033" spans="1:13" ht="25.5" x14ac:dyDescent="0.25">
      <c r="A1033" s="100" t="str">
        <f t="shared" si="152"/>
        <v>GENERAL SERVICE 50 TO 999 KW SERVICE CLASSIFICATION</v>
      </c>
      <c r="C1033" s="117"/>
      <c r="D1033" s="156" t="s">
        <v>174</v>
      </c>
      <c r="E1033" s="119"/>
      <c r="F1033" s="127">
        <f>'[1]17. Regulatory Charges'!$D$16</f>
        <v>2.9999999999999997E-4</v>
      </c>
      <c r="G1033" s="141">
        <f>E1005*E1007</f>
        <v>72864</v>
      </c>
      <c r="H1033" s="157">
        <f t="shared" si="154"/>
        <v>21.859199999999998</v>
      </c>
      <c r="I1033" s="128">
        <v>2.9999999999999997E-4</v>
      </c>
      <c r="J1033" s="141">
        <f>E1005*E1008</f>
        <v>72864</v>
      </c>
      <c r="K1033" s="157">
        <f t="shared" si="155"/>
        <v>21.859199999999998</v>
      </c>
      <c r="L1033" s="125">
        <f t="shared" si="149"/>
        <v>0</v>
      </c>
      <c r="M1033" s="126">
        <f t="shared" si="156"/>
        <v>0</v>
      </c>
    </row>
    <row r="1034" spans="1:13" x14ac:dyDescent="0.25">
      <c r="A1034" s="100" t="str">
        <f t="shared" si="152"/>
        <v>GENERAL SERVICE 50 TO 999 KW SERVICE CLASSIFICATION</v>
      </c>
      <c r="C1034" s="117"/>
      <c r="D1034" s="158" t="s">
        <v>175</v>
      </c>
      <c r="E1034" s="119"/>
      <c r="F1034" s="145">
        <v>0.25</v>
      </c>
      <c r="G1034" s="121">
        <v>1</v>
      </c>
      <c r="H1034" s="157">
        <f t="shared" si="154"/>
        <v>0.25</v>
      </c>
      <c r="I1034" s="146">
        <f>'[1]17. Regulatory Charges'!$D$17</f>
        <v>0.25</v>
      </c>
      <c r="J1034" s="124">
        <v>1</v>
      </c>
      <c r="K1034" s="157">
        <f t="shared" si="155"/>
        <v>0.25</v>
      </c>
      <c r="L1034" s="125">
        <f t="shared" si="149"/>
        <v>0</v>
      </c>
      <c r="M1034" s="126">
        <f t="shared" si="156"/>
        <v>0</v>
      </c>
    </row>
    <row r="1035" spans="1:13" ht="25.5" x14ac:dyDescent="0.25">
      <c r="A1035" s="100" t="str">
        <f t="shared" si="152"/>
        <v>GENERAL SERVICE 50 TO 999 KW SERVICE CLASSIFICATION</v>
      </c>
      <c r="C1035" s="117"/>
      <c r="D1035" s="156" t="s">
        <v>176</v>
      </c>
      <c r="E1035" s="119"/>
      <c r="F1035" s="127"/>
      <c r="G1035" s="141"/>
      <c r="H1035" s="157"/>
      <c r="I1035" s="128"/>
      <c r="J1035" s="141"/>
      <c r="K1035" s="157"/>
      <c r="L1035" s="125"/>
      <c r="M1035" s="126"/>
    </row>
    <row r="1036" spans="1:13" x14ac:dyDescent="0.25">
      <c r="A1036" s="100" t="str">
        <f t="shared" si="152"/>
        <v>GENERAL SERVICE 50 TO 999 KW SERVICE CLASSIFICATION</v>
      </c>
      <c r="B1036" s="105" t="s">
        <v>117</v>
      </c>
      <c r="C1036" s="117"/>
      <c r="D1036" s="159" t="s">
        <v>177</v>
      </c>
      <c r="E1036" s="119"/>
      <c r="F1036" s="160">
        <f>OffPeak</f>
        <v>6.5000000000000002E-2</v>
      </c>
      <c r="G1036" s="161">
        <f>IF(AND(E1005*12&gt;=150000),0.65*E1005*E1007,0.65*E1005)</f>
        <v>47361.600000000006</v>
      </c>
      <c r="H1036" s="157">
        <f t="shared" si="154"/>
        <v>3078.5040000000004</v>
      </c>
      <c r="I1036" s="162">
        <f>OffPeak</f>
        <v>6.5000000000000002E-2</v>
      </c>
      <c r="J1036" s="161">
        <f>IF(AND(E1005*12&gt;=150000),0.65*E1005*E1008,0.65*E1005)</f>
        <v>47361.600000000006</v>
      </c>
      <c r="K1036" s="157">
        <f t="shared" si="155"/>
        <v>3078.5040000000004</v>
      </c>
      <c r="L1036" s="125">
        <f>K1036-H1036</f>
        <v>0</v>
      </c>
      <c r="M1036" s="126">
        <f t="shared" si="156"/>
        <v>0</v>
      </c>
    </row>
    <row r="1037" spans="1:13" x14ac:dyDescent="0.25">
      <c r="A1037" s="100" t="str">
        <f t="shared" si="152"/>
        <v>GENERAL SERVICE 50 TO 999 KW SERVICE CLASSIFICATION</v>
      </c>
      <c r="B1037" s="105" t="s">
        <v>117</v>
      </c>
      <c r="C1037" s="117"/>
      <c r="D1037" s="159" t="s">
        <v>178</v>
      </c>
      <c r="E1037" s="119"/>
      <c r="F1037" s="160">
        <f>MidPeak</f>
        <v>9.4E-2</v>
      </c>
      <c r="G1037" s="161">
        <f>IF(AND(E1005*12&gt;=150000),0.17*E1005*E1007,0.17*E1005)</f>
        <v>12386.880000000001</v>
      </c>
      <c r="H1037" s="157">
        <f t="shared" si="154"/>
        <v>1164.36672</v>
      </c>
      <c r="I1037" s="162">
        <f>MidPeak</f>
        <v>9.4E-2</v>
      </c>
      <c r="J1037" s="161">
        <f>IF(AND(E1005*12&gt;=150000),0.17*E1005*E1008,0.17*E1005)</f>
        <v>12386.880000000001</v>
      </c>
      <c r="K1037" s="157">
        <f t="shared" si="155"/>
        <v>1164.36672</v>
      </c>
      <c r="L1037" s="125">
        <f>K1037-H1037</f>
        <v>0</v>
      </c>
      <c r="M1037" s="126">
        <f t="shared" si="156"/>
        <v>0</v>
      </c>
    </row>
    <row r="1038" spans="1:13" ht="15.75" thickBot="1" x14ac:dyDescent="0.3">
      <c r="A1038" s="100" t="str">
        <f t="shared" si="152"/>
        <v>GENERAL SERVICE 50 TO 999 KW SERVICE CLASSIFICATION</v>
      </c>
      <c r="B1038" s="105" t="s">
        <v>117</v>
      </c>
      <c r="C1038" s="117"/>
      <c r="D1038" s="105" t="s">
        <v>179</v>
      </c>
      <c r="E1038" s="119"/>
      <c r="F1038" s="160">
        <f>OnPeak</f>
        <v>0.13200000000000001</v>
      </c>
      <c r="G1038" s="161">
        <f>IF(AND(E1005*12&gt;=150000),0.18*E1005*E1007,0.18*E1005)</f>
        <v>13115.52</v>
      </c>
      <c r="H1038" s="157">
        <f t="shared" si="154"/>
        <v>1731.2486400000003</v>
      </c>
      <c r="I1038" s="162">
        <f>OnPeak</f>
        <v>0.13200000000000001</v>
      </c>
      <c r="J1038" s="161">
        <f>IF(AND(E1005*12&gt;=150000),0.18*E1005*E1008,0.18*E1005)</f>
        <v>13115.52</v>
      </c>
      <c r="K1038" s="157">
        <f t="shared" si="155"/>
        <v>1731.2486400000003</v>
      </c>
      <c r="L1038" s="125">
        <f>K1038-H1038</f>
        <v>0</v>
      </c>
      <c r="M1038" s="126">
        <f t="shared" si="156"/>
        <v>0</v>
      </c>
    </row>
    <row r="1039" spans="1:13" ht="15.75" hidden="1" thickBot="1" x14ac:dyDescent="0.3">
      <c r="A1039" s="100" t="str">
        <f t="shared" si="152"/>
        <v>GENERAL SERVICE 50 TO 999 KW SERVICE CLASSIFICATION</v>
      </c>
      <c r="B1039" s="100" t="s">
        <v>180</v>
      </c>
      <c r="C1039" s="117"/>
      <c r="D1039" s="159" t="s">
        <v>181</v>
      </c>
      <c r="E1039" s="119"/>
      <c r="F1039" s="163">
        <v>0.1101</v>
      </c>
      <c r="G1039" s="161">
        <f>IF(AND(E1005*12&gt;=150000),E1005*E1007,E1005)</f>
        <v>72864</v>
      </c>
      <c r="H1039" s="157">
        <f>G1039*F1039</f>
        <v>8022.3263999999999</v>
      </c>
      <c r="I1039" s="164">
        <f>F1039</f>
        <v>0.1101</v>
      </c>
      <c r="J1039" s="161">
        <f>IF(AND(E1005*12&gt;=150000),E1005*E1008,E1005)</f>
        <v>72864</v>
      </c>
      <c r="K1039" s="157">
        <f>J1039*I1039</f>
        <v>8022.3263999999999</v>
      </c>
      <c r="L1039" s="125">
        <f>K1039-H1039</f>
        <v>0</v>
      </c>
      <c r="M1039" s="126">
        <f t="shared" si="156"/>
        <v>0</v>
      </c>
    </row>
    <row r="1040" spans="1:13" ht="15.75" hidden="1" thickBot="1" x14ac:dyDescent="0.3">
      <c r="A1040" s="100" t="str">
        <f t="shared" si="152"/>
        <v>GENERAL SERVICE 50 TO 999 KW SERVICE CLASSIFICATION</v>
      </c>
      <c r="B1040" s="100" t="s">
        <v>121</v>
      </c>
      <c r="C1040" s="117"/>
      <c r="D1040" s="159" t="s">
        <v>182</v>
      </c>
      <c r="E1040" s="119"/>
      <c r="F1040" s="163">
        <v>0.1101</v>
      </c>
      <c r="G1040" s="161">
        <f>IF(AND(E1005*12&gt;=150000),E1005*E1007,E1005)</f>
        <v>72864</v>
      </c>
      <c r="H1040" s="157">
        <f>G1040*F1040</f>
        <v>8022.3263999999999</v>
      </c>
      <c r="I1040" s="164">
        <f>F1040</f>
        <v>0.1101</v>
      </c>
      <c r="J1040" s="161">
        <f>IF(AND(E1005*12&gt;=150000),E1005*E1008,E1005)</f>
        <v>72864</v>
      </c>
      <c r="K1040" s="157">
        <f>J1040*I1040</f>
        <v>8022.3263999999999</v>
      </c>
      <c r="L1040" s="125">
        <f>K1040-H1040</f>
        <v>0</v>
      </c>
      <c r="M1040" s="126">
        <f t="shared" si="156"/>
        <v>0</v>
      </c>
    </row>
    <row r="1041" spans="1:13" ht="15.75" thickBot="1" x14ac:dyDescent="0.3">
      <c r="A1041" s="100" t="str">
        <f t="shared" si="152"/>
        <v>GENERAL SERVICE 50 TO 999 KW SERVICE CLASSIFICATION</v>
      </c>
      <c r="B1041" s="105"/>
      <c r="C1041" s="117"/>
      <c r="D1041" s="165"/>
      <c r="E1041" s="166"/>
      <c r="F1041" s="167"/>
      <c r="G1041" s="168"/>
      <c r="H1041" s="169"/>
      <c r="I1041" s="167"/>
      <c r="J1041" s="170"/>
      <c r="K1041" s="169"/>
      <c r="L1041" s="171"/>
      <c r="M1041" s="172"/>
    </row>
    <row r="1042" spans="1:13" x14ac:dyDescent="0.25">
      <c r="A1042" s="100" t="str">
        <f t="shared" si="152"/>
        <v>GENERAL SERVICE 50 TO 999 KW SERVICE CLASSIFICATION</v>
      </c>
      <c r="B1042" s="105" t="s">
        <v>117</v>
      </c>
      <c r="C1042" s="117"/>
      <c r="D1042" s="173" t="s">
        <v>183</v>
      </c>
      <c r="E1042" s="158"/>
      <c r="F1042" s="174"/>
      <c r="G1042" s="175"/>
      <c r="H1042" s="176">
        <f>SUM(H1032:H1038,H1031)</f>
        <v>7786.7289600000004</v>
      </c>
      <c r="I1042" s="177"/>
      <c r="J1042" s="177"/>
      <c r="K1042" s="176">
        <f>SUM(K1032:K1038,K1031)</f>
        <v>7586.8409599999995</v>
      </c>
      <c r="L1042" s="178">
        <f>K1042-H1042</f>
        <v>-199.88800000000083</v>
      </c>
      <c r="M1042" s="179">
        <f>IF((H1042)=0,"",(L1042/H1042))</f>
        <v>-2.5670342582464926E-2</v>
      </c>
    </row>
    <row r="1043" spans="1:13" x14ac:dyDescent="0.25">
      <c r="A1043" s="100" t="str">
        <f t="shared" si="152"/>
        <v>GENERAL SERVICE 50 TO 999 KW SERVICE CLASSIFICATION</v>
      </c>
      <c r="B1043" s="105" t="s">
        <v>117</v>
      </c>
      <c r="C1043" s="117"/>
      <c r="D1043" s="180" t="s">
        <v>184</v>
      </c>
      <c r="E1043" s="158"/>
      <c r="F1043" s="174">
        <v>0.13</v>
      </c>
      <c r="G1043" s="181"/>
      <c r="H1043" s="182">
        <f>H1042*F1043</f>
        <v>1012.2747648000001</v>
      </c>
      <c r="I1043" s="183">
        <v>0.13</v>
      </c>
      <c r="J1043" s="121"/>
      <c r="K1043" s="182">
        <f>K1042*I1043</f>
        <v>986.28932479999992</v>
      </c>
      <c r="L1043" s="184">
        <f>K1043-H1043</f>
        <v>-25.985440000000153</v>
      </c>
      <c r="M1043" s="185">
        <f>IF((H1043)=0,"",(L1043/H1043))</f>
        <v>-2.5670342582464971E-2</v>
      </c>
    </row>
    <row r="1044" spans="1:13" x14ac:dyDescent="0.25">
      <c r="A1044" s="100" t="str">
        <f t="shared" si="152"/>
        <v>GENERAL SERVICE 50 TO 999 KW SERVICE CLASSIFICATION</v>
      </c>
      <c r="B1044" s="105" t="s">
        <v>117</v>
      </c>
      <c r="C1044" s="117"/>
      <c r="D1044" s="180" t="s">
        <v>185</v>
      </c>
      <c r="E1044" s="158"/>
      <c r="F1044" s="174">
        <v>0.08</v>
      </c>
      <c r="G1044" s="181"/>
      <c r="H1044" s="182">
        <v>0</v>
      </c>
      <c r="I1044" s="174">
        <v>0.08</v>
      </c>
      <c r="J1044" s="121"/>
      <c r="K1044" s="182">
        <v>0</v>
      </c>
      <c r="L1044" s="184">
        <f>K1044-H1044</f>
        <v>0</v>
      </c>
      <c r="M1044" s="185"/>
    </row>
    <row r="1045" spans="1:13" ht="15.75" thickBot="1" x14ac:dyDescent="0.3">
      <c r="A1045" s="100" t="str">
        <f t="shared" si="152"/>
        <v>GENERAL SERVICE 50 TO 999 KW SERVICE CLASSIFICATION</v>
      </c>
      <c r="B1045" s="105" t="s">
        <v>186</v>
      </c>
      <c r="C1045" s="117">
        <f>B20</f>
        <v>18</v>
      </c>
      <c r="D1045" s="301" t="s">
        <v>187</v>
      </c>
      <c r="E1045" s="301"/>
      <c r="F1045" s="186"/>
      <c r="G1045" s="187"/>
      <c r="H1045" s="188">
        <f>H1042+H1043+H1044</f>
        <v>8799.0037248000008</v>
      </c>
      <c r="I1045" s="189"/>
      <c r="J1045" s="189"/>
      <c r="K1045" s="190">
        <f>K1042+K1043+K1044</f>
        <v>8573.1302847999996</v>
      </c>
      <c r="L1045" s="191">
        <f>K1045-H1045</f>
        <v>-225.87344000000121</v>
      </c>
      <c r="M1045" s="192">
        <f>IF((H1045)=0,"",(L1045/H1045))</f>
        <v>-2.5670342582464954E-2</v>
      </c>
    </row>
    <row r="1046" spans="1:13" ht="15.75" hidden="1" thickBot="1" x14ac:dyDescent="0.3">
      <c r="A1046" s="100" t="str">
        <f t="shared" si="152"/>
        <v>GENERAL SERVICE 50 TO 999 KW SERVICE CLASSIFICATION</v>
      </c>
      <c r="B1046" s="100" t="s">
        <v>117</v>
      </c>
      <c r="C1046" s="117"/>
      <c r="D1046" s="165"/>
      <c r="E1046" s="166"/>
      <c r="F1046" s="167"/>
      <c r="G1046" s="168"/>
      <c r="H1046" s="169"/>
      <c r="I1046" s="167"/>
      <c r="J1046" s="170"/>
      <c r="K1046" s="169"/>
      <c r="L1046" s="171"/>
      <c r="M1046" s="172"/>
    </row>
    <row r="1047" spans="1:13" ht="15.75" hidden="1" thickBot="1" x14ac:dyDescent="0.3">
      <c r="A1047" s="100" t="str">
        <f t="shared" si="152"/>
        <v>GENERAL SERVICE 50 TO 999 KW SERVICE CLASSIFICATION</v>
      </c>
      <c r="B1047" s="100" t="s">
        <v>180</v>
      </c>
      <c r="C1047" s="117"/>
      <c r="D1047" s="173" t="s">
        <v>188</v>
      </c>
      <c r="E1047" s="158"/>
      <c r="F1047" s="174"/>
      <c r="G1047" s="175"/>
      <c r="H1047" s="176">
        <f>SUM(H1039,H1032:H1035,H1031)</f>
        <v>9834.9360000000015</v>
      </c>
      <c r="I1047" s="177"/>
      <c r="J1047" s="177"/>
      <c r="K1047" s="176">
        <f>SUM(K1039,K1032:K1035,K1031)</f>
        <v>9635.0480000000007</v>
      </c>
      <c r="L1047" s="178">
        <f>K1047-H1047</f>
        <v>-199.88800000000083</v>
      </c>
      <c r="M1047" s="179">
        <f>IF((H1047)=0,"",(L1047/H1047))</f>
        <v>-2.0324280707063148E-2</v>
      </c>
    </row>
    <row r="1048" spans="1:13" ht="15.75" hidden="1" thickBot="1" x14ac:dyDescent="0.3">
      <c r="A1048" s="100" t="str">
        <f t="shared" si="152"/>
        <v>GENERAL SERVICE 50 TO 999 KW SERVICE CLASSIFICATION</v>
      </c>
      <c r="B1048" s="100" t="s">
        <v>180</v>
      </c>
      <c r="C1048" s="117"/>
      <c r="D1048" s="180" t="s">
        <v>184</v>
      </c>
      <c r="E1048" s="158"/>
      <c r="F1048" s="174">
        <v>0.13</v>
      </c>
      <c r="G1048" s="175"/>
      <c r="H1048" s="182">
        <f>H1047*F1048</f>
        <v>1278.5416800000003</v>
      </c>
      <c r="I1048" s="174">
        <v>0.13</v>
      </c>
      <c r="J1048" s="183"/>
      <c r="K1048" s="182">
        <f>K1047*I1048</f>
        <v>1252.5562400000001</v>
      </c>
      <c r="L1048" s="184">
        <f>K1048-H1048</f>
        <v>-25.985440000000153</v>
      </c>
      <c r="M1048" s="185">
        <f>IF((H1048)=0,"",(L1048/H1048))</f>
        <v>-2.0324280707063182E-2</v>
      </c>
    </row>
    <row r="1049" spans="1:13" ht="15.75" hidden="1" thickBot="1" x14ac:dyDescent="0.3">
      <c r="A1049" s="100" t="str">
        <f t="shared" si="152"/>
        <v>GENERAL SERVICE 50 TO 999 KW SERVICE CLASSIFICATION</v>
      </c>
      <c r="B1049" s="100" t="s">
        <v>180</v>
      </c>
      <c r="C1049" s="117"/>
      <c r="D1049" s="180" t="s">
        <v>185</v>
      </c>
      <c r="E1049" s="158"/>
      <c r="F1049" s="174">
        <v>0.08</v>
      </c>
      <c r="G1049" s="175"/>
      <c r="H1049" s="182">
        <v>0</v>
      </c>
      <c r="I1049" s="174">
        <v>0.08</v>
      </c>
      <c r="J1049" s="183"/>
      <c r="K1049" s="182">
        <v>0</v>
      </c>
      <c r="L1049" s="184"/>
      <c r="M1049" s="185"/>
    </row>
    <row r="1050" spans="1:13" ht="15.75" hidden="1" thickBot="1" x14ac:dyDescent="0.3">
      <c r="A1050" s="100" t="str">
        <f t="shared" si="152"/>
        <v>GENERAL SERVICE 50 TO 999 KW SERVICE CLASSIFICATION</v>
      </c>
      <c r="B1050" s="100" t="s">
        <v>189</v>
      </c>
      <c r="C1050" s="117"/>
      <c r="D1050" s="301" t="s">
        <v>188</v>
      </c>
      <c r="E1050" s="301"/>
      <c r="F1050" s="193"/>
      <c r="G1050" s="194"/>
      <c r="H1050" s="188">
        <f>SUM(H1047,H1048)</f>
        <v>11113.477680000002</v>
      </c>
      <c r="I1050" s="195"/>
      <c r="J1050" s="195"/>
      <c r="K1050" s="188">
        <f>SUM(K1047,K1048)</f>
        <v>10887.604240000001</v>
      </c>
      <c r="L1050" s="196">
        <f>K1050-H1050</f>
        <v>-225.87344000000121</v>
      </c>
      <c r="M1050" s="197">
        <f>IF((H1050)=0,"",(L1050/H1050))</f>
        <v>-2.0324280707063172E-2</v>
      </c>
    </row>
    <row r="1051" spans="1:13" ht="15.75" hidden="1" thickBot="1" x14ac:dyDescent="0.3">
      <c r="A1051" s="100" t="str">
        <f t="shared" si="152"/>
        <v>GENERAL SERVICE 50 TO 999 KW SERVICE CLASSIFICATION</v>
      </c>
      <c r="B1051" s="100" t="s">
        <v>180</v>
      </c>
      <c r="C1051" s="117"/>
      <c r="D1051" s="165"/>
      <c r="E1051" s="166"/>
      <c r="F1051" s="198"/>
      <c r="G1051" s="199"/>
      <c r="H1051" s="200"/>
      <c r="I1051" s="198"/>
      <c r="J1051" s="168"/>
      <c r="K1051" s="200"/>
      <c r="L1051" s="201"/>
      <c r="M1051" s="172"/>
    </row>
    <row r="1052" spans="1:13" ht="15.75" hidden="1" thickBot="1" x14ac:dyDescent="0.3">
      <c r="A1052" s="100" t="str">
        <f t="shared" si="152"/>
        <v>GENERAL SERVICE 50 TO 999 KW SERVICE CLASSIFICATION</v>
      </c>
      <c r="B1052" s="100" t="s">
        <v>121</v>
      </c>
      <c r="C1052" s="117"/>
      <c r="D1052" s="173" t="s">
        <v>190</v>
      </c>
      <c r="E1052" s="158"/>
      <c r="F1052" s="174"/>
      <c r="G1052" s="175"/>
      <c r="H1052" s="176">
        <f>SUM(H1040,H1032:H1035,H1031)</f>
        <v>9834.9360000000015</v>
      </c>
      <c r="I1052" s="177"/>
      <c r="J1052" s="177"/>
      <c r="K1052" s="176">
        <f>SUM(K1040,K1032:K1035,K1031)</f>
        <v>9635.0480000000007</v>
      </c>
      <c r="L1052" s="178">
        <f>K1052-H1052</f>
        <v>-199.88800000000083</v>
      </c>
      <c r="M1052" s="179">
        <f>IF((H1052)=0,"",(L1052/H1052))</f>
        <v>-2.0324280707063148E-2</v>
      </c>
    </row>
    <row r="1053" spans="1:13" ht="15.75" hidden="1" thickBot="1" x14ac:dyDescent="0.3">
      <c r="A1053" s="100" t="str">
        <f t="shared" si="152"/>
        <v>GENERAL SERVICE 50 TO 999 KW SERVICE CLASSIFICATION</v>
      </c>
      <c r="B1053" s="100" t="s">
        <v>121</v>
      </c>
      <c r="C1053" s="117"/>
      <c r="D1053" s="180" t="s">
        <v>184</v>
      </c>
      <c r="E1053" s="158"/>
      <c r="F1053" s="174">
        <v>0.13</v>
      </c>
      <c r="G1053" s="175"/>
      <c r="H1053" s="182">
        <f>H1052*F1053</f>
        <v>1278.5416800000003</v>
      </c>
      <c r="I1053" s="174">
        <v>0.13</v>
      </c>
      <c r="J1053" s="183"/>
      <c r="K1053" s="182">
        <f>K1052*I1053</f>
        <v>1252.5562400000001</v>
      </c>
      <c r="L1053" s="184">
        <f>K1053-H1053</f>
        <v>-25.985440000000153</v>
      </c>
      <c r="M1053" s="185">
        <f>IF((H1053)=0,"",(L1053/H1053))</f>
        <v>-2.0324280707063182E-2</v>
      </c>
    </row>
    <row r="1054" spans="1:13" ht="15.75" hidden="1" thickBot="1" x14ac:dyDescent="0.3">
      <c r="A1054" s="100" t="str">
        <f t="shared" si="152"/>
        <v>GENERAL SERVICE 50 TO 999 KW SERVICE CLASSIFICATION</v>
      </c>
      <c r="B1054" s="100" t="s">
        <v>121</v>
      </c>
      <c r="C1054" s="117"/>
      <c r="D1054" s="180" t="s">
        <v>185</v>
      </c>
      <c r="E1054" s="158"/>
      <c r="F1054" s="174">
        <v>0.08</v>
      </c>
      <c r="G1054" s="175"/>
      <c r="H1054" s="182">
        <v>0</v>
      </c>
      <c r="I1054" s="174">
        <v>0.08</v>
      </c>
      <c r="J1054" s="183"/>
      <c r="K1054" s="182">
        <v>0</v>
      </c>
      <c r="L1054" s="184"/>
      <c r="M1054" s="185"/>
    </row>
    <row r="1055" spans="1:13" ht="15.75" hidden="1" thickBot="1" x14ac:dyDescent="0.3">
      <c r="A1055" s="100" t="str">
        <f t="shared" si="152"/>
        <v>GENERAL SERVICE 50 TO 999 KW SERVICE CLASSIFICATION</v>
      </c>
      <c r="B1055" s="100" t="s">
        <v>191</v>
      </c>
      <c r="C1055" s="117"/>
      <c r="D1055" s="301" t="s">
        <v>190</v>
      </c>
      <c r="E1055" s="301"/>
      <c r="F1055" s="193"/>
      <c r="G1055" s="194"/>
      <c r="H1055" s="188">
        <f>SUM(H1052,H1053)</f>
        <v>11113.477680000002</v>
      </c>
      <c r="I1055" s="195"/>
      <c r="J1055" s="195"/>
      <c r="K1055" s="188">
        <f>SUM(K1052,K1053)</f>
        <v>10887.604240000001</v>
      </c>
      <c r="L1055" s="196">
        <f>K1055-H1055</f>
        <v>-225.87344000000121</v>
      </c>
      <c r="M1055" s="197">
        <f>IF((H1055)=0,"",(L1055/H1055))</f>
        <v>-2.0324280707063172E-2</v>
      </c>
    </row>
    <row r="1056" spans="1:13" ht="15.75" thickBot="1" x14ac:dyDescent="0.3">
      <c r="A1056" s="100" t="str">
        <f t="shared" si="152"/>
        <v>GENERAL SERVICE 50 TO 999 KW SERVICE CLASSIFICATION</v>
      </c>
      <c r="B1056" s="100" t="s">
        <v>121</v>
      </c>
      <c r="C1056" s="117"/>
      <c r="D1056" s="165"/>
      <c r="E1056" s="166"/>
      <c r="F1056" s="202"/>
      <c r="G1056" s="203"/>
      <c r="H1056" s="204"/>
      <c r="I1056" s="202"/>
      <c r="J1056" s="205"/>
      <c r="K1056" s="204"/>
      <c r="L1056" s="206"/>
      <c r="M1056" s="207"/>
    </row>
  </sheetData>
  <sheetProtection password="CC7B" sheet="1" objects="1" scenarios="1"/>
  <mergeCells count="227">
    <mergeCell ref="D1045:E1045"/>
    <mergeCell ref="D1050:E1050"/>
    <mergeCell ref="D1055:E1055"/>
    <mergeCell ref="E1003:J1003"/>
    <mergeCell ref="E1004:G1004"/>
    <mergeCell ref="F1010:H1010"/>
    <mergeCell ref="I1010:K1010"/>
    <mergeCell ref="L1010:M1010"/>
    <mergeCell ref="E1011:E1012"/>
    <mergeCell ref="L1011:L1012"/>
    <mergeCell ref="M1011:M1012"/>
    <mergeCell ref="E955:E956"/>
    <mergeCell ref="L955:L956"/>
    <mergeCell ref="M955:M956"/>
    <mergeCell ref="D989:E989"/>
    <mergeCell ref="D994:E994"/>
    <mergeCell ref="D999:E999"/>
    <mergeCell ref="D943:E943"/>
    <mergeCell ref="E947:J947"/>
    <mergeCell ref="E948:G948"/>
    <mergeCell ref="F954:H954"/>
    <mergeCell ref="I954:K954"/>
    <mergeCell ref="L954:M954"/>
    <mergeCell ref="L898:M898"/>
    <mergeCell ref="E899:E900"/>
    <mergeCell ref="L899:L900"/>
    <mergeCell ref="M899:M900"/>
    <mergeCell ref="D933:E933"/>
    <mergeCell ref="D938:E938"/>
    <mergeCell ref="D877:E877"/>
    <mergeCell ref="D882:E882"/>
    <mergeCell ref="D887:E887"/>
    <mergeCell ref="E891:J891"/>
    <mergeCell ref="E892:G892"/>
    <mergeCell ref="F898:H898"/>
    <mergeCell ref="I898:K898"/>
    <mergeCell ref="E835:J835"/>
    <mergeCell ref="E836:G836"/>
    <mergeCell ref="F842:H842"/>
    <mergeCell ref="I842:K842"/>
    <mergeCell ref="L842:M842"/>
    <mergeCell ref="E843:E844"/>
    <mergeCell ref="L843:L844"/>
    <mergeCell ref="M843:M844"/>
    <mergeCell ref="E787:E788"/>
    <mergeCell ref="L787:L788"/>
    <mergeCell ref="M787:M788"/>
    <mergeCell ref="D821:E821"/>
    <mergeCell ref="D826:E826"/>
    <mergeCell ref="D831:E831"/>
    <mergeCell ref="D775:E775"/>
    <mergeCell ref="E779:J779"/>
    <mergeCell ref="E780:G780"/>
    <mergeCell ref="F786:H786"/>
    <mergeCell ref="I786:K786"/>
    <mergeCell ref="L786:M786"/>
    <mergeCell ref="L730:M730"/>
    <mergeCell ref="E731:E732"/>
    <mergeCell ref="L731:L732"/>
    <mergeCell ref="M731:M732"/>
    <mergeCell ref="D765:E765"/>
    <mergeCell ref="D770:E770"/>
    <mergeCell ref="D709:E709"/>
    <mergeCell ref="D714:E714"/>
    <mergeCell ref="D719:E719"/>
    <mergeCell ref="E723:J723"/>
    <mergeCell ref="E724:G724"/>
    <mergeCell ref="F730:H730"/>
    <mergeCell ref="I730:K730"/>
    <mergeCell ref="E667:J667"/>
    <mergeCell ref="E668:G668"/>
    <mergeCell ref="F674:H674"/>
    <mergeCell ref="I674:K674"/>
    <mergeCell ref="L674:M674"/>
    <mergeCell ref="E675:E676"/>
    <mergeCell ref="L675:L676"/>
    <mergeCell ref="M675:M676"/>
    <mergeCell ref="E619:E620"/>
    <mergeCell ref="L619:L620"/>
    <mergeCell ref="M619:M620"/>
    <mergeCell ref="D653:E653"/>
    <mergeCell ref="D658:E658"/>
    <mergeCell ref="D663:E663"/>
    <mergeCell ref="D607:E607"/>
    <mergeCell ref="E611:J611"/>
    <mergeCell ref="E612:G612"/>
    <mergeCell ref="F618:H618"/>
    <mergeCell ref="I618:K618"/>
    <mergeCell ref="L618:M618"/>
    <mergeCell ref="L562:M562"/>
    <mergeCell ref="E563:E564"/>
    <mergeCell ref="L563:L564"/>
    <mergeCell ref="M563:M564"/>
    <mergeCell ref="D597:E597"/>
    <mergeCell ref="D602:E602"/>
    <mergeCell ref="D541:E541"/>
    <mergeCell ref="D546:E546"/>
    <mergeCell ref="D551:E551"/>
    <mergeCell ref="E555:J555"/>
    <mergeCell ref="E556:G556"/>
    <mergeCell ref="F562:H562"/>
    <mergeCell ref="I562:K562"/>
    <mergeCell ref="E499:J499"/>
    <mergeCell ref="E500:G500"/>
    <mergeCell ref="F506:H506"/>
    <mergeCell ref="I506:K506"/>
    <mergeCell ref="L506:M506"/>
    <mergeCell ref="E507:E508"/>
    <mergeCell ref="L507:L508"/>
    <mergeCell ref="M507:M508"/>
    <mergeCell ref="E451:E452"/>
    <mergeCell ref="L451:L452"/>
    <mergeCell ref="M451:M452"/>
    <mergeCell ref="D485:E485"/>
    <mergeCell ref="D490:E490"/>
    <mergeCell ref="D495:E495"/>
    <mergeCell ref="D439:E439"/>
    <mergeCell ref="E443:J443"/>
    <mergeCell ref="E444:G444"/>
    <mergeCell ref="F450:H450"/>
    <mergeCell ref="I450:K450"/>
    <mergeCell ref="L450:M450"/>
    <mergeCell ref="L394:M394"/>
    <mergeCell ref="E395:E396"/>
    <mergeCell ref="L395:L396"/>
    <mergeCell ref="M395:M396"/>
    <mergeCell ref="D429:E429"/>
    <mergeCell ref="D434:E434"/>
    <mergeCell ref="D373:E373"/>
    <mergeCell ref="D378:E378"/>
    <mergeCell ref="D383:E383"/>
    <mergeCell ref="E387:J387"/>
    <mergeCell ref="E388:G388"/>
    <mergeCell ref="F394:H394"/>
    <mergeCell ref="I394:K394"/>
    <mergeCell ref="E331:J331"/>
    <mergeCell ref="E332:G332"/>
    <mergeCell ref="F338:H338"/>
    <mergeCell ref="I338:K338"/>
    <mergeCell ref="L338:M338"/>
    <mergeCell ref="E339:E340"/>
    <mergeCell ref="L339:L340"/>
    <mergeCell ref="M339:M340"/>
    <mergeCell ref="E283:E284"/>
    <mergeCell ref="L283:L284"/>
    <mergeCell ref="M283:M284"/>
    <mergeCell ref="D317:E317"/>
    <mergeCell ref="D322:E322"/>
    <mergeCell ref="D327:E327"/>
    <mergeCell ref="D271:E271"/>
    <mergeCell ref="E275:J275"/>
    <mergeCell ref="E276:G276"/>
    <mergeCell ref="F282:H282"/>
    <mergeCell ref="I282:K282"/>
    <mergeCell ref="L282:M282"/>
    <mergeCell ref="L226:M226"/>
    <mergeCell ref="E227:E228"/>
    <mergeCell ref="L227:L228"/>
    <mergeCell ref="M227:M228"/>
    <mergeCell ref="D261:E261"/>
    <mergeCell ref="D266:E266"/>
    <mergeCell ref="D205:E205"/>
    <mergeCell ref="D210:E210"/>
    <mergeCell ref="D215:E215"/>
    <mergeCell ref="E219:J219"/>
    <mergeCell ref="E220:G220"/>
    <mergeCell ref="F226:H226"/>
    <mergeCell ref="I226:K226"/>
    <mergeCell ref="E163:J163"/>
    <mergeCell ref="E164:G164"/>
    <mergeCell ref="F170:H170"/>
    <mergeCell ref="I170:K170"/>
    <mergeCell ref="L170:M170"/>
    <mergeCell ref="E171:E172"/>
    <mergeCell ref="L171:L172"/>
    <mergeCell ref="M171:M172"/>
    <mergeCell ref="E115:E116"/>
    <mergeCell ref="L115:L116"/>
    <mergeCell ref="M115:M116"/>
    <mergeCell ref="D149:E149"/>
    <mergeCell ref="D154:E154"/>
    <mergeCell ref="D159:E159"/>
    <mergeCell ref="D103:E103"/>
    <mergeCell ref="E107:J107"/>
    <mergeCell ref="E108:G108"/>
    <mergeCell ref="F114:H114"/>
    <mergeCell ref="I114:K114"/>
    <mergeCell ref="L114:M114"/>
    <mergeCell ref="L58:M58"/>
    <mergeCell ref="E59:E60"/>
    <mergeCell ref="L59:L60"/>
    <mergeCell ref="M59:M60"/>
    <mergeCell ref="D93:E93"/>
    <mergeCell ref="D98:E98"/>
    <mergeCell ref="D46:F46"/>
    <mergeCell ref="D47:F47"/>
    <mergeCell ref="E51:J51"/>
    <mergeCell ref="E52:G52"/>
    <mergeCell ref="F58:H58"/>
    <mergeCell ref="I58:K58"/>
    <mergeCell ref="D40:F40"/>
    <mergeCell ref="D41:F41"/>
    <mergeCell ref="D42:F42"/>
    <mergeCell ref="D43:F43"/>
    <mergeCell ref="D44:F44"/>
    <mergeCell ref="D45:F45"/>
    <mergeCell ref="D34:F34"/>
    <mergeCell ref="D35:F35"/>
    <mergeCell ref="D36:F36"/>
    <mergeCell ref="D37:F37"/>
    <mergeCell ref="D38:F38"/>
    <mergeCell ref="D39:F39"/>
    <mergeCell ref="D28:F28"/>
    <mergeCell ref="D29:F29"/>
    <mergeCell ref="D30:F30"/>
    <mergeCell ref="D31:F31"/>
    <mergeCell ref="D32:F32"/>
    <mergeCell ref="D33:F33"/>
    <mergeCell ref="D2:F2"/>
    <mergeCell ref="D25:F27"/>
    <mergeCell ref="G25:G27"/>
    <mergeCell ref="H25:M25"/>
    <mergeCell ref="N25:O25"/>
    <mergeCell ref="H26:I26"/>
    <mergeCell ref="J26:K26"/>
    <mergeCell ref="L26:M26"/>
    <mergeCell ref="N26:O26"/>
  </mergeCells>
  <conditionalFormatting sqref="L12:L22">
    <cfRule type="expression" dxfId="7" priority="8">
      <formula>$G12="kW"</formula>
    </cfRule>
  </conditionalFormatting>
  <conditionalFormatting sqref="K12:K22">
    <cfRule type="expression" dxfId="6" priority="5">
      <formula>$G12="kW"</formula>
    </cfRule>
    <cfRule type="expression" dxfId="5" priority="6">
      <formula>$G12="kVa"</formula>
    </cfRule>
    <cfRule type="expression" dxfId="4" priority="7">
      <formula>$G12="kWh"</formula>
    </cfRule>
  </conditionalFormatting>
  <conditionalFormatting sqref="L3:L11">
    <cfRule type="expression" dxfId="3" priority="4">
      <formula>$G3="kW"</formula>
    </cfRule>
  </conditionalFormatting>
  <conditionalFormatting sqref="K3:K11">
    <cfRule type="expression" dxfId="2" priority="1">
      <formula>$G3="kW"</formula>
    </cfRule>
    <cfRule type="expression" dxfId="1" priority="2">
      <formula>$G3="kVa"</formula>
    </cfRule>
    <cfRule type="expression" dxfId="0" priority="3">
      <formula>$G3="kWh"</formula>
    </cfRule>
  </conditionalFormatting>
  <dataValidations count="4">
    <dataValidation type="list" allowBlank="1" showInputMessage="1" showErrorMessage="1" sqref="H3:H22">
      <formula1>"RPP, Non-RPP (Retailer), Non-RPP (Other)"</formula1>
    </dataValidation>
    <dataValidation type="list" allowBlank="1" showInputMessage="1" showErrorMessage="1" sqref="M3:M22">
      <formula1>"N/A, DEMAND, DEMAND - INTERVAL"</formula1>
    </dataValidation>
    <dataValidation allowBlank="1" showInputMessage="1" showErrorMessage="1" sqref="D3:D9"/>
    <dataValidation type="list" allowBlank="1" showInputMessage="1" showErrorMessage="1" prompt="Select Charge Unit - monthly, per kWh, per kW" sqref="E94 E99 E104 E89 E150 E155 E160 E145 E206 E211 E216 E201 E262 E267 E272 E257 E318 E323 E328 E313 E374 E379 E384 E369 E430 E435 E440 E425 E486 E491 E496 E481 E542 E547 E552 E537 E598 E603 E608 E593 E654 E659 E664 E649 E710 E715 E720 E705 E766 E771 E776 E761 E822 E827 E832 E817 E878 E883 E888 E873 E934 E939 E944 E929 E990 E995 E1000 E985 E1046 E1051 E1056 E1041">
      <formula1>"Monthly, per kWh, per kW"</formula1>
    </dataValidation>
  </dataValidations>
  <pageMargins left="0.11811023622047245" right="0.11811023622047245" top="0.35433070866141736" bottom="0.35433070866141736" header="0.11811023622047245" footer="0.11811023622047245"/>
  <pageSetup scale="63" orientation="landscape" verticalDpi="0" r:id="rId1"/>
  <headerFooter>
    <oddFooter>&amp;L&amp;9&amp;Z&amp;F  &amp;A  &amp;D  &amp;T&amp;R&amp;P</oddFooter>
  </headerFooter>
  <rowBreaks count="18" manualBreakCount="18">
    <brk id="49" max="16383" man="1"/>
    <brk id="106" max="16383" man="1"/>
    <brk id="162" max="16383" man="1"/>
    <brk id="218" max="16383" man="1"/>
    <brk id="274" max="16383" man="1"/>
    <brk id="330" max="16383" man="1"/>
    <brk id="386" max="16383" man="1"/>
    <brk id="442" max="16383" man="1"/>
    <brk id="498" max="16383" man="1"/>
    <brk id="554" max="16383" man="1"/>
    <brk id="610" max="16383" man="1"/>
    <brk id="666" max="16383" man="1"/>
    <brk id="722" max="16383" man="1"/>
    <brk id="778" max="16383" man="1"/>
    <brk id="834" max="16383" man="1"/>
    <brk id="890" max="16383" man="1"/>
    <brk id="946" max="16383" man="1"/>
    <brk id="1002" max="16383" man="1"/>
  </rowBreaks>
  <extLst>
    <ext xmlns:x14="http://schemas.microsoft.com/office/spreadsheetml/2009/9/main" uri="{CCE6A557-97BC-4b89-ADB6-D9C93CAAB3DF}">
      <x14:dataValidations xmlns:xm="http://schemas.microsoft.com/office/excel/2006/main" count="1">
        <x14:dataValidation type="list" operator="equal" allowBlank="1" showInputMessage="1" showErrorMessage="1">
          <x14:formula1>
            <xm:f>'[1]2016 List'!#REF!</xm:f>
          </x14:formula1>
          <xm:sqref>D10:D22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Off-line Incremental Rev Rqur</vt:lpstr>
      <vt:lpstr>Rate Riders</vt:lpstr>
      <vt:lpstr>Summary of Bill Impacts</vt:lpstr>
      <vt:lpstr>Bill Impacts - IRM only</vt:lpstr>
      <vt:lpstr>Bill Impacts - ICM only</vt:lpstr>
      <vt:lpstr>Bill Impacts - GARR only</vt:lpstr>
      <vt:lpstr>Bill Impacts - IRM &amp; ICM</vt:lpstr>
      <vt:lpstr>Bill Impacts - IRM no GA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Benum</dc:creator>
  <cp:lastModifiedBy>Tracy Rehberg-Rawlingson</cp:lastModifiedBy>
  <cp:lastPrinted>2018-11-30T14:00:06Z</cp:lastPrinted>
  <dcterms:created xsi:type="dcterms:W3CDTF">2018-08-22T18:39:18Z</dcterms:created>
  <dcterms:modified xsi:type="dcterms:W3CDTF">2018-12-03T20:10:15Z</dcterms:modified>
</cp:coreProperties>
</file>