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M:\OEB Rate Applications\2019 COS Rate Rebasing\Energy+2019 CoS Models - Models to File with Settlement_Links Broken\"/>
    </mc:Choice>
  </mc:AlternateContent>
  <bookViews>
    <workbookView xWindow="0" yWindow="0" windowWidth="20160" windowHeight="906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4" l="1"/>
  <c r="G128" i="4" l="1"/>
  <c r="G126" i="4"/>
  <c r="G134" i="4" l="1"/>
  <c r="H134" i="4" l="1"/>
  <c r="I134" i="4"/>
  <c r="J134" i="4"/>
  <c r="H110" i="4"/>
  <c r="H92" i="4"/>
  <c r="H87" i="4"/>
  <c r="H65" i="4"/>
  <c r="H115" i="4"/>
  <c r="H113" i="4"/>
  <c r="H79" i="4"/>
  <c r="I115" i="4"/>
  <c r="H116" i="4" l="1"/>
  <c r="H126" i="4" s="1"/>
  <c r="H128" i="4" s="1"/>
  <c r="I113" i="4"/>
  <c r="I79" i="4"/>
  <c r="I87" i="4"/>
  <c r="I92" i="4"/>
  <c r="I110" i="4"/>
  <c r="I65" i="4"/>
  <c r="I116" i="4" l="1"/>
  <c r="I126" i="4" s="1"/>
  <c r="I128" i="4" s="1"/>
  <c r="I123" i="4" l="1"/>
  <c r="H123" i="4" s="1"/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115" i="4"/>
  <c r="M119" i="4"/>
  <c r="M120" i="4"/>
  <c r="M121" i="4"/>
  <c r="M122" i="4"/>
  <c r="M113" i="4"/>
  <c r="M110" i="4"/>
  <c r="M92" i="4"/>
  <c r="M87" i="4"/>
  <c r="M79" i="4"/>
  <c r="M65" i="4"/>
  <c r="M222" i="1"/>
  <c r="M14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2" i="4"/>
  <c r="J122" i="4"/>
  <c r="K122" i="4"/>
  <c r="L122" i="4"/>
  <c r="H122" i="4"/>
  <c r="J65" i="4"/>
  <c r="K65" i="4"/>
  <c r="L65" i="4"/>
  <c r="J79" i="4"/>
  <c r="K79" i="4"/>
  <c r="L79" i="4"/>
  <c r="J87" i="4"/>
  <c r="K87" i="4"/>
  <c r="L87" i="4"/>
  <c r="J92" i="4"/>
  <c r="K92" i="4"/>
  <c r="L92" i="4"/>
  <c r="J110" i="4"/>
  <c r="K110" i="4"/>
  <c r="L110" i="4"/>
  <c r="J113" i="4"/>
  <c r="K113" i="4"/>
  <c r="L113" i="4"/>
  <c r="J115" i="4"/>
  <c r="K115" i="4"/>
  <c r="L115" i="4"/>
  <c r="M116" i="4" l="1"/>
  <c r="M29" i="4" s="1"/>
  <c r="M31" i="4" s="1"/>
  <c r="M89" i="1" s="1"/>
  <c r="G49" i="4"/>
  <c r="M155" i="1"/>
  <c r="M153" i="1"/>
  <c r="J116" i="4"/>
  <c r="I29" i="4"/>
  <c r="K116" i="4"/>
  <c r="K29" i="4" s="1"/>
  <c r="L116" i="4"/>
  <c r="L29" i="4" s="1"/>
  <c r="J126" i="4" l="1"/>
  <c r="J128" i="4" s="1"/>
  <c r="G17" i="4"/>
  <c r="G256" i="1"/>
  <c r="H145" i="1" l="1"/>
  <c r="H119" i="4"/>
  <c r="I119" i="4"/>
  <c r="J119" i="4"/>
  <c r="K119" i="4"/>
  <c r="L119" i="4"/>
  <c r="H120" i="4"/>
  <c r="I120" i="4"/>
  <c r="J120" i="4"/>
  <c r="K120" i="4"/>
  <c r="L120" i="4"/>
  <c r="H121" i="4"/>
  <c r="I121" i="4"/>
  <c r="J121" i="4"/>
  <c r="K121" i="4"/>
  <c r="L121" i="4"/>
  <c r="G22" i="4"/>
  <c r="G21" i="4"/>
  <c r="H21" i="4" s="1"/>
  <c r="I21" i="4" s="1"/>
  <c r="J21" i="4" s="1"/>
  <c r="G20" i="4"/>
  <c r="H20" i="4" s="1"/>
  <c r="I20" i="4" s="1"/>
  <c r="J20" i="4" s="1"/>
  <c r="G122" i="4"/>
  <c r="G123" i="4"/>
  <c r="G45" i="4"/>
  <c r="G46" i="4"/>
  <c r="G47" i="4"/>
  <c r="G119" i="4" s="1"/>
  <c r="G48" i="4"/>
  <c r="G120" i="4" s="1"/>
  <c r="G50" i="4"/>
  <c r="G51" i="4"/>
  <c r="G52" i="4"/>
  <c r="G53" i="4"/>
  <c r="G54" i="4"/>
  <c r="G55" i="4"/>
  <c r="G56" i="4"/>
  <c r="G58" i="4"/>
  <c r="G59" i="4"/>
  <c r="G60" i="4"/>
  <c r="G61" i="4"/>
  <c r="G62" i="4"/>
  <c r="G63" i="4"/>
  <c r="G64" i="4"/>
  <c r="G65" i="4"/>
  <c r="G66" i="4"/>
  <c r="G67" i="4"/>
  <c r="G68" i="4"/>
  <c r="G121" i="4" s="1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35" i="4" s="1"/>
  <c r="G44" i="4"/>
  <c r="G14" i="4"/>
  <c r="G15" i="4"/>
  <c r="H15" i="4" s="1"/>
  <c r="I15" i="4" s="1"/>
  <c r="J15" i="4" s="1"/>
  <c r="G16" i="4"/>
  <c r="I16" i="4" s="1"/>
  <c r="J16" i="4" s="1"/>
  <c r="G13" i="4"/>
  <c r="G10" i="4"/>
  <c r="G9" i="4"/>
  <c r="L222" i="1"/>
  <c r="F10" i="5"/>
  <c r="H97" i="1" l="1"/>
  <c r="H155" i="1" s="1"/>
  <c r="H135" i="1"/>
  <c r="G37" i="4"/>
  <c r="G36" i="4"/>
  <c r="I145" i="1"/>
  <c r="H98" i="1"/>
  <c r="H93" i="1"/>
  <c r="H115" i="1" s="1"/>
  <c r="H134" i="1"/>
  <c r="H112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8" i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J136" i="1"/>
  <c r="J137" i="1" s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I212" i="1"/>
  <c r="I215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5" i="1"/>
  <c r="J210" i="1"/>
  <c r="J212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5" i="1"/>
  <c r="M210" i="1"/>
  <c r="M214" i="1"/>
  <c r="M216" i="1"/>
  <c r="H231" i="1"/>
  <c r="I167" i="1"/>
  <c r="J167" i="1" s="1"/>
  <c r="K167" i="1" s="1"/>
  <c r="I171" i="1"/>
  <c r="H243" i="1"/>
  <c r="I179" i="1"/>
  <c r="H226" i="1"/>
  <c r="I162" i="1"/>
  <c r="H230" i="1"/>
  <c r="I166" i="1"/>
  <c r="H227" i="1"/>
  <c r="I163" i="1"/>
  <c r="I174" i="1"/>
  <c r="J178" i="1"/>
  <c r="H236" i="1"/>
  <c r="I172" i="1"/>
  <c r="I175" i="1"/>
  <c r="J170" i="1"/>
  <c r="H241" i="1"/>
  <c r="I177" i="1"/>
  <c r="H240" i="1"/>
  <c r="I176" i="1"/>
  <c r="I168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J233" i="1"/>
  <c r="K171" i="1"/>
  <c r="K163" i="1"/>
  <c r="J227" i="1"/>
  <c r="K175" i="1"/>
  <c r="K176" i="1"/>
  <c r="K237" i="1"/>
  <c r="L173" i="1"/>
  <c r="K162" i="1"/>
  <c r="J226" i="1"/>
  <c r="K179" i="1"/>
  <c r="J243" i="1"/>
  <c r="J236" i="1"/>
  <c r="K172" i="1"/>
  <c r="K177" i="1"/>
  <c r="J241" i="1"/>
  <c r="K166" i="1"/>
  <c r="K168" i="1"/>
  <c r="L178" i="1"/>
  <c r="K242" i="1"/>
  <c r="J229" i="1"/>
  <c r="K165" i="1"/>
  <c r="M231" i="1" l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  <c r="H96" i="1" l="1"/>
  <c r="H153" i="1"/>
  <c r="H207" i="1" s="1"/>
  <c r="H128" i="1"/>
  <c r="H157" i="1" s="1"/>
  <c r="H221" i="1" s="1"/>
  <c r="H242" i="1" s="1"/>
  <c r="J96" i="1"/>
  <c r="I96" i="1"/>
  <c r="J153" i="1" l="1"/>
  <c r="J207" i="1" s="1"/>
  <c r="J128" i="1"/>
  <c r="J157" i="1" s="1"/>
  <c r="J221" i="1" s="1"/>
  <c r="J242" i="1" s="1"/>
  <c r="I153" i="1"/>
  <c r="I207" i="1" s="1"/>
  <c r="I128" i="1"/>
  <c r="I157" i="1" s="1"/>
  <c r="I221" i="1" s="1"/>
  <c r="I242" i="1" s="1"/>
  <c r="H211" i="1"/>
  <c r="H232" i="1" s="1"/>
  <c r="H218" i="1"/>
  <c r="H239" i="1" s="1"/>
  <c r="H214" i="1"/>
  <c r="H235" i="1" s="1"/>
  <c r="H217" i="1"/>
  <c r="H238" i="1" s="1"/>
  <c r="H228" i="1"/>
  <c r="I211" i="1" l="1"/>
  <c r="I232" i="1" s="1"/>
  <c r="I217" i="1"/>
  <c r="I238" i="1" s="1"/>
  <c r="I214" i="1"/>
  <c r="I235" i="1" s="1"/>
  <c r="I228" i="1"/>
  <c r="H245" i="1"/>
  <c r="H246" i="1" s="1"/>
  <c r="H248" i="1" s="1"/>
  <c r="H257" i="1" s="1"/>
  <c r="J211" i="1"/>
  <c r="J232" i="1" s="1"/>
  <c r="J214" i="1"/>
  <c r="J235" i="1" s="1"/>
  <c r="J217" i="1"/>
  <c r="J238" i="1" s="1"/>
  <c r="J228" i="1"/>
  <c r="H261" i="1" l="1"/>
  <c r="H258" i="1"/>
  <c r="H259" i="1" s="1"/>
  <c r="G12" i="5"/>
  <c r="G16" i="5" l="1"/>
  <c r="G14" i="5"/>
  <c r="G22" i="5" l="1"/>
  <c r="I97" i="1" l="1"/>
  <c r="I155" i="1" l="1"/>
  <c r="I209" i="1" s="1"/>
  <c r="I129" i="1"/>
  <c r="I213" i="1" l="1"/>
  <c r="I234" i="1" s="1"/>
  <c r="I219" i="1"/>
  <c r="I240" i="1" s="1"/>
  <c r="I230" i="1"/>
  <c r="I216" i="1"/>
  <c r="I237" i="1" s="1"/>
  <c r="I218" i="1"/>
  <c r="I239" i="1" s="1"/>
  <c r="I245" i="1" l="1"/>
  <c r="I246" i="1" s="1"/>
  <c r="I248" i="1" s="1"/>
  <c r="I257" i="1" s="1"/>
  <c r="I258" i="1" l="1"/>
  <c r="I259" i="1" s="1"/>
  <c r="H12" i="5"/>
  <c r="I261" i="1"/>
  <c r="H16" i="5" l="1"/>
  <c r="H14" i="5"/>
  <c r="H22" i="5" l="1"/>
  <c r="H18" i="5"/>
  <c r="H24" i="5" s="1"/>
  <c r="J97" i="1" l="1"/>
  <c r="J155" i="1" l="1"/>
  <c r="J209" i="1" s="1"/>
  <c r="J129" i="1"/>
  <c r="J213" i="1" l="1"/>
  <c r="J234" i="1" s="1"/>
  <c r="J216" i="1"/>
  <c r="J237" i="1" s="1"/>
  <c r="J219" i="1"/>
  <c r="J240" i="1" s="1"/>
  <c r="J230" i="1"/>
  <c r="J218" i="1"/>
  <c r="J239" i="1" s="1"/>
  <c r="J245" i="1" l="1"/>
  <c r="J246" i="1" s="1"/>
  <c r="J248" i="1" s="1"/>
  <c r="J257" i="1" s="1"/>
  <c r="I12" i="5"/>
  <c r="I10" i="5" s="1"/>
  <c r="I14" i="5" s="1"/>
  <c r="I16" i="5" s="1"/>
  <c r="J258" i="1"/>
  <c r="J259" i="1" s="1"/>
  <c r="J261" i="1"/>
  <c r="I22" i="5" l="1"/>
  <c r="I18" i="5"/>
  <c r="I24" i="5" s="1"/>
</calcChain>
</file>

<file path=xl/sharedStrings.xml><?xml version="1.0" encoding="utf-8"?>
<sst xmlns="http://schemas.openxmlformats.org/spreadsheetml/2006/main" count="524" uniqueCount="282">
  <si>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</si>
  <si>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</si>
  <si>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</si>
  <si>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</si>
  <si>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</si>
  <si>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</si>
  <si>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</si>
  <si>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</si>
  <si>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</si>
  <si>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</si>
  <si>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</si>
  <si>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</si>
  <si>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</si>
  <si>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</si>
  <si>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</si>
  <si>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</si>
  <si>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</si>
  <si>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</si>
  <si>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</si>
  <si>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</si>
  <si>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</si>
  <si>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</si>
  <si>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</si>
  <si>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</si>
  <si>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</si>
  <si>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</si>
  <si>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</si>
  <si>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</si>
  <si>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</si>
  <si>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</si>
  <si>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</si>
  <si>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</si>
  <si>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</si>
  <si>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</si>
  <si>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</si>
  <si>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</si>
  <si>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</si>
  <si>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</si>
  <si>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</si>
  <si>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</si>
  <si>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</si>
  <si>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</si>
  <si>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</si>
  <si>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</si>
  <si>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</si>
  <si>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</si>
  <si>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</si>
  <si>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</si>
  <si>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</si>
  <si>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</si>
  <si>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</si>
  <si>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</si>
  <si>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</si>
  <si>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</si>
  <si>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</si>
  <si>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</si>
  <si>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</si>
  <si>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</si>
  <si>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</si>
  <si>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</si>
  <si>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</si>
  <si>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</si>
  <si>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</si>
  <si>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</si>
  <si>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</si>
  <si>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</si>
  <si>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</si>
  <si>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</si>
  <si>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</si>
  <si>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</si>
  <si>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</si>
  <si>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</si>
  <si>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</si>
  <si>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</si>
  <si>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</si>
  <si>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</si>
  <si>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</si>
  <si>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</si>
  <si>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</si>
  <si>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</si>
  <si>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</si>
  <si>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</si>
  <si>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</si>
  <si>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</si>
  <si>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</si>
  <si>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</si>
  <si>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</si>
  <si>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</si>
  <si>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</si>
  <si>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</si>
  <si>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</si>
  <si>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</si>
  <si>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</si>
  <si>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</si>
  <si>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</si>
  <si>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</si>
  <si>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</si>
  <si>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</si>
  <si>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</si>
  <si>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</si>
  <si>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</si>
  <si>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</si>
  <si>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</si>
  <si>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</si>
  <si>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</si>
  <si>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</si>
  <si>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</si>
  <si>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</si>
  <si>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</si>
  <si>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</si>
  <si>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</si>
  <si>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</si>
  <si>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</si>
  <si>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</si>
  <si>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</si>
  <si>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</si>
  <si>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</si>
  <si>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</si>
  <si>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</si>
  <si>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</si>
  <si>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</si>
  <si>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</si>
  <si>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</si>
  <si>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</si>
  <si>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</si>
  <si>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</si>
  <si>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</si>
  <si>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</si>
  <si>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</si>
  <si>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</si>
  <si>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</si>
  <si>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</si>
  <si>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</si>
  <si>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</si>
  <si>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</si>
  <si>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</si>
  <si>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</si>
  <si>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</si>
  <si>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</si>
  <si>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</si>
  <si>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</si>
  <si>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</si>
  <si>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</si>
  <si>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</si>
  <si>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</si>
  <si>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</si>
  <si>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</si>
  <si>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</si>
  <si>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</si>
  <si>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</si>
  <si>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</si>
  <si>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</si>
  <si>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</si>
  <si>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</si>
  <si>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</si>
  <si>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</si>
  <si>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</si>
  <si>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</si>
  <si>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</si>
  <si>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</si>
  <si>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</si>
  <si>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</si>
  <si>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</si>
  <si>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</si>
  <si>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</si>
  <si>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</si>
  <si>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</si>
  <si>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</si>
  <si>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</si>
  <si>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</si>
  <si>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</si>
  <si>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</si>
  <si>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</si>
  <si>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</si>
  <si>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</si>
  <si>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</si>
  <si>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</si>
  <si>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</si>
  <si>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</si>
  <si>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</si>
  <si>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</si>
  <si>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</si>
  <si>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</si>
  <si>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</si>
  <si>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</si>
  <si>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</si>
  <si>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</si>
  <si>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</si>
  <si>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</si>
  <si>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</si>
  <si>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</si>
  <si>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</si>
  <si>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</si>
  <si>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</si>
  <si>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</si>
  <si>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</si>
  <si>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</si>
  <si>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</si>
  <si>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</si>
  <si>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</si>
  <si>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</si>
  <si>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</si>
  <si>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</si>
  <si>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</si>
  <si>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</si>
  <si>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</si>
  <si>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</si>
  <si>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</si>
  <si>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</si>
  <si>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</si>
  <si>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</si>
  <si>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</si>
  <si>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</si>
  <si>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</si>
  <si>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</si>
  <si>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</si>
  <si>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</si>
  <si>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</si>
  <si>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</si>
  <si>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</si>
  <si>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</si>
  <si>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</si>
  <si>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</si>
  <si>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</si>
  <si>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</si>
  <si>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</si>
  <si>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</si>
  <si>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</si>
  <si>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</si>
  <si>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</si>
  <si>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</si>
  <si>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</si>
  <si>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</si>
  <si>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</si>
  <si>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</si>
  <si>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</si>
  <si>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</si>
  <si>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</si>
  <si>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</si>
  <si>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</si>
  <si>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</si>
  <si>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</si>
  <si>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</si>
  <si>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</si>
  <si>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</si>
  <si>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</si>
  <si>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</si>
  <si>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</si>
  <si>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</si>
  <si>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</si>
  <si>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</si>
  <si>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</si>
  <si>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</si>
  <si>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</si>
  <si>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</si>
  <si>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</si>
  <si>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</si>
  <si>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</si>
  <si>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</si>
  <si>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</si>
  <si>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</si>
  <si>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</si>
  <si>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</si>
  <si>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</si>
  <si>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</si>
  <si>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</si>
  <si>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</si>
  <si>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</si>
  <si>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</si>
  <si>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</si>
  <si>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</si>
  <si>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</si>
  <si>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</si>
  <si>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</si>
  <si>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</si>
  <si>
    <t>Street Lighting and Signal System Expense</t>
  </si>
  <si>
    <t>OM&amp;A As per Above</t>
  </si>
  <si>
    <t>As per Trial Balance</t>
  </si>
  <si>
    <t>Missing from Above</t>
  </si>
  <si>
    <t>OM&amp;A Contra</t>
  </si>
  <si>
    <t>General Advertising</t>
  </si>
  <si>
    <t>Bad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</si>
</sst>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5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69" fontId="0" fillId="4" borderId="0" xfId="0" applyNumberFormat="1" applyFill="1"/>
    <xf numFmtId="166" fontId="0" fillId="4" borderId="0" xfId="0" applyNumberFormat="1" applyFill="1"/>
    <xf numFmtId="171" fontId="0" fillId="4" borderId="0" xfId="0" applyNumberFormat="1" applyFill="1"/>
    <xf numFmtId="170" fontId="0" fillId="4" borderId="0" xfId="0" applyNumberFormat="1" applyFill="1"/>
    <xf numFmtId="172" fontId="0" fillId="4" borderId="0" xfId="0" applyNumberFormat="1" applyFill="1"/>
    <xf numFmtId="171" fontId="11" fillId="4" borderId="0" xfId="0" applyNumberFormat="1" applyFont="1" applyFill="1"/>
    <xf numFmtId="10" fontId="0" fillId="4" borderId="0" xfId="1" applyNumberFormat="1" applyFont="1" applyFill="1"/>
    <xf numFmtId="164" fontId="0" fillId="4" borderId="0" xfId="0" applyNumberFormat="1" applyFill="1"/>
    <xf numFmtId="44" fontId="0" fillId="0" borderId="0" xfId="0" applyNumberFormat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5" fontId="0" fillId="5" borderId="2" xfId="1" applyNumberFormat="1" applyFont="1" applyFill="1" applyBorder="1" applyAlignment="1"/>
    <xf numFmtId="165" fontId="0" fillId="0" borderId="0" xfId="1" applyNumberFormat="1" applyFont="1" applyFill="1" applyAlignment="1">
      <alignment wrapText="1"/>
    </xf>
    <xf numFmtId="165" fontId="11" fillId="4" borderId="0" xfId="1" applyNumberFormat="1" applyFont="1" applyFill="1"/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10" fontId="0" fillId="2" borderId="6" xfId="2" applyNumberFormat="1" applyFont="1" applyFill="1" applyBorder="1"/>
    <xf numFmtId="41" fontId="0" fillId="2" borderId="6" xfId="0" applyNumberFormat="1" applyFill="1" applyBorder="1"/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4"/>
  <sheetViews>
    <sheetView tabSelected="1" zoomScaleNormal="100" workbookViewId="0"/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92" customWidth="1"/>
    <col min="14" max="14" width="30.109375" style="12" customWidth="1"/>
    <col min="15" max="15" width="24.33203125" style="92" customWidth="1"/>
  </cols>
  <sheetData>
    <row r="2" spans="2:15" ht="22.8" x14ac:dyDescent="0.4">
      <c r="C2" s="227" t="s">
        <v>191</v>
      </c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2:15" ht="19.5" customHeight="1" x14ac:dyDescent="0.3">
      <c r="C3" s="228" t="str">
        <f>IF(F5="Click to Choose an LDC","",F5)</f>
        <v>Cambridge and North Dumfries Hydro Inc.</v>
      </c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</row>
    <row r="4" spans="2:15" s="92" customFormat="1" ht="19.5" customHeight="1" thickBot="1" x14ac:dyDescent="0.35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8"/>
    </row>
    <row r="5" spans="2:15" ht="25.5" customHeight="1" thickBot="1" x14ac:dyDescent="0.3">
      <c r="B5" s="143" t="s">
        <v>189</v>
      </c>
      <c r="E5" s="78"/>
      <c r="F5" s="144" t="s">
        <v>209</v>
      </c>
      <c r="G5" s="14" t="s">
        <v>175</v>
      </c>
      <c r="H5" s="14" t="s">
        <v>176</v>
      </c>
      <c r="I5" s="14" t="s">
        <v>174</v>
      </c>
      <c r="J5" s="229" t="s">
        <v>177</v>
      </c>
      <c r="K5" s="229"/>
      <c r="L5" s="229"/>
      <c r="M5" s="229"/>
      <c r="N5" s="78"/>
      <c r="O5" s="94"/>
    </row>
    <row r="6" spans="2:15" ht="36" customHeight="1" x14ac:dyDescent="0.4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49"/>
      <c r="O6" s="2"/>
    </row>
    <row r="7" spans="2:15" x14ac:dyDescent="0.25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5">
      <c r="C8" s="76" t="s">
        <v>85</v>
      </c>
      <c r="D8" s="76"/>
      <c r="E8" s="14"/>
      <c r="F8" s="26"/>
      <c r="H8" s="230"/>
      <c r="I8" s="230"/>
      <c r="J8" s="230"/>
      <c r="K8" s="230"/>
      <c r="L8" s="230"/>
      <c r="M8" s="230"/>
      <c r="N8" s="78"/>
    </row>
    <row r="9" spans="2:15" x14ac:dyDescent="0.25">
      <c r="B9" s="2">
        <v>1</v>
      </c>
      <c r="C9" s="77"/>
      <c r="D9" s="78" t="s">
        <v>86</v>
      </c>
      <c r="F9" s="26"/>
      <c r="G9" s="86">
        <f>'Benchmarking Calculations'!G92</f>
        <v>16043120.4</v>
      </c>
      <c r="H9" s="124">
        <v>18853629.170000002</v>
      </c>
      <c r="I9" s="124">
        <v>15838108</v>
      </c>
      <c r="J9" s="124">
        <v>13635558</v>
      </c>
      <c r="K9" s="124"/>
      <c r="L9" s="124"/>
      <c r="M9" s="124"/>
      <c r="N9" s="78" t="s">
        <v>172</v>
      </c>
      <c r="O9" s="88"/>
    </row>
    <row r="10" spans="2:15" x14ac:dyDescent="0.25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/>
      <c r="I10" s="124"/>
      <c r="J10" s="124"/>
      <c r="K10" s="124"/>
      <c r="L10" s="124"/>
      <c r="M10" s="124"/>
      <c r="N10" s="78" t="s">
        <v>172</v>
      </c>
      <c r="O10" s="88"/>
    </row>
    <row r="11" spans="2:15" x14ac:dyDescent="0.25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5">
      <c r="C12" s="76" t="s">
        <v>88</v>
      </c>
      <c r="D12" s="76"/>
      <c r="E12" s="14"/>
      <c r="F12" s="26"/>
      <c r="G12" s="86"/>
      <c r="H12" s="182"/>
      <c r="I12" s="182"/>
      <c r="J12" s="182"/>
      <c r="K12" s="182"/>
      <c r="L12" s="182"/>
      <c r="M12" s="182"/>
      <c r="N12" s="78"/>
      <c r="O12" s="88"/>
    </row>
    <row r="13" spans="2:15" x14ac:dyDescent="0.25">
      <c r="B13" s="2">
        <v>3</v>
      </c>
      <c r="C13" s="77"/>
      <c r="D13" s="37" t="s">
        <v>89</v>
      </c>
      <c r="F13" s="26"/>
      <c r="G13" s="86">
        <f>'Benchmarking Calculations'!G96</f>
        <v>64125</v>
      </c>
      <c r="H13" s="124">
        <v>64888</v>
      </c>
      <c r="I13" s="124">
        <v>65670</v>
      </c>
      <c r="J13" s="124">
        <v>66462</v>
      </c>
      <c r="K13" s="124"/>
      <c r="L13" s="124"/>
      <c r="M13" s="124"/>
      <c r="N13" s="78" t="s">
        <v>172</v>
      </c>
      <c r="O13" s="88"/>
    </row>
    <row r="14" spans="2:15" x14ac:dyDescent="0.25">
      <c r="B14" s="2">
        <v>4</v>
      </c>
      <c r="C14" s="77"/>
      <c r="D14" s="37" t="s">
        <v>90</v>
      </c>
      <c r="F14" s="26"/>
      <c r="G14" s="86">
        <f>'Benchmarking Calculations'!G97</f>
        <v>1698796915</v>
      </c>
      <c r="H14" s="124">
        <v>1617433760.0911674</v>
      </c>
      <c r="I14" s="124">
        <v>1622765692.2942817</v>
      </c>
      <c r="J14" s="124">
        <v>1616624631.2265935</v>
      </c>
      <c r="K14" s="124"/>
      <c r="L14" s="124"/>
      <c r="M14" s="124"/>
      <c r="N14" s="78" t="s">
        <v>172</v>
      </c>
      <c r="O14" s="88"/>
    </row>
    <row r="15" spans="2:15" x14ac:dyDescent="0.25">
      <c r="B15" s="2">
        <v>5</v>
      </c>
      <c r="C15" s="26"/>
      <c r="D15" s="37" t="s">
        <v>91</v>
      </c>
      <c r="F15" s="26"/>
      <c r="G15" s="86">
        <f>'Benchmarking Calculations'!G98</f>
        <v>334471</v>
      </c>
      <c r="H15" s="124">
        <f>G15</f>
        <v>334471</v>
      </c>
      <c r="I15" s="124">
        <f t="shared" ref="I15:J15" si="0">H15</f>
        <v>334471</v>
      </c>
      <c r="J15" s="124">
        <f t="shared" si="0"/>
        <v>334471</v>
      </c>
      <c r="K15" s="124"/>
      <c r="L15" s="124"/>
      <c r="M15" s="124"/>
      <c r="N15" s="78" t="s">
        <v>172</v>
      </c>
      <c r="O15" s="88"/>
    </row>
    <row r="16" spans="2:15" x14ac:dyDescent="0.25">
      <c r="B16" s="2">
        <v>6</v>
      </c>
      <c r="C16" s="26"/>
      <c r="D16" s="78" t="s">
        <v>192</v>
      </c>
      <c r="F16" s="26"/>
      <c r="G16" s="86">
        <f>'Benchmarking Calculations'!G99</f>
        <v>1727</v>
      </c>
      <c r="H16" s="124">
        <v>1487</v>
      </c>
      <c r="I16" s="124">
        <f t="shared" ref="I16:J16" si="1">H16</f>
        <v>1487</v>
      </c>
      <c r="J16" s="124">
        <f t="shared" si="1"/>
        <v>1487</v>
      </c>
      <c r="K16" s="124"/>
      <c r="L16" s="124"/>
      <c r="M16" s="124"/>
      <c r="N16" s="78" t="s">
        <v>172</v>
      </c>
      <c r="O16" s="88"/>
    </row>
    <row r="17" spans="2:15" x14ac:dyDescent="0.25">
      <c r="B17" s="2">
        <v>7</v>
      </c>
      <c r="C17" s="38"/>
      <c r="D17" s="77" t="s">
        <v>121</v>
      </c>
      <c r="F17" s="78"/>
      <c r="G17" s="90">
        <f>'Benchmarking Calculations'!G145</f>
        <v>0.10745557225014248</v>
      </c>
      <c r="H17" s="223">
        <v>0.12290386418081445</v>
      </c>
      <c r="I17" s="223">
        <v>0.12723265719981525</v>
      </c>
      <c r="J17" s="223">
        <v>0.12595529333882793</v>
      </c>
      <c r="K17" s="124"/>
      <c r="L17" s="124"/>
      <c r="M17" s="124"/>
      <c r="N17" s="78" t="s">
        <v>172</v>
      </c>
      <c r="O17" s="88"/>
    </row>
    <row r="18" spans="2:15" x14ac:dyDescent="0.25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5">
      <c r="C19" s="76" t="s">
        <v>165</v>
      </c>
      <c r="E19" s="77"/>
      <c r="F19" s="78"/>
      <c r="G19" s="51"/>
      <c r="H19" s="230"/>
      <c r="I19" s="230"/>
      <c r="J19" s="230"/>
      <c r="K19" s="230"/>
      <c r="L19" s="230"/>
      <c r="M19" s="230"/>
    </row>
    <row r="20" spans="2:15" x14ac:dyDescent="0.25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>
        <f>G20</f>
        <v>1.0968351633854057E-2</v>
      </c>
      <c r="I20" s="123">
        <f t="shared" ref="I20:J20" si="2">H20</f>
        <v>1.0968351633854057E-2</v>
      </c>
      <c r="J20" s="123">
        <f t="shared" si="2"/>
        <v>1.0968351633854057E-2</v>
      </c>
      <c r="K20" s="123"/>
      <c r="L20" s="123"/>
      <c r="M20" s="123"/>
      <c r="N20" s="78" t="s">
        <v>188</v>
      </c>
    </row>
    <row r="21" spans="2:15" ht="14.25" customHeight="1" x14ac:dyDescent="0.25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>
        <f>G21</f>
        <v>1.2063911929243963E-2</v>
      </c>
      <c r="I21" s="123">
        <f t="shared" ref="I21:J21" si="3">H21</f>
        <v>1.2063911929243963E-2</v>
      </c>
      <c r="J21" s="123">
        <f t="shared" si="3"/>
        <v>1.2063911929243963E-2</v>
      </c>
      <c r="K21" s="123"/>
      <c r="L21" s="123"/>
      <c r="M21" s="123"/>
      <c r="N21" s="78" t="s">
        <v>188</v>
      </c>
    </row>
    <row r="22" spans="2:15" x14ac:dyDescent="0.25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v>5.67E-2</v>
      </c>
      <c r="I22" s="123">
        <v>6.0199999999999997E-2</v>
      </c>
      <c r="J22" s="123">
        <v>6.0199999999999997E-2</v>
      </c>
      <c r="K22" s="123"/>
      <c r="L22" s="123"/>
      <c r="M22" s="123"/>
      <c r="N22" s="78" t="s">
        <v>172</v>
      </c>
    </row>
    <row r="23" spans="2:15" s="92" customFormat="1" x14ac:dyDescent="0.25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5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5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2" thickBot="1" x14ac:dyDescent="0.3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2" thickBot="1" x14ac:dyDescent="0.3">
      <c r="E27" s="142" t="s">
        <v>170</v>
      </c>
      <c r="F27" s="76" t="s">
        <v>198</v>
      </c>
      <c r="G27" s="51">
        <f>G35-G36+G37</f>
        <v>16658607.539999997</v>
      </c>
      <c r="H27" s="51">
        <f>H35-H36+H37</f>
        <v>0</v>
      </c>
      <c r="I27" s="51">
        <f t="shared" ref="I27:M27" si="4">I35-I36+I37</f>
        <v>0</v>
      </c>
      <c r="J27" s="51">
        <f>J35-J36+J37</f>
        <v>0</v>
      </c>
      <c r="K27" s="51">
        <f t="shared" si="4"/>
        <v>0</v>
      </c>
      <c r="L27" s="51">
        <f t="shared" si="4"/>
        <v>0</v>
      </c>
      <c r="M27" s="51">
        <f t="shared" si="4"/>
        <v>0</v>
      </c>
      <c r="N27" s="59" t="s">
        <v>29</v>
      </c>
    </row>
    <row r="28" spans="2:15" ht="13.2" thickBot="1" x14ac:dyDescent="0.3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2" thickBot="1" x14ac:dyDescent="0.3">
      <c r="E29" s="142" t="s">
        <v>169</v>
      </c>
      <c r="F29" s="76" t="s">
        <v>202</v>
      </c>
      <c r="G29" s="51">
        <f t="shared" ref="G29:M29" si="5">G116-G122+G123</f>
        <v>16658607.539999997</v>
      </c>
      <c r="H29" s="51">
        <f t="shared" si="5"/>
        <v>17794453.863456726</v>
      </c>
      <c r="I29" s="51">
        <f t="shared" si="5"/>
        <v>17842383.943446726</v>
      </c>
      <c r="J29" s="51">
        <f>J116-J122+J123</f>
        <v>18473206.183446728</v>
      </c>
      <c r="K29" s="51">
        <f t="shared" si="5"/>
        <v>0</v>
      </c>
      <c r="L29" s="51">
        <f t="shared" si="5"/>
        <v>0</v>
      </c>
      <c r="M29" s="51">
        <f t="shared" si="5"/>
        <v>0</v>
      </c>
      <c r="N29" s="59" t="s">
        <v>29</v>
      </c>
    </row>
    <row r="30" spans="2:15" x14ac:dyDescent="0.25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5">
      <c r="B31" s="2">
        <v>11</v>
      </c>
      <c r="D31" s="77"/>
      <c r="E31" s="72" t="s">
        <v>171</v>
      </c>
      <c r="F31" s="78"/>
      <c r="G31" s="51">
        <f t="shared" ref="G31:M31" si="6">IF($E$27="Y",G27,IF($E$29="Y",G29,"Error: Please enter Y for one method"))</f>
        <v>16658607.539999997</v>
      </c>
      <c r="H31" s="51">
        <f t="shared" si="6"/>
        <v>17794453.863456726</v>
      </c>
      <c r="I31" s="51">
        <f t="shared" si="6"/>
        <v>17842383.943446726</v>
      </c>
      <c r="J31" s="51">
        <f t="shared" si="6"/>
        <v>18473206.183446728</v>
      </c>
      <c r="K31" s="51">
        <f t="shared" si="6"/>
        <v>0</v>
      </c>
      <c r="L31" s="51">
        <f t="shared" si="6"/>
        <v>0</v>
      </c>
      <c r="M31" s="51">
        <f t="shared" si="6"/>
        <v>0</v>
      </c>
      <c r="N31" s="59" t="s">
        <v>29</v>
      </c>
    </row>
    <row r="32" spans="2:15" ht="13.2" thickBot="1" x14ac:dyDescent="0.3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5">
      <c r="B33" s="2"/>
      <c r="C33" s="15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1"/>
    </row>
    <row r="34" spans="2:14" x14ac:dyDescent="0.25">
      <c r="C34" s="152"/>
      <c r="D34" s="79" t="s">
        <v>179</v>
      </c>
      <c r="E34" s="26"/>
      <c r="F34" s="26"/>
      <c r="G34" s="86"/>
      <c r="H34" s="226" t="s">
        <v>183</v>
      </c>
      <c r="I34" s="226"/>
      <c r="J34" s="226"/>
      <c r="K34" s="226"/>
      <c r="L34" s="226"/>
      <c r="M34" s="226"/>
      <c r="N34" s="153"/>
    </row>
    <row r="35" spans="2:14" x14ac:dyDescent="0.25">
      <c r="C35" s="152"/>
      <c r="D35" s="168" t="s">
        <v>195</v>
      </c>
      <c r="E35" s="26" t="s">
        <v>203</v>
      </c>
      <c r="F35" s="26"/>
      <c r="G35" s="85">
        <f>G116</f>
        <v>16902993.639999997</v>
      </c>
      <c r="H35" s="124"/>
      <c r="I35" s="124"/>
      <c r="J35" s="124"/>
      <c r="K35" s="124"/>
      <c r="L35" s="124"/>
      <c r="M35" s="124"/>
      <c r="N35" s="153" t="s">
        <v>172</v>
      </c>
    </row>
    <row r="36" spans="2:14" x14ac:dyDescent="0.25">
      <c r="C36" s="152"/>
      <c r="D36" s="168" t="s">
        <v>196</v>
      </c>
      <c r="E36" s="26" t="s">
        <v>194</v>
      </c>
      <c r="F36" s="26"/>
      <c r="G36" s="51">
        <f>G122</f>
        <v>244386.1</v>
      </c>
      <c r="H36" s="124"/>
      <c r="I36" s="124"/>
      <c r="J36" s="124"/>
      <c r="K36" s="119"/>
      <c r="L36" s="119"/>
      <c r="M36" s="119"/>
      <c r="N36" s="153" t="s">
        <v>172</v>
      </c>
    </row>
    <row r="37" spans="2:14" x14ac:dyDescent="0.25">
      <c r="C37" s="152"/>
      <c r="D37" s="169" t="s">
        <v>197</v>
      </c>
      <c r="E37" s="26" t="s">
        <v>83</v>
      </c>
      <c r="F37" s="26"/>
      <c r="G37" s="51">
        <f>G123</f>
        <v>0</v>
      </c>
      <c r="H37" s="124"/>
      <c r="I37" s="124"/>
      <c r="J37" s="124"/>
      <c r="K37" s="119"/>
      <c r="L37" s="119"/>
      <c r="M37" s="119"/>
      <c r="N37" s="153" t="s">
        <v>172</v>
      </c>
    </row>
    <row r="38" spans="2:14" s="92" customFormat="1" ht="13.2" thickBot="1" x14ac:dyDescent="0.3">
      <c r="B38" s="2"/>
      <c r="C38" s="154"/>
      <c r="D38" s="75"/>
      <c r="E38" s="75"/>
      <c r="F38" s="75"/>
      <c r="G38" s="155"/>
      <c r="H38" s="164"/>
      <c r="I38" s="164"/>
      <c r="J38" s="164"/>
      <c r="K38" s="164"/>
      <c r="L38" s="164"/>
      <c r="M38" s="164"/>
      <c r="N38" s="156"/>
    </row>
    <row r="39" spans="2:14" s="92" customFormat="1" ht="13.2" thickBot="1" x14ac:dyDescent="0.3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5">
      <c r="C40" s="150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1"/>
    </row>
    <row r="41" spans="2:14" x14ac:dyDescent="0.25">
      <c r="C41" s="152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3"/>
    </row>
    <row r="42" spans="2:14" x14ac:dyDescent="0.25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3"/>
    </row>
    <row r="43" spans="2:14" x14ac:dyDescent="0.25">
      <c r="C43" s="157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3"/>
    </row>
    <row r="44" spans="2:14" x14ac:dyDescent="0.25">
      <c r="C44" s="157"/>
      <c r="D44" s="26"/>
      <c r="E44" s="78">
        <v>5005</v>
      </c>
      <c r="F44" s="149" t="s">
        <v>8</v>
      </c>
      <c r="G44" s="58">
        <f>'Benchmarking Calculations'!G10</f>
        <v>367153.78</v>
      </c>
      <c r="H44" s="224">
        <v>730278.10000000009</v>
      </c>
      <c r="I44" s="224">
        <v>663440.57000000007</v>
      </c>
      <c r="J44" s="224">
        <v>623921.34136990237</v>
      </c>
      <c r="K44" s="224"/>
      <c r="L44" s="119"/>
      <c r="M44" s="141"/>
      <c r="N44" s="153" t="s">
        <v>172</v>
      </c>
    </row>
    <row r="45" spans="2:14" x14ac:dyDescent="0.25">
      <c r="C45" s="157"/>
      <c r="D45" s="26"/>
      <c r="E45" s="78">
        <v>5010</v>
      </c>
      <c r="F45" s="149" t="s">
        <v>9</v>
      </c>
      <c r="G45" s="58">
        <f>'Benchmarking Calculations'!G11</f>
        <v>585602.68000000005</v>
      </c>
      <c r="H45" s="224">
        <v>624939.07999999996</v>
      </c>
      <c r="I45" s="224">
        <v>806301</v>
      </c>
      <c r="J45" s="224">
        <v>828219</v>
      </c>
      <c r="K45" s="224"/>
      <c r="L45" s="119"/>
      <c r="M45" s="141"/>
      <c r="N45" s="153" t="s">
        <v>172</v>
      </c>
    </row>
    <row r="46" spans="2:14" x14ac:dyDescent="0.25">
      <c r="C46" s="157"/>
      <c r="D46" s="26"/>
      <c r="E46" s="78">
        <v>5012</v>
      </c>
      <c r="F46" s="149" t="s">
        <v>10</v>
      </c>
      <c r="G46" s="58">
        <f>'Benchmarking Calculations'!G12</f>
        <v>0</v>
      </c>
      <c r="H46" s="224">
        <v>0</v>
      </c>
      <c r="I46" s="224">
        <v>0</v>
      </c>
      <c r="J46" s="224">
        <v>0</v>
      </c>
      <c r="K46" s="224"/>
      <c r="L46" s="119"/>
      <c r="M46" s="141"/>
      <c r="N46" s="153" t="s">
        <v>172</v>
      </c>
    </row>
    <row r="47" spans="2:14" x14ac:dyDescent="0.25">
      <c r="C47" s="157"/>
      <c r="D47" s="26"/>
      <c r="E47" s="78">
        <v>5014</v>
      </c>
      <c r="F47" s="149" t="s">
        <v>11</v>
      </c>
      <c r="G47" s="58">
        <f>'Benchmarking Calculations'!G13</f>
        <v>17501.78</v>
      </c>
      <c r="H47" s="224">
        <v>5791.61</v>
      </c>
      <c r="I47" s="224">
        <v>17627.57</v>
      </c>
      <c r="J47" s="224">
        <v>16808.2</v>
      </c>
      <c r="K47" s="224"/>
      <c r="L47" s="119"/>
      <c r="M47" s="141"/>
      <c r="N47" s="153" t="s">
        <v>172</v>
      </c>
    </row>
    <row r="48" spans="2:14" ht="25.2" x14ac:dyDescent="0.25">
      <c r="C48" s="157"/>
      <c r="D48" s="26"/>
      <c r="E48" s="78">
        <v>5015</v>
      </c>
      <c r="F48" s="149" t="s">
        <v>12</v>
      </c>
      <c r="G48" s="58">
        <f>'Benchmarking Calculations'!G14</f>
        <v>208915.59</v>
      </c>
      <c r="H48" s="224">
        <v>163528.93</v>
      </c>
      <c r="I48" s="224">
        <v>234867</v>
      </c>
      <c r="J48" s="224">
        <v>240641</v>
      </c>
      <c r="K48" s="224"/>
      <c r="L48" s="119"/>
      <c r="M48" s="141"/>
      <c r="N48" s="153" t="s">
        <v>172</v>
      </c>
    </row>
    <row r="49" spans="2:14" x14ac:dyDescent="0.25">
      <c r="C49" s="157"/>
      <c r="D49" s="26"/>
      <c r="E49" s="78">
        <v>5016</v>
      </c>
      <c r="F49" s="149" t="s">
        <v>13</v>
      </c>
      <c r="G49" s="58">
        <f>'Benchmarking Calculations'!G15</f>
        <v>0</v>
      </c>
      <c r="H49" s="224">
        <v>0</v>
      </c>
      <c r="I49" s="224">
        <v>0</v>
      </c>
      <c r="J49" s="224">
        <v>0</v>
      </c>
      <c r="K49" s="224"/>
      <c r="L49" s="119"/>
      <c r="M49" s="141"/>
      <c r="N49" s="153" t="s">
        <v>172</v>
      </c>
    </row>
    <row r="50" spans="2:14" ht="25.2" x14ac:dyDescent="0.25">
      <c r="C50" s="157"/>
      <c r="D50" s="26"/>
      <c r="E50" s="78">
        <v>5017</v>
      </c>
      <c r="F50" s="149" t="s">
        <v>14</v>
      </c>
      <c r="G50" s="58">
        <f>'Benchmarking Calculations'!G16</f>
        <v>1200</v>
      </c>
      <c r="H50" s="224">
        <v>0</v>
      </c>
      <c r="I50" s="224">
        <v>0</v>
      </c>
      <c r="J50" s="224">
        <v>0</v>
      </c>
      <c r="K50" s="224"/>
      <c r="L50" s="119"/>
      <c r="M50" s="141"/>
      <c r="N50" s="153" t="s">
        <v>172</v>
      </c>
    </row>
    <row r="51" spans="2:14" ht="25.2" x14ac:dyDescent="0.25">
      <c r="C51" s="157"/>
      <c r="D51" s="26"/>
      <c r="E51" s="78">
        <v>5020</v>
      </c>
      <c r="F51" s="149" t="s">
        <v>15</v>
      </c>
      <c r="G51" s="58">
        <f>'Benchmarking Calculations'!G17</f>
        <v>182546.67</v>
      </c>
      <c r="H51" s="224">
        <v>216751.98</v>
      </c>
      <c r="I51" s="224">
        <v>130821.96</v>
      </c>
      <c r="J51" s="224">
        <v>124038.51</v>
      </c>
      <c r="K51" s="224"/>
      <c r="L51" s="119"/>
      <c r="M51" s="141"/>
      <c r="N51" s="153" t="s">
        <v>172</v>
      </c>
    </row>
    <row r="52" spans="2:14" ht="25.2" x14ac:dyDescent="0.25">
      <c r="C52" s="157"/>
      <c r="D52" s="26"/>
      <c r="E52" s="78">
        <v>5025</v>
      </c>
      <c r="F52" s="149" t="s">
        <v>16</v>
      </c>
      <c r="G52" s="58">
        <f>'Benchmarking Calculations'!G18</f>
        <v>214661.63</v>
      </c>
      <c r="H52" s="224">
        <v>200700.81</v>
      </c>
      <c r="I52" s="224">
        <v>203444</v>
      </c>
      <c r="J52" s="224">
        <v>147057</v>
      </c>
      <c r="K52" s="224"/>
      <c r="L52" s="119"/>
      <c r="M52" s="141"/>
      <c r="N52" s="153" t="s">
        <v>172</v>
      </c>
    </row>
    <row r="53" spans="2:14" x14ac:dyDescent="0.25">
      <c r="C53" s="157"/>
      <c r="D53" s="26"/>
      <c r="E53" s="78">
        <v>5035</v>
      </c>
      <c r="F53" s="149" t="s">
        <v>17</v>
      </c>
      <c r="G53" s="58">
        <f>'Benchmarking Calculations'!G19</f>
        <v>27866.03</v>
      </c>
      <c r="H53" s="224">
        <v>28603.379999999997</v>
      </c>
      <c r="I53" s="224">
        <v>24540.77</v>
      </c>
      <c r="J53" s="224">
        <v>24027.66</v>
      </c>
      <c r="K53" s="224"/>
      <c r="L53" s="119"/>
      <c r="M53" s="141"/>
      <c r="N53" s="153" t="s">
        <v>172</v>
      </c>
    </row>
    <row r="54" spans="2:14" ht="25.2" x14ac:dyDescent="0.25">
      <c r="C54" s="157"/>
      <c r="D54" s="26"/>
      <c r="E54" s="78">
        <v>5040</v>
      </c>
      <c r="F54" s="149" t="s">
        <v>18</v>
      </c>
      <c r="G54" s="58">
        <f>'Benchmarking Calculations'!G20</f>
        <v>50231.35</v>
      </c>
      <c r="H54" s="224">
        <v>52194.1</v>
      </c>
      <c r="I54" s="224">
        <v>30854.94</v>
      </c>
      <c r="J54" s="224">
        <v>29437.37</v>
      </c>
      <c r="K54" s="224"/>
      <c r="L54" s="119"/>
      <c r="M54" s="141"/>
      <c r="N54" s="153" t="s">
        <v>172</v>
      </c>
    </row>
    <row r="55" spans="2:14" ht="25.2" x14ac:dyDescent="0.25">
      <c r="C55" s="157"/>
      <c r="D55" s="26"/>
      <c r="E55" s="78">
        <v>5045</v>
      </c>
      <c r="F55" s="149" t="s">
        <v>19</v>
      </c>
      <c r="G55" s="58">
        <f>'Benchmarking Calculations'!G21</f>
        <v>97261.28</v>
      </c>
      <c r="H55" s="224">
        <v>120512.63</v>
      </c>
      <c r="I55" s="224">
        <v>124551</v>
      </c>
      <c r="J55" s="224">
        <v>126906</v>
      </c>
      <c r="K55" s="224"/>
      <c r="L55" s="119"/>
      <c r="M55" s="141"/>
      <c r="N55" s="153" t="s">
        <v>172</v>
      </c>
    </row>
    <row r="56" spans="2:14" x14ac:dyDescent="0.25">
      <c r="C56" s="157"/>
      <c r="D56" s="26"/>
      <c r="E56" s="78">
        <v>5055</v>
      </c>
      <c r="F56" s="149" t="s">
        <v>20</v>
      </c>
      <c r="G56" s="58">
        <f>'Benchmarking Calculations'!G22</f>
        <v>74106.45</v>
      </c>
      <c r="H56" s="224">
        <v>60501.380000000005</v>
      </c>
      <c r="I56" s="224">
        <v>65231.92</v>
      </c>
      <c r="J56" s="224">
        <v>64179.7</v>
      </c>
      <c r="K56" s="224"/>
      <c r="L56" s="119"/>
      <c r="M56" s="141"/>
      <c r="N56" s="153" t="s">
        <v>172</v>
      </c>
    </row>
    <row r="57" spans="2:14" s="92" customFormat="1" x14ac:dyDescent="0.25">
      <c r="B57" s="2"/>
      <c r="C57" s="157"/>
      <c r="D57" s="26"/>
      <c r="E57" s="78">
        <v>5060</v>
      </c>
      <c r="F57" s="149" t="s">
        <v>275</v>
      </c>
      <c r="G57" s="58"/>
      <c r="H57" s="224">
        <v>0</v>
      </c>
      <c r="I57" s="224">
        <v>0</v>
      </c>
      <c r="J57" s="224">
        <v>0</v>
      </c>
      <c r="K57" s="224"/>
      <c r="L57" s="119"/>
      <c r="M57" s="141"/>
      <c r="N57" s="153"/>
    </row>
    <row r="58" spans="2:14" x14ac:dyDescent="0.25">
      <c r="C58" s="157"/>
      <c r="D58" s="26"/>
      <c r="E58" s="78">
        <v>5065</v>
      </c>
      <c r="F58" s="149" t="s">
        <v>21</v>
      </c>
      <c r="G58" s="58">
        <f>'Benchmarking Calculations'!G23</f>
        <v>1040768.36</v>
      </c>
      <c r="H58" s="224">
        <v>946841.09000000008</v>
      </c>
      <c r="I58" s="224">
        <v>873044.89</v>
      </c>
      <c r="J58" s="224">
        <v>941712.72</v>
      </c>
      <c r="K58" s="224"/>
      <c r="L58" s="119"/>
      <c r="M58" s="141"/>
      <c r="N58" s="153" t="s">
        <v>172</v>
      </c>
    </row>
    <row r="59" spans="2:14" x14ac:dyDescent="0.25">
      <c r="C59" s="157"/>
      <c r="D59" s="26"/>
      <c r="E59" s="78">
        <v>5070</v>
      </c>
      <c r="F59" s="149" t="s">
        <v>22</v>
      </c>
      <c r="G59" s="58">
        <f>'Benchmarking Calculations'!G24</f>
        <v>2532.0700000000002</v>
      </c>
      <c r="H59" s="224">
        <v>1987.06</v>
      </c>
      <c r="I59" s="224">
        <v>5503.59</v>
      </c>
      <c r="J59" s="224">
        <v>5235.3</v>
      </c>
      <c r="K59" s="224"/>
      <c r="L59" s="119"/>
      <c r="M59" s="141"/>
      <c r="N59" s="153" t="s">
        <v>172</v>
      </c>
    </row>
    <row r="60" spans="2:14" x14ac:dyDescent="0.25">
      <c r="C60" s="157"/>
      <c r="D60" s="26"/>
      <c r="E60" s="78">
        <v>5075</v>
      </c>
      <c r="F60" s="149" t="s">
        <v>23</v>
      </c>
      <c r="G60" s="58">
        <f>'Benchmarking Calculations'!G25</f>
        <v>3948.91</v>
      </c>
      <c r="H60" s="224">
        <v>790.7</v>
      </c>
      <c r="I60" s="224">
        <v>1624</v>
      </c>
      <c r="J60" s="224">
        <v>1624</v>
      </c>
      <c r="K60" s="224"/>
      <c r="L60" s="119"/>
      <c r="M60" s="141"/>
      <c r="N60" s="153" t="s">
        <v>172</v>
      </c>
    </row>
    <row r="61" spans="2:14" x14ac:dyDescent="0.25">
      <c r="C61" s="157"/>
      <c r="D61" s="26"/>
      <c r="E61" s="78">
        <v>5085</v>
      </c>
      <c r="F61" s="149" t="s">
        <v>24</v>
      </c>
      <c r="G61" s="58">
        <f>'Benchmarking Calculations'!G26</f>
        <v>0</v>
      </c>
      <c r="H61" s="224">
        <v>0</v>
      </c>
      <c r="I61" s="224">
        <v>0.09</v>
      </c>
      <c r="J61" s="224">
        <v>320</v>
      </c>
      <c r="K61" s="224"/>
      <c r="L61" s="119"/>
      <c r="M61" s="141"/>
      <c r="N61" s="153" t="s">
        <v>172</v>
      </c>
    </row>
    <row r="62" spans="2:14" ht="25.2" x14ac:dyDescent="0.25">
      <c r="C62" s="157"/>
      <c r="D62" s="26"/>
      <c r="E62" s="78">
        <v>5090</v>
      </c>
      <c r="F62" s="149" t="s">
        <v>25</v>
      </c>
      <c r="G62" s="58">
        <f>'Benchmarking Calculations'!G27</f>
        <v>0</v>
      </c>
      <c r="H62" s="224">
        <v>0</v>
      </c>
      <c r="I62" s="224">
        <v>0</v>
      </c>
      <c r="J62" s="224">
        <v>0</v>
      </c>
      <c r="K62" s="224"/>
      <c r="L62" s="119"/>
      <c r="M62" s="141"/>
      <c r="N62" s="153" t="s">
        <v>172</v>
      </c>
    </row>
    <row r="63" spans="2:14" x14ac:dyDescent="0.25">
      <c r="C63" s="157"/>
      <c r="D63" s="26"/>
      <c r="E63" s="78">
        <v>5095</v>
      </c>
      <c r="F63" s="149" t="s">
        <v>26</v>
      </c>
      <c r="G63" s="58">
        <f>'Benchmarking Calculations'!G28</f>
        <v>60128.46</v>
      </c>
      <c r="H63" s="224">
        <v>51572.53</v>
      </c>
      <c r="I63" s="224">
        <v>58776</v>
      </c>
      <c r="J63" s="224">
        <v>60060</v>
      </c>
      <c r="K63" s="224"/>
      <c r="L63" s="119"/>
      <c r="M63" s="141"/>
      <c r="N63" s="153" t="s">
        <v>172</v>
      </c>
    </row>
    <row r="64" spans="2:14" x14ac:dyDescent="0.25">
      <c r="C64" s="157"/>
      <c r="D64" s="26"/>
      <c r="E64" s="111">
        <v>5096</v>
      </c>
      <c r="F64" s="167" t="s">
        <v>27</v>
      </c>
      <c r="G64" s="112">
        <f>'Benchmarking Calculations'!G29</f>
        <v>0</v>
      </c>
      <c r="H64" s="224">
        <v>0</v>
      </c>
      <c r="I64" s="224">
        <v>0</v>
      </c>
      <c r="J64" s="224">
        <v>0</v>
      </c>
      <c r="K64" s="224"/>
      <c r="L64" s="119"/>
      <c r="M64" s="141"/>
      <c r="N64" s="153" t="s">
        <v>172</v>
      </c>
    </row>
    <row r="65" spans="3:14" x14ac:dyDescent="0.25">
      <c r="C65" s="157"/>
      <c r="D65" s="26"/>
      <c r="E65" s="16"/>
      <c r="F65" s="80" t="s">
        <v>28</v>
      </c>
      <c r="G65" s="110">
        <f>'Benchmarking Calculations'!G30</f>
        <v>2934425.04</v>
      </c>
      <c r="H65" s="81">
        <f t="shared" ref="H65:M65" si="7">SUM(H44:H64)</f>
        <v>3204993.38</v>
      </c>
      <c r="I65" s="81">
        <f t="shared" si="7"/>
        <v>3240629.3</v>
      </c>
      <c r="J65" s="81">
        <f t="shared" si="7"/>
        <v>3234187.8013699017</v>
      </c>
      <c r="K65" s="81">
        <f t="shared" si="7"/>
        <v>0</v>
      </c>
      <c r="L65" s="81">
        <f t="shared" si="7"/>
        <v>0</v>
      </c>
      <c r="M65" s="81">
        <f t="shared" si="7"/>
        <v>0</v>
      </c>
      <c r="N65" s="158" t="s">
        <v>29</v>
      </c>
    </row>
    <row r="66" spans="3:14" x14ac:dyDescent="0.25">
      <c r="C66" s="157"/>
      <c r="D66" s="26"/>
      <c r="E66" s="78">
        <v>5105</v>
      </c>
      <c r="F66" s="149" t="s">
        <v>30</v>
      </c>
      <c r="G66" s="58">
        <f>'Benchmarking Calculations'!G31</f>
        <v>0</v>
      </c>
      <c r="H66" s="224"/>
      <c r="I66" s="224"/>
      <c r="J66" s="224"/>
      <c r="K66" s="224"/>
      <c r="L66" s="119"/>
      <c r="M66" s="141"/>
      <c r="N66" s="153" t="s">
        <v>172</v>
      </c>
    </row>
    <row r="67" spans="3:14" x14ac:dyDescent="0.25">
      <c r="C67" s="157"/>
      <c r="D67" s="26"/>
      <c r="E67" s="78">
        <v>5110</v>
      </c>
      <c r="F67" s="149" t="s">
        <v>31</v>
      </c>
      <c r="G67" s="58">
        <f>'Benchmarking Calculations'!G32</f>
        <v>0</v>
      </c>
      <c r="H67" s="224"/>
      <c r="I67" s="224"/>
      <c r="J67" s="224"/>
      <c r="K67" s="224"/>
      <c r="L67" s="119"/>
      <c r="M67" s="141"/>
      <c r="N67" s="153" t="s">
        <v>172</v>
      </c>
    </row>
    <row r="68" spans="3:14" x14ac:dyDescent="0.25">
      <c r="C68" s="157"/>
      <c r="D68" s="26"/>
      <c r="E68" s="78">
        <v>5112</v>
      </c>
      <c r="F68" s="149" t="s">
        <v>32</v>
      </c>
      <c r="G68" s="58">
        <f>'Benchmarking Calculations'!G33</f>
        <v>17968.73</v>
      </c>
      <c r="H68" s="224">
        <v>16352.76</v>
      </c>
      <c r="I68" s="224">
        <v>17823.97</v>
      </c>
      <c r="J68" s="224">
        <v>17201.37</v>
      </c>
      <c r="K68" s="224"/>
      <c r="L68" s="119"/>
      <c r="M68" s="141"/>
      <c r="N68" s="153" t="s">
        <v>172</v>
      </c>
    </row>
    <row r="69" spans="3:14" x14ac:dyDescent="0.25">
      <c r="C69" s="157"/>
      <c r="D69" s="26"/>
      <c r="E69" s="78">
        <v>5114</v>
      </c>
      <c r="F69" s="149" t="s">
        <v>33</v>
      </c>
      <c r="G69" s="58">
        <f>'Benchmarking Calculations'!G34</f>
        <v>165.37</v>
      </c>
      <c r="H69" s="224">
        <v>0</v>
      </c>
      <c r="I69" s="224">
        <v>2180</v>
      </c>
      <c r="J69" s="224">
        <v>2020.46</v>
      </c>
      <c r="K69" s="224"/>
      <c r="L69" s="119"/>
      <c r="M69" s="141"/>
      <c r="N69" s="153" t="s">
        <v>172</v>
      </c>
    </row>
    <row r="70" spans="3:14" x14ac:dyDescent="0.25">
      <c r="C70" s="157"/>
      <c r="D70" s="26"/>
      <c r="E70" s="78">
        <v>5120</v>
      </c>
      <c r="F70" s="149" t="s">
        <v>34</v>
      </c>
      <c r="G70" s="58">
        <f>'Benchmarking Calculations'!G35</f>
        <v>73355.44</v>
      </c>
      <c r="H70" s="224">
        <v>70182</v>
      </c>
      <c r="I70" s="224">
        <v>135402.89000000001</v>
      </c>
      <c r="J70" s="224">
        <v>137556.99</v>
      </c>
      <c r="K70" s="224"/>
      <c r="L70" s="119"/>
      <c r="M70" s="141"/>
      <c r="N70" s="153" t="s">
        <v>172</v>
      </c>
    </row>
    <row r="71" spans="3:14" x14ac:dyDescent="0.25">
      <c r="C71" s="157"/>
      <c r="D71" s="26"/>
      <c r="E71" s="78">
        <v>5125</v>
      </c>
      <c r="F71" s="149" t="s">
        <v>35</v>
      </c>
      <c r="G71" s="58">
        <f>'Benchmarking Calculations'!G36</f>
        <v>801180.08</v>
      </c>
      <c r="H71" s="224">
        <v>680076.61</v>
      </c>
      <c r="I71" s="224">
        <v>724631.01</v>
      </c>
      <c r="J71" s="224">
        <v>701201.4</v>
      </c>
      <c r="K71" s="224"/>
      <c r="L71" s="119"/>
      <c r="M71" s="141"/>
      <c r="N71" s="153" t="s">
        <v>172</v>
      </c>
    </row>
    <row r="72" spans="3:14" x14ac:dyDescent="0.25">
      <c r="C72" s="157"/>
      <c r="D72" s="26"/>
      <c r="E72" s="78">
        <v>5130</v>
      </c>
      <c r="F72" s="149" t="s">
        <v>36</v>
      </c>
      <c r="G72" s="58">
        <f>'Benchmarking Calculations'!G37</f>
        <v>371102.38</v>
      </c>
      <c r="H72" s="224">
        <v>360745.16000000003</v>
      </c>
      <c r="I72" s="224">
        <v>305564.59999999998</v>
      </c>
      <c r="J72" s="224">
        <v>297423.31</v>
      </c>
      <c r="K72" s="224"/>
      <c r="L72" s="119"/>
      <c r="M72" s="141"/>
      <c r="N72" s="153" t="s">
        <v>172</v>
      </c>
    </row>
    <row r="73" spans="3:14" x14ac:dyDescent="0.25">
      <c r="C73" s="157"/>
      <c r="D73" s="26"/>
      <c r="E73" s="78">
        <v>5135</v>
      </c>
      <c r="F73" s="149" t="s">
        <v>37</v>
      </c>
      <c r="G73" s="58">
        <f>'Benchmarking Calculations'!G38</f>
        <v>509893.59</v>
      </c>
      <c r="H73" s="224">
        <v>504332.58999999997</v>
      </c>
      <c r="I73" s="224">
        <v>529072.97</v>
      </c>
      <c r="J73" s="224">
        <v>539029.6</v>
      </c>
      <c r="K73" s="224"/>
      <c r="L73" s="119"/>
      <c r="M73" s="141"/>
      <c r="N73" s="153" t="s">
        <v>172</v>
      </c>
    </row>
    <row r="74" spans="3:14" x14ac:dyDescent="0.25">
      <c r="C74" s="157"/>
      <c r="D74" s="26"/>
      <c r="E74" s="78">
        <v>5145</v>
      </c>
      <c r="F74" s="149" t="s">
        <v>38</v>
      </c>
      <c r="G74" s="58">
        <f>'Benchmarking Calculations'!G39</f>
        <v>40997.800000000003</v>
      </c>
      <c r="H74" s="224">
        <v>30605.360000000001</v>
      </c>
      <c r="I74" s="224">
        <v>94157.75</v>
      </c>
      <c r="J74" s="224">
        <v>95195.47</v>
      </c>
      <c r="K74" s="224"/>
      <c r="L74" s="119"/>
      <c r="M74" s="141"/>
      <c r="N74" s="153" t="s">
        <v>172</v>
      </c>
    </row>
    <row r="75" spans="3:14" x14ac:dyDescent="0.25">
      <c r="C75" s="157"/>
      <c r="D75" s="26"/>
      <c r="E75" s="78">
        <v>5150</v>
      </c>
      <c r="F75" s="149" t="s">
        <v>39</v>
      </c>
      <c r="G75" s="58">
        <f>'Benchmarking Calculations'!G40</f>
        <v>560996.25</v>
      </c>
      <c r="H75" s="224">
        <v>606278.74</v>
      </c>
      <c r="I75" s="224">
        <v>560614.48</v>
      </c>
      <c r="J75" s="224">
        <v>548032.63</v>
      </c>
      <c r="K75" s="224"/>
      <c r="L75" s="119"/>
      <c r="M75" s="141"/>
      <c r="N75" s="153" t="s">
        <v>172</v>
      </c>
    </row>
    <row r="76" spans="3:14" x14ac:dyDescent="0.25">
      <c r="C76" s="157"/>
      <c r="D76" s="26"/>
      <c r="E76" s="78">
        <v>5155</v>
      </c>
      <c r="F76" s="149" t="s">
        <v>40</v>
      </c>
      <c r="G76" s="58">
        <f>'Benchmarking Calculations'!G41</f>
        <v>109421.08</v>
      </c>
      <c r="H76" s="224">
        <v>132172.63999999998</v>
      </c>
      <c r="I76" s="224">
        <v>117848.87</v>
      </c>
      <c r="J76" s="224">
        <v>115620.13</v>
      </c>
      <c r="K76" s="224"/>
      <c r="L76" s="119"/>
      <c r="M76" s="141"/>
      <c r="N76" s="153" t="s">
        <v>172</v>
      </c>
    </row>
    <row r="77" spans="3:14" x14ac:dyDescent="0.25">
      <c r="C77" s="157"/>
      <c r="D77" s="26"/>
      <c r="E77" s="78">
        <v>5160</v>
      </c>
      <c r="F77" s="149" t="s">
        <v>41</v>
      </c>
      <c r="G77" s="58">
        <f>'Benchmarking Calculations'!G42</f>
        <v>186092.61</v>
      </c>
      <c r="H77" s="224">
        <v>140942.12</v>
      </c>
      <c r="I77" s="224">
        <v>187381.82</v>
      </c>
      <c r="J77" s="224">
        <v>188320.63</v>
      </c>
      <c r="K77" s="224"/>
      <c r="L77" s="119"/>
      <c r="M77" s="141"/>
      <c r="N77" s="153" t="s">
        <v>172</v>
      </c>
    </row>
    <row r="78" spans="3:14" x14ac:dyDescent="0.25">
      <c r="C78" s="157"/>
      <c r="D78" s="26"/>
      <c r="E78" s="111">
        <v>5175</v>
      </c>
      <c r="F78" s="167" t="s">
        <v>42</v>
      </c>
      <c r="G78" s="112">
        <f>'Benchmarking Calculations'!G43</f>
        <v>0</v>
      </c>
      <c r="H78" s="224"/>
      <c r="I78" s="224"/>
      <c r="J78" s="224"/>
      <c r="K78" s="224"/>
      <c r="L78" s="119"/>
      <c r="M78" s="141"/>
      <c r="N78" s="153" t="s">
        <v>172</v>
      </c>
    </row>
    <row r="79" spans="3:14" x14ac:dyDescent="0.25">
      <c r="C79" s="157"/>
      <c r="D79" s="26"/>
      <c r="E79" s="16"/>
      <c r="F79" s="80" t="s">
        <v>43</v>
      </c>
      <c r="G79" s="110">
        <f>'Benchmarking Calculations'!G44</f>
        <v>2671173.33</v>
      </c>
      <c r="H79" s="81">
        <f t="shared" ref="H79:I79" si="8">SUM(H66:H78)</f>
        <v>2541687.9800000004</v>
      </c>
      <c r="I79" s="81">
        <f t="shared" si="8"/>
        <v>2674678.36</v>
      </c>
      <c r="J79" s="81">
        <f t="shared" ref="J79:M79" si="9">SUM(J66:J78)</f>
        <v>2641601.9899999998</v>
      </c>
      <c r="K79" s="81">
        <f t="shared" si="9"/>
        <v>0</v>
      </c>
      <c r="L79" s="81">
        <f t="shared" si="9"/>
        <v>0</v>
      </c>
      <c r="M79" s="81">
        <f t="shared" si="9"/>
        <v>0</v>
      </c>
      <c r="N79" s="158" t="s">
        <v>29</v>
      </c>
    </row>
    <row r="80" spans="3:14" x14ac:dyDescent="0.25">
      <c r="C80" s="157"/>
      <c r="D80" s="26"/>
      <c r="E80" s="78">
        <v>5305</v>
      </c>
      <c r="F80" s="78" t="s">
        <v>44</v>
      </c>
      <c r="G80" s="58">
        <f>'Benchmarking Calculations'!G45</f>
        <v>915849.25</v>
      </c>
      <c r="H80" s="224">
        <v>868836.27999999991</v>
      </c>
      <c r="I80" s="224">
        <v>954097.36</v>
      </c>
      <c r="J80" s="224">
        <v>983988</v>
      </c>
      <c r="K80" s="224"/>
      <c r="L80" s="119"/>
      <c r="M80" s="141"/>
      <c r="N80" s="153" t="s">
        <v>172</v>
      </c>
    </row>
    <row r="81" spans="3:14" x14ac:dyDescent="0.25">
      <c r="C81" s="157"/>
      <c r="D81" s="26"/>
      <c r="E81" s="78">
        <v>5310</v>
      </c>
      <c r="F81" s="78" t="s">
        <v>45</v>
      </c>
      <c r="G81" s="58">
        <f>'Benchmarking Calculations'!G46</f>
        <v>374157.31</v>
      </c>
      <c r="H81" s="224">
        <v>372667.66</v>
      </c>
      <c r="I81" s="224">
        <v>420593.51</v>
      </c>
      <c r="J81" s="224">
        <v>467742</v>
      </c>
      <c r="K81" s="224"/>
      <c r="L81" s="119"/>
      <c r="M81" s="141"/>
      <c r="N81" s="153" t="s">
        <v>172</v>
      </c>
    </row>
    <row r="82" spans="3:14" x14ac:dyDescent="0.25">
      <c r="C82" s="157"/>
      <c r="D82" s="26"/>
      <c r="E82" s="78">
        <v>5315</v>
      </c>
      <c r="F82" s="78" t="s">
        <v>46</v>
      </c>
      <c r="G82" s="58">
        <f>'Benchmarking Calculations'!G47</f>
        <v>1401714.96</v>
      </c>
      <c r="H82" s="224">
        <v>1347173.46</v>
      </c>
      <c r="I82" s="224">
        <v>1405214.58</v>
      </c>
      <c r="J82" s="224">
        <v>1811806.74</v>
      </c>
      <c r="K82" s="224"/>
      <c r="L82" s="119"/>
      <c r="M82" s="141"/>
      <c r="N82" s="153" t="s">
        <v>172</v>
      </c>
    </row>
    <row r="83" spans="3:14" x14ac:dyDescent="0.25">
      <c r="C83" s="157"/>
      <c r="D83" s="26"/>
      <c r="E83" s="78">
        <v>5320</v>
      </c>
      <c r="F83" s="78" t="s">
        <v>47</v>
      </c>
      <c r="G83" s="58">
        <f>'Benchmarking Calculations'!G48</f>
        <v>305336.12</v>
      </c>
      <c r="H83" s="224">
        <v>278290.24</v>
      </c>
      <c r="I83" s="224">
        <v>314973.42</v>
      </c>
      <c r="J83" s="224">
        <v>403051</v>
      </c>
      <c r="K83" s="224"/>
      <c r="L83" s="119"/>
      <c r="M83" s="141"/>
      <c r="N83" s="153" t="s">
        <v>172</v>
      </c>
    </row>
    <row r="84" spans="3:14" x14ac:dyDescent="0.25">
      <c r="C84" s="157"/>
      <c r="D84" s="26"/>
      <c r="E84" s="78">
        <v>5325</v>
      </c>
      <c r="F84" s="78" t="s">
        <v>48</v>
      </c>
      <c r="G84" s="58">
        <f>'Benchmarking Calculations'!G49</f>
        <v>112.92</v>
      </c>
      <c r="H84" s="224">
        <v>-1.53</v>
      </c>
      <c r="I84" s="224">
        <v>0</v>
      </c>
      <c r="J84" s="224">
        <v>0</v>
      </c>
      <c r="K84" s="224"/>
      <c r="L84" s="119"/>
      <c r="M84" s="141"/>
      <c r="N84" s="153" t="s">
        <v>172</v>
      </c>
    </row>
    <row r="85" spans="3:14" x14ac:dyDescent="0.25">
      <c r="C85" s="157"/>
      <c r="D85" s="26"/>
      <c r="E85" s="78">
        <v>5330</v>
      </c>
      <c r="F85" s="78" t="s">
        <v>49</v>
      </c>
      <c r="G85" s="58">
        <f>'Benchmarking Calculations'!G50</f>
        <v>23538.46</v>
      </c>
      <c r="H85" s="224">
        <v>18214.71</v>
      </c>
      <c r="I85" s="224">
        <v>29328</v>
      </c>
      <c r="J85" s="224">
        <v>29328</v>
      </c>
      <c r="K85" s="224"/>
      <c r="L85" s="119"/>
      <c r="M85" s="141"/>
      <c r="N85" s="153" t="s">
        <v>172</v>
      </c>
    </row>
    <row r="86" spans="3:14" x14ac:dyDescent="0.25">
      <c r="C86" s="157"/>
      <c r="D86" s="26"/>
      <c r="E86" s="111">
        <v>5340</v>
      </c>
      <c r="F86" s="111" t="s">
        <v>50</v>
      </c>
      <c r="G86" s="112">
        <f>'Benchmarking Calculations'!G51</f>
        <v>0</v>
      </c>
      <c r="H86" s="224">
        <v>0</v>
      </c>
      <c r="I86" s="224">
        <v>0</v>
      </c>
      <c r="J86" s="224">
        <v>0</v>
      </c>
      <c r="K86" s="224"/>
      <c r="L86" s="119"/>
      <c r="M86" s="141"/>
      <c r="N86" s="153" t="s">
        <v>172</v>
      </c>
    </row>
    <row r="87" spans="3:14" x14ac:dyDescent="0.25">
      <c r="C87" s="157"/>
      <c r="D87" s="26"/>
      <c r="E87" s="16"/>
      <c r="F87" s="80" t="s">
        <v>51</v>
      </c>
      <c r="G87" s="110">
        <f>'Benchmarking Calculations'!G52</f>
        <v>3020709.02</v>
      </c>
      <c r="H87" s="81">
        <f t="shared" ref="H87:M87" si="10">SUM(H80:H86)</f>
        <v>2885180.82</v>
      </c>
      <c r="I87" s="81">
        <f t="shared" si="10"/>
        <v>3124206.87</v>
      </c>
      <c r="J87" s="81">
        <f t="shared" si="10"/>
        <v>3695915.74</v>
      </c>
      <c r="K87" s="81">
        <f t="shared" si="10"/>
        <v>0</v>
      </c>
      <c r="L87" s="81">
        <f t="shared" si="10"/>
        <v>0</v>
      </c>
      <c r="M87" s="81">
        <f t="shared" si="10"/>
        <v>0</v>
      </c>
      <c r="N87" s="158" t="s">
        <v>29</v>
      </c>
    </row>
    <row r="88" spans="3:14" x14ac:dyDescent="0.25">
      <c r="C88" s="157"/>
      <c r="D88" s="26"/>
      <c r="E88" s="78">
        <v>5405</v>
      </c>
      <c r="F88" s="78" t="s">
        <v>52</v>
      </c>
      <c r="G88" s="58">
        <f>'Benchmarking Calculations'!G53</f>
        <v>1597.28</v>
      </c>
      <c r="H88" s="224">
        <v>2934.5299999999997</v>
      </c>
      <c r="I88" s="224">
        <v>4175</v>
      </c>
      <c r="J88" s="224">
        <v>6220</v>
      </c>
      <c r="K88" s="224"/>
      <c r="L88" s="119"/>
      <c r="M88" s="141"/>
      <c r="N88" s="153" t="s">
        <v>172</v>
      </c>
    </row>
    <row r="89" spans="3:14" x14ac:dyDescent="0.25">
      <c r="C89" s="157"/>
      <c r="D89" s="26"/>
      <c r="E89" s="78">
        <v>5410</v>
      </c>
      <c r="F89" s="78" t="s">
        <v>53</v>
      </c>
      <c r="G89" s="58">
        <f>'Benchmarking Calculations'!G54</f>
        <v>17823.29</v>
      </c>
      <c r="H89" s="224">
        <v>15315.470000000001</v>
      </c>
      <c r="I89" s="224">
        <v>20000</v>
      </c>
      <c r="J89" s="224">
        <v>21725</v>
      </c>
      <c r="K89" s="224"/>
      <c r="L89" s="119"/>
      <c r="M89" s="141"/>
      <c r="N89" s="153" t="s">
        <v>172</v>
      </c>
    </row>
    <row r="90" spans="3:14" x14ac:dyDescent="0.25">
      <c r="C90" s="157"/>
      <c r="D90" s="26"/>
      <c r="E90" s="78">
        <v>5420</v>
      </c>
      <c r="F90" s="78" t="s">
        <v>54</v>
      </c>
      <c r="G90" s="58">
        <f>'Benchmarking Calculations'!G55</f>
        <v>78417.97</v>
      </c>
      <c r="H90" s="224">
        <v>79461.63</v>
      </c>
      <c r="I90" s="224">
        <v>69380</v>
      </c>
      <c r="J90" s="224">
        <v>70270</v>
      </c>
      <c r="K90" s="224"/>
      <c r="L90" s="119"/>
      <c r="M90" s="141"/>
      <c r="N90" s="153" t="s">
        <v>172</v>
      </c>
    </row>
    <row r="91" spans="3:14" x14ac:dyDescent="0.25">
      <c r="C91" s="157"/>
      <c r="D91" s="26"/>
      <c r="E91" s="111">
        <v>5425</v>
      </c>
      <c r="F91" s="111" t="s">
        <v>55</v>
      </c>
      <c r="G91" s="112">
        <f>'Benchmarking Calculations'!G56</f>
        <v>0</v>
      </c>
      <c r="H91" s="224"/>
      <c r="I91" s="224"/>
      <c r="J91" s="224"/>
      <c r="K91" s="224"/>
      <c r="L91" s="119"/>
      <c r="M91" s="141"/>
      <c r="N91" s="153" t="s">
        <v>172</v>
      </c>
    </row>
    <row r="92" spans="3:14" x14ac:dyDescent="0.25">
      <c r="C92" s="157"/>
      <c r="D92" s="26"/>
      <c r="E92" s="16"/>
      <c r="F92" s="80" t="s">
        <v>56</v>
      </c>
      <c r="G92" s="110">
        <f>'Benchmarking Calculations'!G57</f>
        <v>97838.540000000008</v>
      </c>
      <c r="H92" s="81">
        <f t="shared" ref="H92:I92" si="11">SUM(H88:H91)</f>
        <v>97711.63</v>
      </c>
      <c r="I92" s="81">
        <f t="shared" si="11"/>
        <v>93555</v>
      </c>
      <c r="J92" s="81">
        <f t="shared" ref="J92:M92" si="12">SUM(J88:J91)</f>
        <v>98215</v>
      </c>
      <c r="K92" s="81">
        <f t="shared" si="12"/>
        <v>0</v>
      </c>
      <c r="L92" s="81">
        <f t="shared" si="12"/>
        <v>0</v>
      </c>
      <c r="M92" s="81">
        <f t="shared" si="12"/>
        <v>0</v>
      </c>
      <c r="N92" s="158" t="s">
        <v>29</v>
      </c>
    </row>
    <row r="93" spans="3:14" x14ac:dyDescent="0.25">
      <c r="C93" s="157"/>
      <c r="D93" s="26"/>
      <c r="E93" s="78">
        <v>5605</v>
      </c>
      <c r="F93" s="78" t="s">
        <v>57</v>
      </c>
      <c r="G93" s="58">
        <f>'Benchmarking Calculations'!G58</f>
        <v>1794287.99</v>
      </c>
      <c r="H93" s="224">
        <v>1823432.83</v>
      </c>
      <c r="I93" s="224">
        <v>1935226.86</v>
      </c>
      <c r="J93" s="224">
        <v>1858015.658630098</v>
      </c>
      <c r="K93" s="224"/>
      <c r="L93" s="119"/>
      <c r="M93" s="141"/>
      <c r="N93" s="153" t="s">
        <v>172</v>
      </c>
    </row>
    <row r="94" spans="3:14" x14ac:dyDescent="0.25">
      <c r="C94" s="157"/>
      <c r="D94" s="26"/>
      <c r="E94" s="78">
        <v>5610</v>
      </c>
      <c r="F94" s="78" t="s">
        <v>58</v>
      </c>
      <c r="G94" s="58">
        <f>'Benchmarking Calculations'!G59</f>
        <v>2463134.73</v>
      </c>
      <c r="H94" s="224">
        <v>2211518.94</v>
      </c>
      <c r="I94" s="224">
        <v>2135076.1800000002</v>
      </c>
      <c r="J94" s="224">
        <v>2159989</v>
      </c>
      <c r="K94" s="224"/>
      <c r="L94" s="119"/>
      <c r="M94" s="141"/>
      <c r="N94" s="153" t="s">
        <v>172</v>
      </c>
    </row>
    <row r="95" spans="3:14" x14ac:dyDescent="0.25">
      <c r="C95" s="157"/>
      <c r="D95" s="26"/>
      <c r="E95" s="78">
        <v>5615</v>
      </c>
      <c r="F95" s="78" t="s">
        <v>59</v>
      </c>
      <c r="G95" s="58">
        <f>'Benchmarking Calculations'!G60</f>
        <v>1336153.6100000001</v>
      </c>
      <c r="H95" s="224">
        <v>1345885.8699999999</v>
      </c>
      <c r="I95" s="224">
        <v>1351169.47</v>
      </c>
      <c r="J95" s="224">
        <v>1354543</v>
      </c>
      <c r="K95" s="224"/>
      <c r="L95" s="119"/>
      <c r="M95" s="141"/>
      <c r="N95" s="153" t="s">
        <v>172</v>
      </c>
    </row>
    <row r="96" spans="3:14" x14ac:dyDescent="0.25">
      <c r="C96" s="157"/>
      <c r="D96" s="26"/>
      <c r="E96" s="78">
        <v>5620</v>
      </c>
      <c r="F96" s="78" t="s">
        <v>60</v>
      </c>
      <c r="G96" s="58">
        <f>'Benchmarking Calculations'!G61</f>
        <v>512121.13</v>
      </c>
      <c r="H96" s="224">
        <v>446161.73000000004</v>
      </c>
      <c r="I96" s="224">
        <v>488648</v>
      </c>
      <c r="J96" s="224">
        <v>486337</v>
      </c>
      <c r="K96" s="224"/>
      <c r="L96" s="119"/>
      <c r="M96" s="141"/>
      <c r="N96" s="153" t="s">
        <v>172</v>
      </c>
    </row>
    <row r="97" spans="3:14" x14ac:dyDescent="0.25">
      <c r="C97" s="157"/>
      <c r="D97" s="26"/>
      <c r="E97" s="78">
        <v>5625</v>
      </c>
      <c r="F97" s="78" t="s">
        <v>61</v>
      </c>
      <c r="G97" s="58">
        <f>'Benchmarking Calculations'!G62</f>
        <v>-248988.9</v>
      </c>
      <c r="H97" s="224">
        <v>-1200</v>
      </c>
      <c r="I97" s="224">
        <v>-1200</v>
      </c>
      <c r="J97" s="224">
        <v>-1200</v>
      </c>
      <c r="K97" s="224"/>
      <c r="L97" s="119"/>
      <c r="M97" s="141"/>
      <c r="N97" s="153" t="s">
        <v>172</v>
      </c>
    </row>
    <row r="98" spans="3:14" x14ac:dyDescent="0.25">
      <c r="C98" s="157"/>
      <c r="D98" s="26"/>
      <c r="E98" s="78">
        <v>5630</v>
      </c>
      <c r="F98" s="78" t="s">
        <v>62</v>
      </c>
      <c r="G98" s="58">
        <f>'Benchmarking Calculations'!G63</f>
        <v>498970.94</v>
      </c>
      <c r="H98" s="224">
        <v>511061.45999999996</v>
      </c>
      <c r="I98" s="224">
        <v>341409</v>
      </c>
      <c r="J98" s="224">
        <v>368393</v>
      </c>
      <c r="K98" s="224"/>
      <c r="L98" s="119"/>
      <c r="M98" s="141"/>
      <c r="N98" s="153" t="s">
        <v>172</v>
      </c>
    </row>
    <row r="99" spans="3:14" x14ac:dyDescent="0.25">
      <c r="C99" s="157"/>
      <c r="D99" s="26"/>
      <c r="E99" s="78">
        <v>5640</v>
      </c>
      <c r="F99" s="78" t="s">
        <v>63</v>
      </c>
      <c r="G99" s="58">
        <f>'Benchmarking Calculations'!G64</f>
        <v>148566.64000000001</v>
      </c>
      <c r="H99" s="224">
        <v>177777.24</v>
      </c>
      <c r="I99" s="224">
        <v>193140</v>
      </c>
      <c r="J99" s="224">
        <v>195076</v>
      </c>
      <c r="K99" s="224"/>
      <c r="L99" s="119"/>
      <c r="M99" s="141"/>
      <c r="N99" s="153" t="s">
        <v>172</v>
      </c>
    </row>
    <row r="100" spans="3:14" x14ac:dyDescent="0.25">
      <c r="C100" s="157"/>
      <c r="D100" s="26"/>
      <c r="E100" s="78">
        <v>5645</v>
      </c>
      <c r="F100" s="78" t="s">
        <v>64</v>
      </c>
      <c r="G100" s="58">
        <f>'Benchmarking Calculations'!G65</f>
        <v>288928.36</v>
      </c>
      <c r="H100" s="224">
        <v>332957.93001000001</v>
      </c>
      <c r="I100" s="224">
        <v>329544</v>
      </c>
      <c r="J100" s="224">
        <v>334909.08</v>
      </c>
      <c r="K100" s="224"/>
      <c r="L100" s="119"/>
      <c r="M100" s="141"/>
      <c r="N100" s="153" t="s">
        <v>172</v>
      </c>
    </row>
    <row r="101" spans="3:14" x14ac:dyDescent="0.25">
      <c r="C101" s="157"/>
      <c r="D101" s="26"/>
      <c r="E101" s="78">
        <v>5646</v>
      </c>
      <c r="F101" s="78" t="s">
        <v>65</v>
      </c>
      <c r="G101" s="58">
        <f>'Benchmarking Calculations'!G66</f>
        <v>0</v>
      </c>
      <c r="H101" s="224"/>
      <c r="I101" s="224"/>
      <c r="J101" s="224"/>
      <c r="K101" s="224"/>
      <c r="L101" s="119"/>
      <c r="M101" s="141"/>
      <c r="N101" s="153" t="s">
        <v>172</v>
      </c>
    </row>
    <row r="102" spans="3:14" x14ac:dyDescent="0.25">
      <c r="C102" s="157"/>
      <c r="D102" s="26"/>
      <c r="E102" s="78">
        <v>5647</v>
      </c>
      <c r="F102" s="78" t="s">
        <v>66</v>
      </c>
      <c r="G102" s="58">
        <f>'Benchmarking Calculations'!G67</f>
        <v>0</v>
      </c>
      <c r="H102" s="224"/>
      <c r="I102" s="224"/>
      <c r="J102" s="224"/>
      <c r="K102" s="224"/>
      <c r="L102" s="119"/>
      <c r="M102" s="141"/>
      <c r="N102" s="153" t="s">
        <v>172</v>
      </c>
    </row>
    <row r="103" spans="3:14" x14ac:dyDescent="0.25">
      <c r="C103" s="157"/>
      <c r="D103" s="26"/>
      <c r="E103" s="78">
        <v>5650</v>
      </c>
      <c r="F103" s="78" t="s">
        <v>67</v>
      </c>
      <c r="G103" s="58">
        <f>'Benchmarking Calculations'!G68</f>
        <v>0</v>
      </c>
      <c r="H103" s="224"/>
      <c r="I103" s="224"/>
      <c r="J103" s="224"/>
      <c r="K103" s="224"/>
      <c r="L103" s="119"/>
      <c r="M103" s="141"/>
      <c r="N103" s="153" t="s">
        <v>172</v>
      </c>
    </row>
    <row r="104" spans="3:14" x14ac:dyDescent="0.25">
      <c r="C104" s="157"/>
      <c r="D104" s="26"/>
      <c r="E104" s="78">
        <v>5655</v>
      </c>
      <c r="F104" s="78" t="s">
        <v>68</v>
      </c>
      <c r="G104" s="58">
        <f>'Benchmarking Calculations'!G69</f>
        <v>242454.12</v>
      </c>
      <c r="H104" s="224">
        <v>661068.05000000005</v>
      </c>
      <c r="I104" s="224">
        <v>418236</v>
      </c>
      <c r="J104" s="224">
        <v>504512</v>
      </c>
      <c r="K104" s="224"/>
      <c r="L104" s="119"/>
      <c r="M104" s="141"/>
      <c r="N104" s="153" t="s">
        <v>172</v>
      </c>
    </row>
    <row r="105" spans="3:14" x14ac:dyDescent="0.25">
      <c r="C105" s="157"/>
      <c r="D105" s="26"/>
      <c r="E105" s="78">
        <v>5665</v>
      </c>
      <c r="F105" s="78" t="s">
        <v>69</v>
      </c>
      <c r="G105" s="58">
        <f>'Benchmarking Calculations'!G70</f>
        <v>972.43</v>
      </c>
      <c r="H105" s="224">
        <v>1001.26</v>
      </c>
      <c r="I105" s="224">
        <v>940</v>
      </c>
      <c r="J105" s="224">
        <v>945</v>
      </c>
      <c r="K105" s="224"/>
      <c r="L105" s="119"/>
      <c r="M105" s="141"/>
      <c r="N105" s="153" t="s">
        <v>172</v>
      </c>
    </row>
    <row r="106" spans="3:14" x14ac:dyDescent="0.25">
      <c r="C106" s="157"/>
      <c r="D106" s="26"/>
      <c r="E106" s="78">
        <v>5670</v>
      </c>
      <c r="F106" s="78" t="s">
        <v>70</v>
      </c>
      <c r="G106" s="58">
        <f>'Benchmarking Calculations'!G71</f>
        <v>0</v>
      </c>
      <c r="H106" s="224"/>
      <c r="I106" s="224"/>
      <c r="J106" s="224"/>
      <c r="K106" s="224"/>
      <c r="L106" s="119"/>
      <c r="M106" s="141"/>
      <c r="N106" s="153" t="s">
        <v>172</v>
      </c>
    </row>
    <row r="107" spans="3:14" x14ac:dyDescent="0.25">
      <c r="C107" s="157"/>
      <c r="D107" s="26"/>
      <c r="E107" s="78">
        <v>5672</v>
      </c>
      <c r="F107" s="78" t="s">
        <v>71</v>
      </c>
      <c r="G107" s="58">
        <f>'Benchmarking Calculations'!G72</f>
        <v>34613.64</v>
      </c>
      <c r="H107" s="224">
        <v>0</v>
      </c>
      <c r="I107" s="224">
        <v>41832</v>
      </c>
      <c r="J107" s="224">
        <v>42004</v>
      </c>
      <c r="K107" s="224"/>
      <c r="L107" s="119"/>
      <c r="M107" s="141"/>
      <c r="N107" s="153" t="s">
        <v>172</v>
      </c>
    </row>
    <row r="108" spans="3:14" x14ac:dyDescent="0.25">
      <c r="C108" s="157"/>
      <c r="D108" s="26"/>
      <c r="E108" s="78">
        <v>5675</v>
      </c>
      <c r="F108" s="78" t="s">
        <v>72</v>
      </c>
      <c r="G108" s="58">
        <f>'Benchmarking Calculations'!G73</f>
        <v>1074556.43</v>
      </c>
      <c r="H108" s="224">
        <v>1205199.29</v>
      </c>
      <c r="I108" s="224">
        <v>1209648</v>
      </c>
      <c r="J108" s="224">
        <v>1238173.04</v>
      </c>
      <c r="K108" s="224"/>
      <c r="L108" s="119"/>
      <c r="M108" s="141"/>
      <c r="N108" s="153" t="s">
        <v>172</v>
      </c>
    </row>
    <row r="109" spans="3:14" x14ac:dyDescent="0.25">
      <c r="C109" s="157"/>
      <c r="D109" s="26"/>
      <c r="E109" s="111">
        <v>5680</v>
      </c>
      <c r="F109" s="111" t="s">
        <v>73</v>
      </c>
      <c r="G109" s="112">
        <f>'Benchmarking Calculations'!G74</f>
        <v>0</v>
      </c>
      <c r="H109" s="224"/>
      <c r="I109" s="224"/>
      <c r="J109" s="224"/>
      <c r="K109" s="224"/>
      <c r="L109" s="119"/>
      <c r="M109" s="141"/>
      <c r="N109" s="153" t="s">
        <v>172</v>
      </c>
    </row>
    <row r="110" spans="3:14" x14ac:dyDescent="0.25">
      <c r="C110" s="157"/>
      <c r="D110" s="26"/>
      <c r="E110" s="13"/>
      <c r="F110" s="80" t="s">
        <v>74</v>
      </c>
      <c r="G110" s="110">
        <f>'Benchmarking Calculations'!G75</f>
        <v>8145771.1199999992</v>
      </c>
      <c r="H110" s="81">
        <f t="shared" ref="H110:M110" si="13">SUM(H93:H109)</f>
        <v>8714864.6000100002</v>
      </c>
      <c r="I110" s="81">
        <f t="shared" si="13"/>
        <v>8443669.5099999998</v>
      </c>
      <c r="J110" s="81">
        <f t="shared" si="13"/>
        <v>8541696.7786300983</v>
      </c>
      <c r="K110" s="81">
        <f t="shared" si="13"/>
        <v>0</v>
      </c>
      <c r="L110" s="81">
        <f t="shared" si="13"/>
        <v>0</v>
      </c>
      <c r="M110" s="81">
        <f t="shared" si="13"/>
        <v>0</v>
      </c>
      <c r="N110" s="158" t="s">
        <v>29</v>
      </c>
    </row>
    <row r="111" spans="3:14" x14ac:dyDescent="0.25">
      <c r="C111" s="157"/>
      <c r="D111" s="26"/>
      <c r="E111" s="78">
        <v>5635</v>
      </c>
      <c r="F111" s="78" t="s">
        <v>75</v>
      </c>
      <c r="G111" s="58">
        <f>'Benchmarking Calculations'!G76</f>
        <v>33076.589999999997</v>
      </c>
      <c r="H111" s="224">
        <v>27721.31</v>
      </c>
      <c r="I111" s="224">
        <v>27996</v>
      </c>
      <c r="J111" s="224">
        <v>28272</v>
      </c>
      <c r="K111" s="224"/>
      <c r="L111" s="119"/>
      <c r="M111" s="141"/>
      <c r="N111" s="153" t="s">
        <v>172</v>
      </c>
    </row>
    <row r="112" spans="3:14" x14ac:dyDescent="0.25">
      <c r="C112" s="157"/>
      <c r="D112" s="26"/>
      <c r="E112" s="111">
        <v>6210</v>
      </c>
      <c r="F112" s="111" t="s">
        <v>76</v>
      </c>
      <c r="G112" s="112">
        <f>'Benchmarking Calculations'!G77</f>
        <v>0</v>
      </c>
      <c r="H112" s="224">
        <v>0</v>
      </c>
      <c r="I112" s="224">
        <v>0</v>
      </c>
      <c r="J112" s="224">
        <v>0</v>
      </c>
      <c r="K112" s="224"/>
      <c r="L112" s="119"/>
      <c r="M112" s="141"/>
      <c r="N112" s="153" t="s">
        <v>172</v>
      </c>
    </row>
    <row r="113" spans="3:14" x14ac:dyDescent="0.25">
      <c r="C113" s="157"/>
      <c r="D113" s="26"/>
      <c r="E113" s="26"/>
      <c r="F113" s="80" t="s">
        <v>77</v>
      </c>
      <c r="G113" s="110">
        <f>'Benchmarking Calculations'!G78</f>
        <v>33076.589999999997</v>
      </c>
      <c r="H113" s="81">
        <f t="shared" ref="H113:I113" si="14">H111+H112</f>
        <v>27721.31</v>
      </c>
      <c r="I113" s="81">
        <f t="shared" si="14"/>
        <v>27996</v>
      </c>
      <c r="J113" s="81">
        <f t="shared" ref="J113:M113" si="15">J111+J112</f>
        <v>28272</v>
      </c>
      <c r="K113" s="81">
        <f t="shared" si="15"/>
        <v>0</v>
      </c>
      <c r="L113" s="81">
        <f t="shared" si="15"/>
        <v>0</v>
      </c>
      <c r="M113" s="81">
        <f t="shared" si="15"/>
        <v>0</v>
      </c>
      <c r="N113" s="158" t="s">
        <v>29</v>
      </c>
    </row>
    <row r="114" spans="3:14" x14ac:dyDescent="0.25">
      <c r="C114" s="157"/>
      <c r="D114" s="26"/>
      <c r="E114" s="113">
        <v>5515</v>
      </c>
      <c r="F114" s="111" t="s">
        <v>78</v>
      </c>
      <c r="G114" s="112">
        <f>'Benchmarking Calculations'!G79</f>
        <v>0</v>
      </c>
      <c r="H114" s="224">
        <v>0</v>
      </c>
      <c r="I114" s="224">
        <v>0</v>
      </c>
      <c r="J114" s="224">
        <v>0</v>
      </c>
      <c r="K114" s="141"/>
      <c r="L114" s="141"/>
      <c r="M114" s="141"/>
      <c r="N114" s="153" t="s">
        <v>172</v>
      </c>
    </row>
    <row r="115" spans="3:14" x14ac:dyDescent="0.25">
      <c r="C115" s="157"/>
      <c r="D115" s="77"/>
      <c r="E115" s="16"/>
      <c r="F115" s="80" t="s">
        <v>79</v>
      </c>
      <c r="G115" s="110">
        <f>'Benchmarking Calculations'!G80</f>
        <v>0</v>
      </c>
      <c r="H115" s="81">
        <f t="shared" ref="H115:I115" si="16">H114</f>
        <v>0</v>
      </c>
      <c r="I115" s="81">
        <f t="shared" si="16"/>
        <v>0</v>
      </c>
      <c r="J115" s="81">
        <f t="shared" ref="J115:M115" si="17">J114</f>
        <v>0</v>
      </c>
      <c r="K115" s="81">
        <f t="shared" si="17"/>
        <v>0</v>
      </c>
      <c r="L115" s="81">
        <f t="shared" si="17"/>
        <v>0</v>
      </c>
      <c r="M115" s="81">
        <f t="shared" si="17"/>
        <v>0</v>
      </c>
      <c r="N115" s="158" t="s">
        <v>29</v>
      </c>
    </row>
    <row r="116" spans="3:14" x14ac:dyDescent="0.25">
      <c r="C116" s="157"/>
      <c r="D116" s="77"/>
      <c r="E116" s="170" t="s">
        <v>199</v>
      </c>
      <c r="F116" s="80" t="s">
        <v>80</v>
      </c>
      <c r="G116" s="58">
        <f>'Benchmarking Calculations'!G81</f>
        <v>16902993.639999997</v>
      </c>
      <c r="H116" s="81">
        <f t="shared" ref="H116:M116" si="18">H115+H113+H110+H92+H87+H79+H65</f>
        <v>17472159.720010001</v>
      </c>
      <c r="I116" s="81">
        <f t="shared" si="18"/>
        <v>17604735.039999999</v>
      </c>
      <c r="J116" s="81">
        <f t="shared" si="18"/>
        <v>18239889.310000002</v>
      </c>
      <c r="K116" s="81">
        <f t="shared" si="18"/>
        <v>0</v>
      </c>
      <c r="L116" s="81">
        <f t="shared" si="18"/>
        <v>0</v>
      </c>
      <c r="M116" s="81">
        <f t="shared" si="18"/>
        <v>0</v>
      </c>
      <c r="N116" s="158" t="s">
        <v>29</v>
      </c>
    </row>
    <row r="117" spans="3:14" x14ac:dyDescent="0.25">
      <c r="C117" s="157"/>
      <c r="D117" s="77"/>
      <c r="E117" s="77"/>
      <c r="F117" s="80"/>
      <c r="G117" s="58"/>
      <c r="H117" s="91"/>
      <c r="I117" s="83"/>
      <c r="J117" s="26"/>
      <c r="K117" s="26"/>
      <c r="L117" s="26"/>
      <c r="M117" s="26"/>
      <c r="N117" s="153"/>
    </row>
    <row r="118" spans="3:14" x14ac:dyDescent="0.25">
      <c r="C118" s="157"/>
      <c r="D118" s="76" t="s">
        <v>81</v>
      </c>
      <c r="E118" s="77"/>
      <c r="F118" s="14"/>
      <c r="G118" s="58"/>
      <c r="H118" s="91"/>
      <c r="I118" s="26"/>
      <c r="J118" s="26"/>
      <c r="K118" s="26"/>
      <c r="L118" s="26"/>
      <c r="M118" s="26"/>
      <c r="N118" s="153"/>
    </row>
    <row r="119" spans="3:14" x14ac:dyDescent="0.25">
      <c r="C119" s="157"/>
      <c r="D119" s="84"/>
      <c r="E119" s="84"/>
      <c r="F119" s="59">
        <v>5014</v>
      </c>
      <c r="G119" s="58">
        <f t="shared" ref="G119:M120" si="19">G47</f>
        <v>17501.78</v>
      </c>
      <c r="H119" s="58">
        <f t="shared" si="19"/>
        <v>5791.61</v>
      </c>
      <c r="I119" s="58">
        <f t="shared" si="19"/>
        <v>17627.57</v>
      </c>
      <c r="J119" s="58">
        <f t="shared" si="19"/>
        <v>16808.2</v>
      </c>
      <c r="K119" s="58">
        <f t="shared" si="19"/>
        <v>0</v>
      </c>
      <c r="L119" s="58">
        <f t="shared" si="19"/>
        <v>0</v>
      </c>
      <c r="M119" s="58">
        <f t="shared" si="19"/>
        <v>0</v>
      </c>
      <c r="N119" s="158" t="s">
        <v>29</v>
      </c>
    </row>
    <row r="120" spans="3:14" x14ac:dyDescent="0.25">
      <c r="C120" s="157"/>
      <c r="D120" s="84"/>
      <c r="F120" s="59">
        <v>5015</v>
      </c>
      <c r="G120" s="58">
        <f t="shared" si="19"/>
        <v>208915.59</v>
      </c>
      <c r="H120" s="58">
        <f t="shared" si="19"/>
        <v>163528.93</v>
      </c>
      <c r="I120" s="58">
        <f t="shared" si="19"/>
        <v>234867</v>
      </c>
      <c r="J120" s="58">
        <f t="shared" si="19"/>
        <v>240641</v>
      </c>
      <c r="K120" s="58">
        <f t="shared" si="19"/>
        <v>0</v>
      </c>
      <c r="L120" s="58">
        <f t="shared" si="19"/>
        <v>0</v>
      </c>
      <c r="M120" s="58">
        <f t="shared" si="19"/>
        <v>0</v>
      </c>
      <c r="N120" s="158" t="s">
        <v>29</v>
      </c>
    </row>
    <row r="121" spans="3:14" x14ac:dyDescent="0.25">
      <c r="C121" s="157"/>
      <c r="D121" s="84"/>
      <c r="F121" s="59">
        <v>5112</v>
      </c>
      <c r="G121" s="58">
        <f t="shared" ref="G121:M121" si="20">G68</f>
        <v>17968.73</v>
      </c>
      <c r="H121" s="58">
        <f t="shared" si="20"/>
        <v>16352.76</v>
      </c>
      <c r="I121" s="58">
        <f t="shared" si="20"/>
        <v>17823.97</v>
      </c>
      <c r="J121" s="58">
        <f t="shared" si="20"/>
        <v>17201.37</v>
      </c>
      <c r="K121" s="58">
        <f t="shared" si="20"/>
        <v>0</v>
      </c>
      <c r="L121" s="58">
        <f t="shared" si="20"/>
        <v>0</v>
      </c>
      <c r="M121" s="58">
        <f t="shared" si="20"/>
        <v>0</v>
      </c>
      <c r="N121" s="158" t="s">
        <v>29</v>
      </c>
    </row>
    <row r="122" spans="3:14" x14ac:dyDescent="0.25">
      <c r="C122" s="157"/>
      <c r="D122" s="77"/>
      <c r="E122" s="170" t="s">
        <v>200</v>
      </c>
      <c r="F122" s="80" t="s">
        <v>82</v>
      </c>
      <c r="G122" s="110">
        <f>'Benchmarking Calculations'!G87</f>
        <v>244386.1</v>
      </c>
      <c r="H122" s="110">
        <f t="shared" ref="H122:M122" si="21">H47+H48+H68</f>
        <v>185673.3</v>
      </c>
      <c r="I122" s="110">
        <f t="shared" si="21"/>
        <v>270318.54000000004</v>
      </c>
      <c r="J122" s="110">
        <f t="shared" si="21"/>
        <v>274650.57</v>
      </c>
      <c r="K122" s="110">
        <f t="shared" si="21"/>
        <v>0</v>
      </c>
      <c r="L122" s="110">
        <f t="shared" si="21"/>
        <v>0</v>
      </c>
      <c r="M122" s="110">
        <f t="shared" si="21"/>
        <v>0</v>
      </c>
      <c r="N122" s="171" t="s">
        <v>29</v>
      </c>
    </row>
    <row r="123" spans="3:14" x14ac:dyDescent="0.25">
      <c r="C123" s="157"/>
      <c r="D123" s="77"/>
      <c r="E123" s="172" t="s">
        <v>201</v>
      </c>
      <c r="F123" s="80" t="s">
        <v>83</v>
      </c>
      <c r="G123" s="110">
        <f>'Benchmarking Calculations'!G88</f>
        <v>0</v>
      </c>
      <c r="H123" s="173">
        <f>I123</f>
        <v>507967.44344672537</v>
      </c>
      <c r="I123" s="173">
        <f>J123</f>
        <v>507967.44344672537</v>
      </c>
      <c r="J123" s="173">
        <v>507967.44344672537</v>
      </c>
      <c r="K123" s="173"/>
      <c r="L123" s="173"/>
      <c r="M123" s="173"/>
      <c r="N123" s="174" t="s">
        <v>172</v>
      </c>
    </row>
    <row r="124" spans="3:14" ht="13.2" thickBot="1" x14ac:dyDescent="0.3">
      <c r="C124" s="159"/>
      <c r="D124" s="160"/>
      <c r="E124" s="160"/>
      <c r="F124" s="161"/>
      <c r="G124" s="155"/>
      <c r="H124" s="162"/>
      <c r="I124" s="163"/>
      <c r="J124" s="75"/>
      <c r="K124" s="75"/>
      <c r="L124" s="75"/>
      <c r="M124" s="75"/>
      <c r="N124" s="156"/>
    </row>
    <row r="125" spans="3:14" x14ac:dyDescent="0.2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78"/>
    </row>
    <row r="126" spans="3:14" x14ac:dyDescent="0.25">
      <c r="F126" t="s">
        <v>276</v>
      </c>
      <c r="G126" s="52">
        <f t="shared" ref="G126:I126" si="22">G116</f>
        <v>16902993.639999997</v>
      </c>
      <c r="H126" s="52">
        <f t="shared" si="22"/>
        <v>17472159.720010001</v>
      </c>
      <c r="I126" s="52">
        <f t="shared" si="22"/>
        <v>17604735.039999999</v>
      </c>
      <c r="J126" s="52">
        <f>J116</f>
        <v>18239889.310000002</v>
      </c>
    </row>
    <row r="127" spans="3:14" x14ac:dyDescent="0.25">
      <c r="F127" t="s">
        <v>277</v>
      </c>
      <c r="G127">
        <v>17157075</v>
      </c>
      <c r="H127" s="24">
        <v>17439462.850000005</v>
      </c>
      <c r="I127" s="24">
        <v>17595425.039999999</v>
      </c>
      <c r="J127" s="24">
        <v>18210648.309999995</v>
      </c>
    </row>
    <row r="128" spans="3:14" x14ac:dyDescent="0.25">
      <c r="G128" s="52">
        <f>G126-G127</f>
        <v>-254081.36000000313</v>
      </c>
      <c r="H128" s="52">
        <f>H126-H127</f>
        <v>32696.870009995997</v>
      </c>
      <c r="I128" s="52">
        <f>I126-I127</f>
        <v>9310</v>
      </c>
      <c r="J128" s="52">
        <f>J126-J127</f>
        <v>29241.000000007451</v>
      </c>
    </row>
    <row r="130" spans="5:10" x14ac:dyDescent="0.25">
      <c r="F130" t="s">
        <v>278</v>
      </c>
    </row>
    <row r="131" spans="5:10" x14ac:dyDescent="0.25">
      <c r="E131">
        <v>5695</v>
      </c>
      <c r="F131" t="s">
        <v>279</v>
      </c>
      <c r="G131" s="225">
        <v>-307679.28999999998</v>
      </c>
      <c r="H131" s="225">
        <v>-302169.09000999999</v>
      </c>
      <c r="I131" s="92">
        <v>-301470</v>
      </c>
      <c r="J131">
        <v>-321165</v>
      </c>
    </row>
    <row r="132" spans="5:10" x14ac:dyDescent="0.25">
      <c r="E132">
        <v>5660</v>
      </c>
      <c r="F132" t="s">
        <v>280</v>
      </c>
      <c r="G132" s="225">
        <v>34171.11</v>
      </c>
      <c r="H132" s="225">
        <v>33473.630000000005</v>
      </c>
      <c r="I132" s="52">
        <v>43500</v>
      </c>
      <c r="J132" s="52">
        <v>42500</v>
      </c>
    </row>
    <row r="133" spans="5:10" x14ac:dyDescent="0.25">
      <c r="E133">
        <v>5335</v>
      </c>
      <c r="F133" t="s">
        <v>281</v>
      </c>
      <c r="G133" s="225">
        <v>527589.09</v>
      </c>
      <c r="H133" s="225">
        <v>282004</v>
      </c>
      <c r="I133" s="92">
        <v>248660</v>
      </c>
      <c r="J133">
        <v>249424</v>
      </c>
    </row>
    <row r="134" spans="5:10" x14ac:dyDescent="0.25">
      <c r="G134" s="225">
        <f>SUM(G131:G133)</f>
        <v>254080.90999999997</v>
      </c>
      <c r="H134" s="225">
        <f t="shared" ref="H134:J134" si="23">SUM(H131:H133)</f>
        <v>13308.539990000019</v>
      </c>
      <c r="I134" s="225">
        <f t="shared" si="23"/>
        <v>-9310</v>
      </c>
      <c r="J134" s="225">
        <f t="shared" si="23"/>
        <v>-29241</v>
      </c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74"/>
  <sheetViews>
    <sheetView zoomScaleNormal="100" workbookViewId="0">
      <pane ySplit="5" topLeftCell="A6" activePane="bottomLeft" state="frozen"/>
      <selection activeCell="G33" sqref="G33"/>
      <selection pane="bottomLeft" activeCell="A6" sqref="A6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7" width="16" style="3" customWidth="1"/>
    <col min="8" max="11" width="16" customWidth="1"/>
    <col min="12" max="12" width="13.88671875" customWidth="1"/>
    <col min="13" max="13" width="16.6640625" customWidth="1"/>
    <col min="14" max="14" width="9.88671875" style="10" customWidth="1"/>
    <col min="15" max="15" width="9.109375" style="114" customWidth="1"/>
    <col min="16" max="16" width="16.109375" style="114" customWidth="1"/>
    <col min="17" max="17" width="17.88671875" style="99" customWidth="1"/>
    <col min="18" max="18" width="14.44140625" style="114" customWidth="1"/>
    <col min="19" max="19" width="18.109375" style="114" customWidth="1"/>
    <col min="20" max="38" width="14.33203125" style="114" customWidth="1"/>
    <col min="39" max="45" width="13.44140625" style="114" customWidth="1"/>
    <col min="46" max="46" width="15.88671875" style="114" customWidth="1"/>
    <col min="47" max="84" width="13.44140625" style="114" customWidth="1"/>
    <col min="85" max="90" width="9.109375" customWidth="1"/>
  </cols>
  <sheetData>
    <row r="1" spans="1:91" ht="23.4" thickBot="1" x14ac:dyDescent="0.4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O1" s="126"/>
      <c r="P1" s="216"/>
      <c r="Q1" s="21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</row>
    <row r="2" spans="1:91" ht="19.2" thickTop="1" thickBot="1" x14ac:dyDescent="0.4">
      <c r="A2" s="1"/>
      <c r="B2" s="100"/>
      <c r="C2" s="3"/>
      <c r="D2" s="3"/>
      <c r="E2" s="10"/>
      <c r="R2" s="179"/>
      <c r="S2" s="179"/>
    </row>
    <row r="3" spans="1:91" ht="48.75" customHeight="1" thickBot="1" x14ac:dyDescent="0.3">
      <c r="B3" s="232" t="s">
        <v>1</v>
      </c>
      <c r="C3" s="232"/>
      <c r="D3" s="101"/>
      <c r="E3" s="102" t="str">
        <f>'Model Inputs'!F5</f>
        <v>Cambridge and North Dumfries Hydro Inc.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19" t="s">
        <v>204</v>
      </c>
      <c r="R3" s="181" t="s">
        <v>205</v>
      </c>
      <c r="S3" s="181" t="s">
        <v>206</v>
      </c>
      <c r="T3" s="181" t="s">
        <v>207</v>
      </c>
      <c r="U3" s="181" t="s">
        <v>208</v>
      </c>
      <c r="V3" s="181" t="s">
        <v>209</v>
      </c>
      <c r="W3" s="181" t="s">
        <v>210</v>
      </c>
      <c r="X3" s="181" t="s">
        <v>211</v>
      </c>
      <c r="Y3" s="181" t="s">
        <v>212</v>
      </c>
      <c r="Z3" s="181" t="s">
        <v>213</v>
      </c>
      <c r="AA3" s="181" t="s">
        <v>214</v>
      </c>
      <c r="AB3" s="181" t="s">
        <v>215</v>
      </c>
      <c r="AC3" s="181" t="s">
        <v>216</v>
      </c>
      <c r="AD3" s="181" t="s">
        <v>217</v>
      </c>
      <c r="AE3" s="181" t="s">
        <v>218</v>
      </c>
      <c r="AF3" s="181" t="s">
        <v>219</v>
      </c>
      <c r="AG3" s="181" t="s">
        <v>220</v>
      </c>
      <c r="AH3" s="181" t="s">
        <v>221</v>
      </c>
      <c r="AI3" s="181" t="s">
        <v>222</v>
      </c>
      <c r="AJ3" s="181" t="s">
        <v>223</v>
      </c>
      <c r="AK3" s="181" t="s">
        <v>224</v>
      </c>
      <c r="AL3" s="181" t="s">
        <v>225</v>
      </c>
      <c r="AM3" s="181" t="s">
        <v>226</v>
      </c>
      <c r="AN3" s="181" t="s">
        <v>227</v>
      </c>
      <c r="AO3" s="181" t="s">
        <v>228</v>
      </c>
      <c r="AP3" s="181" t="s">
        <v>229</v>
      </c>
      <c r="AQ3" s="181" t="s">
        <v>230</v>
      </c>
      <c r="AR3" s="181" t="s">
        <v>231</v>
      </c>
      <c r="AS3" s="181" t="s">
        <v>232</v>
      </c>
      <c r="AT3" s="181" t="s">
        <v>233</v>
      </c>
      <c r="AU3" s="181" t="s">
        <v>234</v>
      </c>
      <c r="AV3" s="181" t="s">
        <v>271</v>
      </c>
      <c r="AW3" s="181" t="s">
        <v>235</v>
      </c>
      <c r="AX3" s="181" t="s">
        <v>236</v>
      </c>
      <c r="AY3" s="181" t="s">
        <v>237</v>
      </c>
      <c r="AZ3" s="181" t="s">
        <v>238</v>
      </c>
      <c r="BA3" s="181" t="s">
        <v>239</v>
      </c>
      <c r="BB3" s="181" t="s">
        <v>240</v>
      </c>
      <c r="BC3" s="181" t="s">
        <v>241</v>
      </c>
      <c r="BD3" s="181" t="s">
        <v>242</v>
      </c>
      <c r="BE3" s="181" t="s">
        <v>243</v>
      </c>
      <c r="BF3" s="181" t="s">
        <v>244</v>
      </c>
      <c r="BG3" s="181" t="s">
        <v>245</v>
      </c>
      <c r="BH3" s="181" t="s">
        <v>246</v>
      </c>
      <c r="BI3" s="181" t="s">
        <v>247</v>
      </c>
      <c r="BJ3" s="181" t="s">
        <v>248</v>
      </c>
      <c r="BK3" s="181" t="s">
        <v>249</v>
      </c>
      <c r="BL3" s="181" t="s">
        <v>250</v>
      </c>
      <c r="BM3" s="181" t="s">
        <v>251</v>
      </c>
      <c r="BN3" s="181" t="s">
        <v>252</v>
      </c>
      <c r="BO3" s="181" t="s">
        <v>253</v>
      </c>
      <c r="BP3" s="181" t="s">
        <v>254</v>
      </c>
      <c r="BQ3" s="181" t="s">
        <v>255</v>
      </c>
      <c r="BR3" s="181" t="s">
        <v>256</v>
      </c>
      <c r="BS3" s="181" t="s">
        <v>257</v>
      </c>
      <c r="BT3" s="181" t="s">
        <v>258</v>
      </c>
      <c r="BU3" s="181" t="s">
        <v>259</v>
      </c>
      <c r="BV3" s="181" t="s">
        <v>260</v>
      </c>
      <c r="BW3" s="181" t="s">
        <v>261</v>
      </c>
      <c r="BX3" s="181" t="s">
        <v>262</v>
      </c>
      <c r="BY3" s="181" t="s">
        <v>263</v>
      </c>
      <c r="BZ3" s="181" t="s">
        <v>264</v>
      </c>
      <c r="CA3" s="181" t="s">
        <v>265</v>
      </c>
      <c r="CB3" s="181" t="s">
        <v>266</v>
      </c>
      <c r="CC3" s="181" t="s">
        <v>267</v>
      </c>
      <c r="CD3" s="181" t="s">
        <v>268</v>
      </c>
      <c r="CE3" s="181" t="s">
        <v>269</v>
      </c>
      <c r="CF3" s="181" t="s">
        <v>270</v>
      </c>
      <c r="CG3" s="3"/>
      <c r="CH3" s="3"/>
      <c r="CI3" s="3"/>
      <c r="CJ3" s="3"/>
      <c r="CK3" s="3"/>
      <c r="CL3" s="3"/>
      <c r="CM3" s="3"/>
    </row>
    <row r="4" spans="1:91" ht="19.8" x14ac:dyDescent="0.35">
      <c r="E4" s="5"/>
      <c r="F4" s="233"/>
      <c r="G4" s="234"/>
      <c r="H4" s="235" t="s">
        <v>2</v>
      </c>
      <c r="I4" s="236"/>
      <c r="J4" s="236"/>
      <c r="K4" s="236"/>
      <c r="L4" s="236"/>
      <c r="M4" s="236"/>
      <c r="N4" s="38"/>
      <c r="O4" s="114">
        <v>2</v>
      </c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</row>
    <row r="5" spans="1:91" ht="37.799999999999997" x14ac:dyDescent="0.25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7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5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</row>
    <row r="7" spans="1:91" s="3" customFormat="1" ht="13.2" thickBot="1" x14ac:dyDescent="0.3">
      <c r="A7" s="231" t="s">
        <v>6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145"/>
      <c r="N7" s="58"/>
      <c r="O7" s="114">
        <v>5</v>
      </c>
      <c r="P7" s="114">
        <v>0</v>
      </c>
      <c r="Q7" s="99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5">
      <c r="A8" s="9"/>
      <c r="B8" s="3"/>
      <c r="O8" s="114">
        <v>6</v>
      </c>
      <c r="P8" s="114">
        <v>0</v>
      </c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</row>
    <row r="9" spans="1:91" x14ac:dyDescent="0.25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</row>
    <row r="10" spans="1:91" outlineLevel="1" x14ac:dyDescent="0.25">
      <c r="A10" s="9"/>
      <c r="B10" s="10">
        <v>2</v>
      </c>
      <c r="C10" s="12">
        <v>5005</v>
      </c>
      <c r="D10" s="222">
        <v>2</v>
      </c>
      <c r="E10" s="12" t="s">
        <v>8</v>
      </c>
      <c r="F10" s="104"/>
      <c r="G10" s="104">
        <f t="shared" ref="G10:G41" si="0">HLOOKUP($E$3,$P$3:$CF$269,O10,TRUE)</f>
        <v>367153.78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6">
        <v>114093.57</v>
      </c>
      <c r="R10" s="176">
        <v>0</v>
      </c>
      <c r="S10" s="176">
        <v>527557.71</v>
      </c>
      <c r="T10" s="176">
        <v>539255.61</v>
      </c>
      <c r="U10" s="176">
        <v>0</v>
      </c>
      <c r="V10" s="176">
        <v>367153.78</v>
      </c>
      <c r="W10" s="176">
        <v>69548.539999999994</v>
      </c>
      <c r="X10" s="176">
        <v>71727.41</v>
      </c>
      <c r="Y10" s="176">
        <v>0</v>
      </c>
      <c r="Z10" s="176">
        <v>205247.01</v>
      </c>
      <c r="AA10" s="176">
        <v>0</v>
      </c>
      <c r="AB10" s="176">
        <v>18442.36</v>
      </c>
      <c r="AC10" s="176">
        <v>1883054.57</v>
      </c>
      <c r="AD10" s="176">
        <v>502735.84</v>
      </c>
      <c r="AE10" s="176">
        <v>572843.52000000002</v>
      </c>
      <c r="AF10" s="176">
        <v>0</v>
      </c>
      <c r="AG10" s="176">
        <v>51581.25</v>
      </c>
      <c r="AH10" s="176">
        <v>74046.03327</v>
      </c>
      <c r="AI10" s="176">
        <v>199214.17</v>
      </c>
      <c r="AJ10" s="176">
        <v>147824.32000000001</v>
      </c>
      <c r="AK10" s="176">
        <v>966814.32</v>
      </c>
      <c r="AL10" s="176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5">
      <c r="A11" s="9"/>
      <c r="B11" s="10">
        <v>3</v>
      </c>
      <c r="C11" s="12">
        <v>5010</v>
      </c>
      <c r="D11" s="222">
        <v>3</v>
      </c>
      <c r="E11" s="12" t="s">
        <v>9</v>
      </c>
      <c r="F11" s="104"/>
      <c r="G11" s="104">
        <f t="shared" si="0"/>
        <v>585602.68000000005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6">
        <v>40668.49</v>
      </c>
      <c r="R11" s="176">
        <v>0</v>
      </c>
      <c r="S11" s="176">
        <v>386768.12</v>
      </c>
      <c r="T11" s="176">
        <v>108246.11</v>
      </c>
      <c r="U11" s="176">
        <v>1573618.96</v>
      </c>
      <c r="V11" s="176">
        <v>585602.68000000005</v>
      </c>
      <c r="W11" s="176">
        <v>282269.33</v>
      </c>
      <c r="X11" s="176">
        <v>15500.36</v>
      </c>
      <c r="Y11" s="176">
        <v>0</v>
      </c>
      <c r="Z11" s="176">
        <v>84385.46</v>
      </c>
      <c r="AA11" s="176">
        <v>0</v>
      </c>
      <c r="AB11" s="176">
        <v>582.84</v>
      </c>
      <c r="AC11" s="176">
        <v>2311567.31</v>
      </c>
      <c r="AD11" s="176">
        <v>42117.14</v>
      </c>
      <c r="AE11" s="176">
        <v>143141.29999999999</v>
      </c>
      <c r="AF11" s="176">
        <v>0</v>
      </c>
      <c r="AG11" s="176">
        <v>0</v>
      </c>
      <c r="AH11" s="176">
        <v>11704.879349999999</v>
      </c>
      <c r="AI11" s="176">
        <v>54776.63</v>
      </c>
      <c r="AJ11" s="176">
        <v>0</v>
      </c>
      <c r="AK11" s="176">
        <v>662620.19999999995</v>
      </c>
      <c r="AL11" s="176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5">
      <c r="A12" s="9"/>
      <c r="B12" s="10">
        <v>4</v>
      </c>
      <c r="C12" s="12">
        <v>5012</v>
      </c>
      <c r="D12" s="222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6">
        <v>85555.56</v>
      </c>
      <c r="R12" s="176">
        <v>0</v>
      </c>
      <c r="S12" s="176">
        <v>7671.3</v>
      </c>
      <c r="T12" s="176">
        <v>35988.97</v>
      </c>
      <c r="U12" s="176">
        <v>129969.26</v>
      </c>
      <c r="V12" s="176">
        <v>0</v>
      </c>
      <c r="W12" s="176">
        <v>150584.29999999999</v>
      </c>
      <c r="X12" s="176">
        <v>75720.899999999994</v>
      </c>
      <c r="Y12" s="176">
        <v>0</v>
      </c>
      <c r="Z12" s="176">
        <v>36801.980000000003</v>
      </c>
      <c r="AA12" s="176">
        <v>1306.48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1478</v>
      </c>
      <c r="AH12" s="176">
        <v>0</v>
      </c>
      <c r="AI12" s="176">
        <v>18169.73</v>
      </c>
      <c r="AJ12" s="176">
        <v>66895.460000000006</v>
      </c>
      <c r="AK12" s="176">
        <v>299571.86</v>
      </c>
      <c r="AL12" s="176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5">
      <c r="A13" s="9"/>
      <c r="B13" s="10">
        <v>5</v>
      </c>
      <c r="C13" s="12">
        <v>5014</v>
      </c>
      <c r="D13" s="222">
        <v>5</v>
      </c>
      <c r="E13" s="12" t="s">
        <v>11</v>
      </c>
      <c r="F13" s="104"/>
      <c r="G13" s="104">
        <f t="shared" si="0"/>
        <v>17501.78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6">
        <v>0</v>
      </c>
      <c r="R13" s="176">
        <v>0</v>
      </c>
      <c r="S13" s="176">
        <v>0</v>
      </c>
      <c r="T13" s="176">
        <v>21884.6</v>
      </c>
      <c r="U13" s="176">
        <v>0</v>
      </c>
      <c r="V13" s="176">
        <v>17501.78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603.22</v>
      </c>
      <c r="AJ13" s="176">
        <v>6703.74</v>
      </c>
      <c r="AK13" s="176">
        <v>0</v>
      </c>
      <c r="AL13" s="176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5">
      <c r="A14" s="9"/>
      <c r="B14" s="10">
        <v>6</v>
      </c>
      <c r="C14" s="12">
        <v>5015</v>
      </c>
      <c r="D14" s="222">
        <v>6</v>
      </c>
      <c r="E14" s="12" t="s">
        <v>12</v>
      </c>
      <c r="F14" s="104"/>
      <c r="G14" s="104">
        <f t="shared" si="0"/>
        <v>208915.59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6">
        <v>0</v>
      </c>
      <c r="R14" s="176">
        <v>0</v>
      </c>
      <c r="S14" s="176">
        <v>0</v>
      </c>
      <c r="T14" s="176">
        <v>96479.29</v>
      </c>
      <c r="U14" s="176">
        <v>0</v>
      </c>
      <c r="V14" s="176">
        <v>208915.59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90762.16</v>
      </c>
      <c r="AJ14" s="176">
        <v>8164.78</v>
      </c>
      <c r="AK14" s="176">
        <v>0</v>
      </c>
      <c r="AL14" s="176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8" outlineLevel="1" x14ac:dyDescent="0.35">
      <c r="A15" s="9"/>
      <c r="B15" s="10">
        <v>7</v>
      </c>
      <c r="C15" s="12">
        <v>5016</v>
      </c>
      <c r="D15" s="222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6">
        <v>42193.03</v>
      </c>
      <c r="R15" s="176">
        <v>32872.97</v>
      </c>
      <c r="S15" s="176">
        <v>0</v>
      </c>
      <c r="T15" s="176">
        <v>4300.0600000000004</v>
      </c>
      <c r="U15" s="176">
        <v>587817.22</v>
      </c>
      <c r="V15" s="176">
        <v>0</v>
      </c>
      <c r="W15" s="176">
        <v>91863.96</v>
      </c>
      <c r="X15" s="176">
        <v>1305.17</v>
      </c>
      <c r="Y15" s="176">
        <v>2991.14</v>
      </c>
      <c r="Z15" s="176">
        <v>0</v>
      </c>
      <c r="AA15" s="176">
        <v>0</v>
      </c>
      <c r="AB15" s="176">
        <v>7845.16</v>
      </c>
      <c r="AC15" s="176">
        <v>899647.09</v>
      </c>
      <c r="AD15" s="176">
        <v>52061.47</v>
      </c>
      <c r="AE15" s="176">
        <v>0</v>
      </c>
      <c r="AF15" s="176">
        <v>0</v>
      </c>
      <c r="AG15" s="176">
        <v>1655.42</v>
      </c>
      <c r="AH15" s="176">
        <v>0</v>
      </c>
      <c r="AI15" s="176">
        <v>82.6</v>
      </c>
      <c r="AJ15" s="176">
        <v>0</v>
      </c>
      <c r="AK15" s="176">
        <v>314732.05</v>
      </c>
      <c r="AL15" s="176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5">
      <c r="A16" s="9"/>
      <c r="B16" s="10">
        <v>8</v>
      </c>
      <c r="C16" s="12">
        <v>5017</v>
      </c>
      <c r="D16" s="222">
        <v>8</v>
      </c>
      <c r="E16" s="12" t="s">
        <v>14</v>
      </c>
      <c r="F16" s="104"/>
      <c r="G16" s="104">
        <f t="shared" si="0"/>
        <v>1200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6">
        <v>16554.830000000002</v>
      </c>
      <c r="R16" s="176">
        <v>0</v>
      </c>
      <c r="S16" s="176">
        <v>0</v>
      </c>
      <c r="T16" s="176">
        <v>0</v>
      </c>
      <c r="U16" s="176">
        <v>452258.44</v>
      </c>
      <c r="V16" s="176">
        <v>1200</v>
      </c>
      <c r="W16" s="176">
        <v>10468.4</v>
      </c>
      <c r="X16" s="176">
        <v>12483.68</v>
      </c>
      <c r="Y16" s="176">
        <v>0</v>
      </c>
      <c r="Z16" s="176">
        <v>0</v>
      </c>
      <c r="AA16" s="176">
        <v>0</v>
      </c>
      <c r="AB16" s="176">
        <v>0</v>
      </c>
      <c r="AC16" s="176">
        <v>280642.2</v>
      </c>
      <c r="AD16" s="176">
        <v>55374.41</v>
      </c>
      <c r="AE16" s="176">
        <v>0</v>
      </c>
      <c r="AF16" s="176">
        <v>0</v>
      </c>
      <c r="AG16" s="176">
        <v>11396.71</v>
      </c>
      <c r="AH16" s="176">
        <v>0</v>
      </c>
      <c r="AI16" s="176">
        <v>0</v>
      </c>
      <c r="AJ16" s="176">
        <v>568.74</v>
      </c>
      <c r="AK16" s="176">
        <v>149153.94</v>
      </c>
      <c r="AL16" s="176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5">
      <c r="A17" s="9"/>
      <c r="B17" s="10">
        <v>9</v>
      </c>
      <c r="C17" s="12">
        <v>5020</v>
      </c>
      <c r="D17" s="222">
        <v>9</v>
      </c>
      <c r="E17" s="12" t="s">
        <v>15</v>
      </c>
      <c r="F17" s="104"/>
      <c r="G17" s="104">
        <f t="shared" si="0"/>
        <v>182546.67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6">
        <v>77475.44</v>
      </c>
      <c r="R17" s="176">
        <v>261509.27</v>
      </c>
      <c r="S17" s="176">
        <v>0</v>
      </c>
      <c r="T17" s="176">
        <v>6820.05</v>
      </c>
      <c r="U17" s="176">
        <v>432443.64</v>
      </c>
      <c r="V17" s="176">
        <v>182546.67</v>
      </c>
      <c r="W17" s="176">
        <v>104340.98</v>
      </c>
      <c r="X17" s="176">
        <v>2346.7800000000002</v>
      </c>
      <c r="Y17" s="176">
        <v>178142.46</v>
      </c>
      <c r="Z17" s="176">
        <v>31186.69</v>
      </c>
      <c r="AA17" s="176">
        <v>0</v>
      </c>
      <c r="AB17" s="176">
        <v>26610.58</v>
      </c>
      <c r="AC17" s="176">
        <v>2700134.77</v>
      </c>
      <c r="AD17" s="176">
        <v>45941.41</v>
      </c>
      <c r="AE17" s="176">
        <v>0</v>
      </c>
      <c r="AF17" s="176">
        <v>0</v>
      </c>
      <c r="AG17" s="176">
        <v>37475.199999999997</v>
      </c>
      <c r="AH17" s="176">
        <v>93011.045329999994</v>
      </c>
      <c r="AI17" s="176">
        <v>11928.54</v>
      </c>
      <c r="AJ17" s="176">
        <v>15098.64</v>
      </c>
      <c r="AK17" s="176">
        <v>137060.95000000001</v>
      </c>
      <c r="AL17" s="176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5">
      <c r="A18" s="9"/>
      <c r="B18" s="10">
        <v>10</v>
      </c>
      <c r="C18" s="12">
        <v>5025</v>
      </c>
      <c r="D18" s="222">
        <v>10</v>
      </c>
      <c r="E18" s="12" t="s">
        <v>16</v>
      </c>
      <c r="F18" s="104"/>
      <c r="G18" s="104">
        <f t="shared" si="0"/>
        <v>214661.63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6">
        <v>70523.179999999993</v>
      </c>
      <c r="R18" s="176">
        <v>49598.17</v>
      </c>
      <c r="S18" s="176">
        <v>417318.08</v>
      </c>
      <c r="T18" s="176">
        <v>11883.83</v>
      </c>
      <c r="U18" s="176">
        <v>549805</v>
      </c>
      <c r="V18" s="176">
        <v>214661.63</v>
      </c>
      <c r="W18" s="176">
        <v>9925.91</v>
      </c>
      <c r="X18" s="176">
        <v>5198.53</v>
      </c>
      <c r="Y18" s="176">
        <v>53230.89</v>
      </c>
      <c r="Z18" s="176">
        <v>72594.13</v>
      </c>
      <c r="AA18" s="176">
        <v>0</v>
      </c>
      <c r="AB18" s="176">
        <v>0</v>
      </c>
      <c r="AC18" s="176">
        <v>252225.23</v>
      </c>
      <c r="AD18" s="176">
        <v>18206.87</v>
      </c>
      <c r="AE18" s="176">
        <v>781340.96</v>
      </c>
      <c r="AF18" s="176">
        <v>0</v>
      </c>
      <c r="AG18" s="176">
        <v>59263.57</v>
      </c>
      <c r="AH18" s="176">
        <v>38431.01311</v>
      </c>
      <c r="AI18" s="176">
        <v>43541.97</v>
      </c>
      <c r="AJ18" s="176">
        <v>0</v>
      </c>
      <c r="AK18" s="176">
        <v>452578.7</v>
      </c>
      <c r="AL18" s="176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5">
      <c r="A19" s="9"/>
      <c r="B19" s="10">
        <v>11</v>
      </c>
      <c r="C19" s="12">
        <v>5035</v>
      </c>
      <c r="D19" s="222">
        <v>11</v>
      </c>
      <c r="E19" s="12" t="s">
        <v>17</v>
      </c>
      <c r="F19" s="104"/>
      <c r="G19" s="104">
        <f t="shared" si="0"/>
        <v>27866.03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6">
        <v>2970.97</v>
      </c>
      <c r="R19" s="176">
        <v>0</v>
      </c>
      <c r="S19" s="176">
        <v>145.22999999999999</v>
      </c>
      <c r="T19" s="176">
        <v>18564.39</v>
      </c>
      <c r="U19" s="176">
        <v>15142.47</v>
      </c>
      <c r="V19" s="176">
        <v>27866.03</v>
      </c>
      <c r="W19" s="176">
        <v>35590.44</v>
      </c>
      <c r="X19" s="176">
        <v>0</v>
      </c>
      <c r="Y19" s="176">
        <v>0</v>
      </c>
      <c r="Z19" s="176">
        <v>614.22</v>
      </c>
      <c r="AA19" s="176">
        <v>3185.14</v>
      </c>
      <c r="AB19" s="176">
        <v>2395.34</v>
      </c>
      <c r="AC19" s="176">
        <v>0</v>
      </c>
      <c r="AD19" s="176">
        <v>253.4</v>
      </c>
      <c r="AE19" s="176">
        <v>34444.22</v>
      </c>
      <c r="AF19" s="176">
        <v>0</v>
      </c>
      <c r="AG19" s="176">
        <v>9433.19</v>
      </c>
      <c r="AH19" s="176">
        <v>1859.30195</v>
      </c>
      <c r="AI19" s="176">
        <v>5639.91</v>
      </c>
      <c r="AJ19" s="176">
        <v>0</v>
      </c>
      <c r="AK19" s="176">
        <v>119894.74</v>
      </c>
      <c r="AL19" s="176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5">
      <c r="A20" s="9"/>
      <c r="B20" s="10">
        <v>12</v>
      </c>
      <c r="C20" s="12">
        <v>5040</v>
      </c>
      <c r="D20" s="222">
        <v>12</v>
      </c>
      <c r="E20" s="12" t="s">
        <v>18</v>
      </c>
      <c r="F20" s="104"/>
      <c r="G20" s="104">
        <f t="shared" si="0"/>
        <v>50231.35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6">
        <v>2552.62</v>
      </c>
      <c r="R20" s="176">
        <v>0</v>
      </c>
      <c r="S20" s="176">
        <v>1420172.75</v>
      </c>
      <c r="T20" s="176">
        <v>83357.100000000006</v>
      </c>
      <c r="U20" s="176">
        <v>87718.81</v>
      </c>
      <c r="V20" s="176">
        <v>50231.35</v>
      </c>
      <c r="W20" s="176">
        <v>134152.44</v>
      </c>
      <c r="X20" s="176">
        <v>0</v>
      </c>
      <c r="Y20" s="176">
        <v>0</v>
      </c>
      <c r="Z20" s="176">
        <v>3596.3</v>
      </c>
      <c r="AA20" s="176">
        <v>0</v>
      </c>
      <c r="AB20" s="176">
        <v>182862.15</v>
      </c>
      <c r="AC20" s="176">
        <v>0</v>
      </c>
      <c r="AD20" s="176">
        <v>197917.61</v>
      </c>
      <c r="AE20" s="176">
        <v>0</v>
      </c>
      <c r="AF20" s="176">
        <v>0</v>
      </c>
      <c r="AG20" s="176">
        <v>33181.4</v>
      </c>
      <c r="AH20" s="176">
        <v>43027.008580000002</v>
      </c>
      <c r="AI20" s="176">
        <v>3731.97</v>
      </c>
      <c r="AJ20" s="176">
        <v>0</v>
      </c>
      <c r="AK20" s="176">
        <v>9027.3799999999992</v>
      </c>
      <c r="AL20" s="176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6" outlineLevel="1" x14ac:dyDescent="0.3">
      <c r="A21" s="9"/>
      <c r="B21" s="10">
        <v>13</v>
      </c>
      <c r="C21" s="12">
        <v>5045</v>
      </c>
      <c r="D21" s="222">
        <v>13</v>
      </c>
      <c r="E21" s="12" t="s">
        <v>19</v>
      </c>
      <c r="F21" s="104"/>
      <c r="G21" s="104">
        <f t="shared" si="0"/>
        <v>97261.28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6">
        <v>0</v>
      </c>
      <c r="R21" s="176">
        <v>0</v>
      </c>
      <c r="S21" s="176">
        <v>132242</v>
      </c>
      <c r="T21" s="176">
        <v>14148.61</v>
      </c>
      <c r="U21" s="176">
        <v>588253.39</v>
      </c>
      <c r="V21" s="176">
        <v>97261.28</v>
      </c>
      <c r="W21" s="176">
        <v>15593.15</v>
      </c>
      <c r="X21" s="176">
        <v>0</v>
      </c>
      <c r="Y21" s="176">
        <v>0</v>
      </c>
      <c r="Z21" s="176">
        <v>1381.95</v>
      </c>
      <c r="AA21" s="176">
        <v>0</v>
      </c>
      <c r="AB21" s="176">
        <v>275.60000000000002</v>
      </c>
      <c r="AC21" s="176">
        <v>0</v>
      </c>
      <c r="AD21" s="176">
        <v>72003.86</v>
      </c>
      <c r="AE21" s="176">
        <v>490863.72</v>
      </c>
      <c r="AF21" s="176">
        <v>0</v>
      </c>
      <c r="AG21" s="176">
        <v>19995.509999999998</v>
      </c>
      <c r="AH21" s="176">
        <v>44330.553679999997</v>
      </c>
      <c r="AI21" s="176">
        <v>222.96</v>
      </c>
      <c r="AJ21" s="176">
        <v>33300.71</v>
      </c>
      <c r="AK21" s="176">
        <v>10863.16</v>
      </c>
      <c r="AL21" s="176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5">
      <c r="A22" s="9"/>
      <c r="B22" s="10">
        <v>14</v>
      </c>
      <c r="C22" s="12">
        <v>5055</v>
      </c>
      <c r="D22" s="222">
        <v>14</v>
      </c>
      <c r="E22" s="12" t="s">
        <v>20</v>
      </c>
      <c r="F22" s="104"/>
      <c r="G22" s="104">
        <f t="shared" si="0"/>
        <v>74106.45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6">
        <v>0</v>
      </c>
      <c r="R22" s="176">
        <v>0</v>
      </c>
      <c r="S22" s="176">
        <v>0</v>
      </c>
      <c r="T22" s="176">
        <v>-426.23</v>
      </c>
      <c r="U22" s="176">
        <v>178186.12</v>
      </c>
      <c r="V22" s="176">
        <v>74106.45</v>
      </c>
      <c r="W22" s="176">
        <v>1850.15</v>
      </c>
      <c r="X22" s="176">
        <v>4555.24</v>
      </c>
      <c r="Y22" s="176">
        <v>0</v>
      </c>
      <c r="Z22" s="176">
        <v>0</v>
      </c>
      <c r="AA22" s="176">
        <v>0</v>
      </c>
      <c r="AB22" s="176">
        <v>12226.57</v>
      </c>
      <c r="AC22" s="176">
        <v>0</v>
      </c>
      <c r="AD22" s="176">
        <v>297.41000000000003</v>
      </c>
      <c r="AE22" s="176">
        <v>75319.539999999994</v>
      </c>
      <c r="AF22" s="176">
        <v>0</v>
      </c>
      <c r="AG22" s="176">
        <v>2902.38</v>
      </c>
      <c r="AH22" s="176">
        <v>39665.818550000004</v>
      </c>
      <c r="AI22" s="176">
        <v>6515.72</v>
      </c>
      <c r="AJ22" s="176">
        <v>0</v>
      </c>
      <c r="AK22" s="176">
        <v>135473.04999999999</v>
      </c>
      <c r="AL22" s="176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5">
      <c r="A23" s="9"/>
      <c r="B23" s="10">
        <v>15</v>
      </c>
      <c r="C23" s="12">
        <v>5065</v>
      </c>
      <c r="D23" s="222">
        <v>15</v>
      </c>
      <c r="E23" s="12" t="s">
        <v>21</v>
      </c>
      <c r="F23" s="104"/>
      <c r="G23" s="104">
        <f t="shared" si="0"/>
        <v>1040768.36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6">
        <v>353615.85</v>
      </c>
      <c r="R23" s="176">
        <v>13584.38</v>
      </c>
      <c r="S23" s="176">
        <v>480061.75</v>
      </c>
      <c r="T23" s="176">
        <v>326330.23</v>
      </c>
      <c r="U23" s="176">
        <v>169689.42</v>
      </c>
      <c r="V23" s="176">
        <v>1040768.36</v>
      </c>
      <c r="W23" s="176">
        <v>355389.43</v>
      </c>
      <c r="X23" s="176">
        <v>59018.69</v>
      </c>
      <c r="Y23" s="176">
        <v>514.32000000000005</v>
      </c>
      <c r="Z23" s="176">
        <v>753.95</v>
      </c>
      <c r="AA23" s="176">
        <v>907.5</v>
      </c>
      <c r="AB23" s="176">
        <v>15234.71</v>
      </c>
      <c r="AC23" s="176">
        <v>0</v>
      </c>
      <c r="AD23" s="176">
        <v>235670.75</v>
      </c>
      <c r="AE23" s="176">
        <v>331573.09000000003</v>
      </c>
      <c r="AF23" s="176">
        <v>0</v>
      </c>
      <c r="AG23" s="176">
        <v>4796.26</v>
      </c>
      <c r="AH23" s="176">
        <v>167380.23730000001</v>
      </c>
      <c r="AI23" s="176">
        <v>264761.08</v>
      </c>
      <c r="AJ23" s="176">
        <v>12451.86</v>
      </c>
      <c r="AK23" s="176">
        <v>684735.64</v>
      </c>
      <c r="AL23" s="176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5">
      <c r="A24" s="9"/>
      <c r="B24" s="10">
        <v>16</v>
      </c>
      <c r="C24" s="12">
        <v>5070</v>
      </c>
      <c r="D24" s="222">
        <v>16</v>
      </c>
      <c r="E24" s="12" t="s">
        <v>22</v>
      </c>
      <c r="F24" s="104"/>
      <c r="G24" s="104">
        <f t="shared" si="0"/>
        <v>2532.0700000000002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6">
        <v>84095.91</v>
      </c>
      <c r="R24" s="176">
        <v>0</v>
      </c>
      <c r="S24" s="176">
        <v>0</v>
      </c>
      <c r="T24" s="176">
        <v>513.71</v>
      </c>
      <c r="U24" s="176">
        <v>286228.39</v>
      </c>
      <c r="V24" s="176">
        <v>2532.0700000000002</v>
      </c>
      <c r="W24" s="176">
        <v>3617.23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1305968.1299999999</v>
      </c>
      <c r="AD24" s="176">
        <v>45184.32</v>
      </c>
      <c r="AE24" s="176">
        <v>0</v>
      </c>
      <c r="AF24" s="176">
        <v>0</v>
      </c>
      <c r="AG24" s="176">
        <v>33515.919999999998</v>
      </c>
      <c r="AH24" s="176">
        <v>382214.61670000001</v>
      </c>
      <c r="AI24" s="176">
        <v>182948.88</v>
      </c>
      <c r="AJ24" s="176">
        <v>0</v>
      </c>
      <c r="AK24" s="176">
        <v>617858.05000000005</v>
      </c>
      <c r="AL24" s="176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5">
      <c r="A25" s="9"/>
      <c r="B25" s="10">
        <v>17</v>
      </c>
      <c r="C25" s="12">
        <v>5075</v>
      </c>
      <c r="D25" s="222">
        <v>17</v>
      </c>
      <c r="E25" s="12" t="s">
        <v>23</v>
      </c>
      <c r="F25" s="104"/>
      <c r="G25" s="104">
        <f t="shared" si="0"/>
        <v>3948.91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6">
        <v>21132.53</v>
      </c>
      <c r="R25" s="176">
        <v>0</v>
      </c>
      <c r="S25" s="176">
        <v>0</v>
      </c>
      <c r="T25" s="176">
        <v>379.13</v>
      </c>
      <c r="U25" s="176">
        <v>101653.72</v>
      </c>
      <c r="V25" s="176">
        <v>3948.91</v>
      </c>
      <c r="W25" s="176">
        <v>0</v>
      </c>
      <c r="X25" s="176">
        <v>0</v>
      </c>
      <c r="Y25" s="176">
        <v>0</v>
      </c>
      <c r="Z25" s="176">
        <v>0</v>
      </c>
      <c r="AA25" s="176">
        <v>19441.63</v>
      </c>
      <c r="AB25" s="176">
        <v>0</v>
      </c>
      <c r="AC25" s="176">
        <v>20963</v>
      </c>
      <c r="AD25" s="176">
        <v>13911.63</v>
      </c>
      <c r="AE25" s="176">
        <v>1132.25</v>
      </c>
      <c r="AF25" s="176">
        <v>0</v>
      </c>
      <c r="AG25" s="176">
        <v>1543.39</v>
      </c>
      <c r="AH25" s="176">
        <v>0</v>
      </c>
      <c r="AI25" s="176">
        <v>7057.68</v>
      </c>
      <c r="AJ25" s="176">
        <v>590</v>
      </c>
      <c r="AK25" s="176">
        <v>0</v>
      </c>
      <c r="AL25" s="176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5">
      <c r="A26" s="9"/>
      <c r="B26" s="10">
        <v>18</v>
      </c>
      <c r="C26" s="12">
        <v>5085</v>
      </c>
      <c r="D26" s="222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6">
        <v>280419.07</v>
      </c>
      <c r="R26" s="176">
        <v>33306.61</v>
      </c>
      <c r="S26" s="176">
        <v>446362.71</v>
      </c>
      <c r="T26" s="176">
        <v>418109.48</v>
      </c>
      <c r="U26" s="176">
        <v>0</v>
      </c>
      <c r="V26" s="176">
        <v>0</v>
      </c>
      <c r="W26" s="176">
        <v>391147.95</v>
      </c>
      <c r="X26" s="176">
        <v>58407.31</v>
      </c>
      <c r="Y26" s="176">
        <v>0</v>
      </c>
      <c r="Z26" s="176">
        <v>145033.88</v>
      </c>
      <c r="AA26" s="176">
        <v>9368.08</v>
      </c>
      <c r="AB26" s="176">
        <v>0</v>
      </c>
      <c r="AC26" s="176">
        <v>2908606.37</v>
      </c>
      <c r="AD26" s="176">
        <v>0</v>
      </c>
      <c r="AE26" s="176">
        <v>14767.45</v>
      </c>
      <c r="AF26" s="176">
        <v>90763.77</v>
      </c>
      <c r="AG26" s="176">
        <v>11093.29</v>
      </c>
      <c r="AH26" s="176">
        <v>48172.112159999997</v>
      </c>
      <c r="AI26" s="176">
        <v>6372.53</v>
      </c>
      <c r="AJ26" s="176">
        <v>218294.86</v>
      </c>
      <c r="AK26" s="176">
        <v>1282455.3700000001</v>
      </c>
      <c r="AL26" s="176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5">
      <c r="A27" s="9"/>
      <c r="B27" s="10">
        <v>19</v>
      </c>
      <c r="C27" s="12">
        <v>5090</v>
      </c>
      <c r="D27" s="222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863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5">
      <c r="A28" s="9"/>
      <c r="B28" s="10">
        <v>20</v>
      </c>
      <c r="C28" s="12">
        <v>5095</v>
      </c>
      <c r="D28" s="222">
        <v>20</v>
      </c>
      <c r="E28" s="12" t="s">
        <v>26</v>
      </c>
      <c r="F28" s="104"/>
      <c r="G28" s="104">
        <f t="shared" si="0"/>
        <v>60128.46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6">
        <v>25176.87</v>
      </c>
      <c r="R28" s="176">
        <v>175.16</v>
      </c>
      <c r="S28" s="176">
        <v>15386.4</v>
      </c>
      <c r="T28" s="176">
        <v>6755</v>
      </c>
      <c r="U28" s="176">
        <v>0</v>
      </c>
      <c r="V28" s="176">
        <v>60128.46</v>
      </c>
      <c r="W28" s="176">
        <v>35891</v>
      </c>
      <c r="X28" s="176">
        <v>6304.25</v>
      </c>
      <c r="Y28" s="176">
        <v>1453.28</v>
      </c>
      <c r="Z28" s="176">
        <v>0</v>
      </c>
      <c r="AA28" s="176">
        <v>0</v>
      </c>
      <c r="AB28" s="176">
        <v>17813.36</v>
      </c>
      <c r="AC28" s="176">
        <v>0</v>
      </c>
      <c r="AD28" s="176">
        <v>0</v>
      </c>
      <c r="AE28" s="176">
        <v>0</v>
      </c>
      <c r="AF28" s="176">
        <v>0</v>
      </c>
      <c r="AG28" s="176">
        <v>14556</v>
      </c>
      <c r="AH28" s="176">
        <v>0</v>
      </c>
      <c r="AI28" s="176">
        <v>7988.51</v>
      </c>
      <c r="AJ28" s="176">
        <v>0</v>
      </c>
      <c r="AK28" s="176">
        <v>75781.5</v>
      </c>
      <c r="AL28" s="176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5">
      <c r="A29" s="9"/>
      <c r="B29" s="10">
        <v>21</v>
      </c>
      <c r="C29" s="12">
        <v>5096</v>
      </c>
      <c r="D29" s="222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6">
        <v>3413.64</v>
      </c>
      <c r="R29" s="176">
        <v>50</v>
      </c>
      <c r="S29" s="176">
        <v>0</v>
      </c>
      <c r="T29" s="176">
        <v>1120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172800</v>
      </c>
      <c r="AA29" s="176">
        <v>0</v>
      </c>
      <c r="AB29" s="176">
        <v>0</v>
      </c>
      <c r="AC29" s="176">
        <v>-186504.67</v>
      </c>
      <c r="AD29" s="176">
        <v>0</v>
      </c>
      <c r="AE29" s="176">
        <v>0</v>
      </c>
      <c r="AF29" s="176">
        <v>810</v>
      </c>
      <c r="AG29" s="176">
        <v>0</v>
      </c>
      <c r="AH29" s="176">
        <v>106446.6618</v>
      </c>
      <c r="AI29" s="176">
        <v>0</v>
      </c>
      <c r="AJ29" s="176">
        <v>0</v>
      </c>
      <c r="AK29" s="176">
        <v>0</v>
      </c>
      <c r="AL29" s="176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5">
      <c r="A30" s="9"/>
      <c r="B30" s="10">
        <v>22</v>
      </c>
      <c r="C30" s="16"/>
      <c r="D30" s="222"/>
      <c r="E30" s="17" t="s">
        <v>28</v>
      </c>
      <c r="F30" s="105"/>
      <c r="G30" s="104">
        <f t="shared" si="0"/>
        <v>2934425.04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6">
        <v>1220441.56</v>
      </c>
      <c r="R30" s="176">
        <v>391096.55999999994</v>
      </c>
      <c r="S30" s="176">
        <v>3833686.05</v>
      </c>
      <c r="T30" s="176">
        <v>1693709.94</v>
      </c>
      <c r="U30" s="176">
        <v>5152784.84</v>
      </c>
      <c r="V30" s="176">
        <v>2934425.04</v>
      </c>
      <c r="W30" s="176">
        <v>1693096.21</v>
      </c>
      <c r="X30" s="176">
        <v>312568.31999999995</v>
      </c>
      <c r="Y30" s="176">
        <v>236332.09</v>
      </c>
      <c r="Z30" s="176">
        <v>754395.57000000007</v>
      </c>
      <c r="AA30" s="176">
        <v>34208.83</v>
      </c>
      <c r="AB30" s="176">
        <v>284288.67</v>
      </c>
      <c r="AC30" s="176">
        <v>12376304.000000002</v>
      </c>
      <c r="AD30" s="176">
        <v>1281676.1199999999</v>
      </c>
      <c r="AE30" s="176">
        <v>2445426.0499999998</v>
      </c>
      <c r="AF30" s="176">
        <v>91573.77</v>
      </c>
      <c r="AG30" s="176">
        <v>293867.49</v>
      </c>
      <c r="AH30" s="176">
        <v>1050289.2817800001</v>
      </c>
      <c r="AI30" s="176">
        <v>904318.26</v>
      </c>
      <c r="AJ30" s="176">
        <v>509893.11</v>
      </c>
      <c r="AK30" s="176">
        <v>5918620.9100000001</v>
      </c>
      <c r="AL30" s="176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5">
      <c r="A31" s="9"/>
      <c r="B31" s="10">
        <v>23</v>
      </c>
      <c r="C31" s="12">
        <v>5105</v>
      </c>
      <c r="D31" s="222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6">
        <v>52621.98</v>
      </c>
      <c r="R31" s="176">
        <v>0</v>
      </c>
      <c r="S31" s="176">
        <v>0</v>
      </c>
      <c r="T31" s="176">
        <v>129741.69</v>
      </c>
      <c r="U31" s="176">
        <v>0</v>
      </c>
      <c r="V31" s="176">
        <v>0</v>
      </c>
      <c r="W31" s="176">
        <v>23271.84</v>
      </c>
      <c r="X31" s="176">
        <v>26845.09</v>
      </c>
      <c r="Y31" s="176">
        <v>0</v>
      </c>
      <c r="Z31" s="176">
        <v>164017.62</v>
      </c>
      <c r="AA31" s="176">
        <v>0</v>
      </c>
      <c r="AB31" s="176">
        <v>0</v>
      </c>
      <c r="AC31" s="176">
        <v>0</v>
      </c>
      <c r="AD31" s="176">
        <v>511463.88</v>
      </c>
      <c r="AE31" s="176">
        <v>0</v>
      </c>
      <c r="AF31" s="176">
        <v>0</v>
      </c>
      <c r="AG31" s="176">
        <v>83753.289999999994</v>
      </c>
      <c r="AH31" s="176">
        <v>42109.131150000001</v>
      </c>
      <c r="AI31" s="176">
        <v>0</v>
      </c>
      <c r="AJ31" s="176">
        <v>0</v>
      </c>
      <c r="AK31" s="176">
        <v>0</v>
      </c>
      <c r="AL31" s="176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5">
      <c r="A32" s="9"/>
      <c r="B32" s="10">
        <v>24</v>
      </c>
      <c r="C32" s="12">
        <v>5110</v>
      </c>
      <c r="D32" s="222">
        <v>23</v>
      </c>
      <c r="E32" s="12" t="s">
        <v>31</v>
      </c>
      <c r="F32" s="104"/>
      <c r="G32" s="104">
        <f t="shared" si="0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6">
        <v>1362.5</v>
      </c>
      <c r="R32" s="176">
        <v>0</v>
      </c>
      <c r="S32" s="176">
        <v>0</v>
      </c>
      <c r="T32" s="176">
        <v>10168.469999999999</v>
      </c>
      <c r="U32" s="176">
        <v>256144.04</v>
      </c>
      <c r="V32" s="176">
        <v>0</v>
      </c>
      <c r="W32" s="176">
        <v>46510.84</v>
      </c>
      <c r="X32" s="176">
        <v>0</v>
      </c>
      <c r="Y32" s="176">
        <v>0</v>
      </c>
      <c r="Z32" s="176">
        <v>3589.55</v>
      </c>
      <c r="AA32" s="176">
        <v>8420.64</v>
      </c>
      <c r="AB32" s="176">
        <v>0</v>
      </c>
      <c r="AC32" s="176">
        <v>0</v>
      </c>
      <c r="AD32" s="176">
        <v>0</v>
      </c>
      <c r="AE32" s="176">
        <v>0</v>
      </c>
      <c r="AF32" s="176">
        <v>22883.599999999999</v>
      </c>
      <c r="AG32" s="176">
        <v>6489.51</v>
      </c>
      <c r="AH32" s="176">
        <v>0</v>
      </c>
      <c r="AI32" s="176">
        <v>8741.2999999999993</v>
      </c>
      <c r="AJ32" s="176">
        <v>64690.720000000001</v>
      </c>
      <c r="AK32" s="176">
        <v>23528.84</v>
      </c>
      <c r="AL32" s="176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5">
      <c r="A33" s="3"/>
      <c r="B33" s="10">
        <v>25</v>
      </c>
      <c r="C33" s="12">
        <v>5112</v>
      </c>
      <c r="D33" s="222">
        <v>24</v>
      </c>
      <c r="E33" s="12" t="s">
        <v>32</v>
      </c>
      <c r="F33" s="104"/>
      <c r="G33" s="104">
        <f t="shared" si="0"/>
        <v>17968.73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17968.73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153603.14000000001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5">
      <c r="A34" s="3"/>
      <c r="B34" s="10">
        <v>26</v>
      </c>
      <c r="C34" s="12">
        <v>5114</v>
      </c>
      <c r="D34" s="222">
        <v>25</v>
      </c>
      <c r="E34" s="12" t="s">
        <v>33</v>
      </c>
      <c r="F34" s="104"/>
      <c r="G34" s="104">
        <f t="shared" si="0"/>
        <v>165.37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6">
        <v>24115.42</v>
      </c>
      <c r="R34" s="176">
        <v>9305.48</v>
      </c>
      <c r="S34" s="176">
        <v>63047.92</v>
      </c>
      <c r="T34" s="176">
        <v>2929.76</v>
      </c>
      <c r="U34" s="176">
        <v>16869.64</v>
      </c>
      <c r="V34" s="176">
        <v>165.37</v>
      </c>
      <c r="W34" s="176">
        <v>77657.649999999994</v>
      </c>
      <c r="X34" s="176">
        <v>5735.53</v>
      </c>
      <c r="Y34" s="176">
        <v>0</v>
      </c>
      <c r="Z34" s="176">
        <v>29841.02</v>
      </c>
      <c r="AA34" s="176">
        <v>6133.54</v>
      </c>
      <c r="AB34" s="176">
        <v>0</v>
      </c>
      <c r="AC34" s="176">
        <v>0</v>
      </c>
      <c r="AD34" s="176">
        <v>88990.3</v>
      </c>
      <c r="AE34" s="176">
        <v>320031.46000000002</v>
      </c>
      <c r="AF34" s="176">
        <v>10735.22</v>
      </c>
      <c r="AG34" s="176">
        <v>17755.95</v>
      </c>
      <c r="AH34" s="176">
        <v>0</v>
      </c>
      <c r="AI34" s="176">
        <v>702.86</v>
      </c>
      <c r="AJ34" s="176">
        <v>24152.43</v>
      </c>
      <c r="AK34" s="176">
        <v>118301.28</v>
      </c>
      <c r="AL34" s="176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5">
      <c r="A35" s="3"/>
      <c r="B35" s="10">
        <v>27</v>
      </c>
      <c r="C35" s="12">
        <v>5120</v>
      </c>
      <c r="D35" s="222">
        <v>26</v>
      </c>
      <c r="E35" s="12" t="s">
        <v>34</v>
      </c>
      <c r="F35" s="104"/>
      <c r="G35" s="104">
        <f t="shared" si="0"/>
        <v>73355.44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6">
        <v>150750.29</v>
      </c>
      <c r="R35" s="176">
        <v>0</v>
      </c>
      <c r="S35" s="176">
        <v>8752.08</v>
      </c>
      <c r="T35" s="176">
        <v>86687.03</v>
      </c>
      <c r="U35" s="176">
        <v>115354.73</v>
      </c>
      <c r="V35" s="176">
        <v>73355.44</v>
      </c>
      <c r="W35" s="176">
        <v>160800.48000000001</v>
      </c>
      <c r="X35" s="176">
        <v>26822.22</v>
      </c>
      <c r="Y35" s="176">
        <v>0</v>
      </c>
      <c r="Z35" s="176">
        <v>135211.12</v>
      </c>
      <c r="AA35" s="176">
        <v>6652.08</v>
      </c>
      <c r="AB35" s="176">
        <v>24259.599999999999</v>
      </c>
      <c r="AC35" s="176">
        <v>0</v>
      </c>
      <c r="AD35" s="176">
        <v>53518.34</v>
      </c>
      <c r="AE35" s="176">
        <v>0</v>
      </c>
      <c r="AF35" s="176">
        <v>16572.689999999999</v>
      </c>
      <c r="AG35" s="176">
        <v>10053.780000000001</v>
      </c>
      <c r="AH35" s="176">
        <v>141755.82620000001</v>
      </c>
      <c r="AI35" s="176">
        <v>11218.16</v>
      </c>
      <c r="AJ35" s="176">
        <v>75123.929999999993</v>
      </c>
      <c r="AK35" s="176">
        <v>322912.96999999997</v>
      </c>
      <c r="AL35" s="176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5">
      <c r="A36" s="3"/>
      <c r="B36" s="10">
        <v>28</v>
      </c>
      <c r="C36" s="12">
        <v>5125</v>
      </c>
      <c r="D36" s="222">
        <v>27</v>
      </c>
      <c r="E36" s="12" t="s">
        <v>35</v>
      </c>
      <c r="F36" s="104"/>
      <c r="G36" s="104">
        <f t="shared" si="0"/>
        <v>801180.08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6">
        <v>803434.09</v>
      </c>
      <c r="R36" s="176">
        <v>375.24</v>
      </c>
      <c r="S36" s="176">
        <v>67852.63</v>
      </c>
      <c r="T36" s="176">
        <v>138574.99</v>
      </c>
      <c r="U36" s="176">
        <v>1424883.88</v>
      </c>
      <c r="V36" s="176">
        <v>801180.08</v>
      </c>
      <c r="W36" s="176">
        <v>305892.46999999997</v>
      </c>
      <c r="X36" s="176">
        <v>41708.68</v>
      </c>
      <c r="Y36" s="176">
        <v>0</v>
      </c>
      <c r="Z36" s="176">
        <v>425737.36</v>
      </c>
      <c r="AA36" s="176">
        <v>5419.25</v>
      </c>
      <c r="AB36" s="176">
        <v>153532.12</v>
      </c>
      <c r="AC36" s="176">
        <v>4182582.11</v>
      </c>
      <c r="AD36" s="176">
        <v>380869.88</v>
      </c>
      <c r="AE36" s="176">
        <v>0</v>
      </c>
      <c r="AF36" s="176">
        <v>0</v>
      </c>
      <c r="AG36" s="176">
        <v>91015.19</v>
      </c>
      <c r="AH36" s="176">
        <v>142107.09030000001</v>
      </c>
      <c r="AI36" s="176">
        <v>97042.29</v>
      </c>
      <c r="AJ36" s="176">
        <v>58120.58</v>
      </c>
      <c r="AK36" s="176">
        <v>338685.17</v>
      </c>
      <c r="AL36" s="176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5">
      <c r="A37" s="3"/>
      <c r="B37" s="10">
        <v>29</v>
      </c>
      <c r="C37" s="12">
        <v>5130</v>
      </c>
      <c r="D37" s="222">
        <v>28</v>
      </c>
      <c r="E37" s="12" t="s">
        <v>36</v>
      </c>
      <c r="F37" s="104"/>
      <c r="G37" s="104">
        <f t="shared" si="0"/>
        <v>371102.38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6">
        <v>254819.96</v>
      </c>
      <c r="R37" s="176">
        <v>0</v>
      </c>
      <c r="S37" s="176">
        <v>0</v>
      </c>
      <c r="T37" s="176">
        <v>327923.11</v>
      </c>
      <c r="U37" s="176">
        <v>341707.17</v>
      </c>
      <c r="V37" s="176">
        <v>371102.38</v>
      </c>
      <c r="W37" s="176">
        <v>262509.95</v>
      </c>
      <c r="X37" s="176">
        <v>52958.98</v>
      </c>
      <c r="Y37" s="176">
        <v>0</v>
      </c>
      <c r="Z37" s="176">
        <v>155657.97</v>
      </c>
      <c r="AA37" s="176">
        <v>0</v>
      </c>
      <c r="AB37" s="176">
        <v>49444.77</v>
      </c>
      <c r="AC37" s="176">
        <v>0</v>
      </c>
      <c r="AD37" s="176">
        <v>195420.84</v>
      </c>
      <c r="AE37" s="176">
        <v>361665.78</v>
      </c>
      <c r="AF37" s="176">
        <v>33201.839999999997</v>
      </c>
      <c r="AG37" s="176">
        <v>42973.35</v>
      </c>
      <c r="AH37" s="176">
        <v>174752.13089999999</v>
      </c>
      <c r="AI37" s="176">
        <v>685194.61</v>
      </c>
      <c r="AJ37" s="176">
        <v>148.83000000000001</v>
      </c>
      <c r="AK37" s="176">
        <v>201097.86</v>
      </c>
      <c r="AL37" s="176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5">
      <c r="A38" s="3"/>
      <c r="B38" s="10">
        <v>30</v>
      </c>
      <c r="C38" s="12">
        <v>5135</v>
      </c>
      <c r="D38" s="222">
        <v>29</v>
      </c>
      <c r="E38" s="12" t="s">
        <v>37</v>
      </c>
      <c r="F38" s="104"/>
      <c r="G38" s="104">
        <f t="shared" si="0"/>
        <v>509893.59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6">
        <v>3346740.7</v>
      </c>
      <c r="R38" s="176">
        <v>50240</v>
      </c>
      <c r="S38" s="176">
        <v>0</v>
      </c>
      <c r="T38" s="176">
        <v>463192.49</v>
      </c>
      <c r="U38" s="176">
        <v>741468.39</v>
      </c>
      <c r="V38" s="176">
        <v>509893.59</v>
      </c>
      <c r="W38" s="176">
        <v>447394.32</v>
      </c>
      <c r="X38" s="176">
        <v>66114.570000000007</v>
      </c>
      <c r="Y38" s="176">
        <v>0</v>
      </c>
      <c r="Z38" s="176">
        <v>97947.69</v>
      </c>
      <c r="AA38" s="176">
        <v>7672.5</v>
      </c>
      <c r="AB38" s="176">
        <v>74828.460000000006</v>
      </c>
      <c r="AC38" s="176">
        <v>1006903.62</v>
      </c>
      <c r="AD38" s="176">
        <v>112288.05</v>
      </c>
      <c r="AE38" s="176">
        <v>889122.93</v>
      </c>
      <c r="AF38" s="176">
        <v>71793.78</v>
      </c>
      <c r="AG38" s="176">
        <v>76406.820000000007</v>
      </c>
      <c r="AH38" s="176">
        <v>593112.93909999996</v>
      </c>
      <c r="AI38" s="176">
        <v>146265.51</v>
      </c>
      <c r="AJ38" s="176">
        <v>30752.27</v>
      </c>
      <c r="AK38" s="176">
        <v>618115.72</v>
      </c>
      <c r="AL38" s="176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5">
      <c r="A39" s="3"/>
      <c r="B39" s="10">
        <v>31</v>
      </c>
      <c r="C39" s="12">
        <v>5145</v>
      </c>
      <c r="D39" s="222">
        <v>30</v>
      </c>
      <c r="E39" s="12" t="s">
        <v>38</v>
      </c>
      <c r="F39" s="104"/>
      <c r="G39" s="104">
        <f t="shared" si="0"/>
        <v>40997.800000000003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6">
        <v>0</v>
      </c>
      <c r="R39" s="176">
        <v>0</v>
      </c>
      <c r="S39" s="176">
        <v>491.64</v>
      </c>
      <c r="T39" s="176">
        <v>7366.86</v>
      </c>
      <c r="U39" s="176">
        <v>13348.05</v>
      </c>
      <c r="V39" s="176">
        <v>40997.800000000003</v>
      </c>
      <c r="W39" s="176">
        <v>7806.84</v>
      </c>
      <c r="X39" s="176">
        <v>3227.96</v>
      </c>
      <c r="Y39" s="176">
        <v>0</v>
      </c>
      <c r="Z39" s="176">
        <v>534.22</v>
      </c>
      <c r="AA39" s="176">
        <v>0</v>
      </c>
      <c r="AB39" s="176">
        <v>0</v>
      </c>
      <c r="AC39" s="176">
        <v>0</v>
      </c>
      <c r="AD39" s="176">
        <v>3444.53</v>
      </c>
      <c r="AE39" s="176">
        <v>0</v>
      </c>
      <c r="AF39" s="176">
        <v>0</v>
      </c>
      <c r="AG39" s="176">
        <v>172.67</v>
      </c>
      <c r="AH39" s="176">
        <v>0</v>
      </c>
      <c r="AI39" s="176">
        <v>11088.33</v>
      </c>
      <c r="AJ39" s="176">
        <v>0</v>
      </c>
      <c r="AK39" s="176">
        <v>109314.9</v>
      </c>
      <c r="AL39" s="176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5">
      <c r="A40" s="3"/>
      <c r="B40" s="10">
        <v>32</v>
      </c>
      <c r="C40" s="12">
        <v>5150</v>
      </c>
      <c r="D40" s="222">
        <v>31</v>
      </c>
      <c r="E40" s="12" t="s">
        <v>39</v>
      </c>
      <c r="F40" s="104"/>
      <c r="G40" s="104">
        <f t="shared" si="0"/>
        <v>560996.25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6">
        <v>0</v>
      </c>
      <c r="R40" s="176">
        <v>0</v>
      </c>
      <c r="S40" s="176">
        <v>12445.51</v>
      </c>
      <c r="T40" s="176">
        <v>352686.9</v>
      </c>
      <c r="U40" s="176">
        <v>609964.12</v>
      </c>
      <c r="V40" s="176">
        <v>560996.25</v>
      </c>
      <c r="W40" s="176">
        <v>37001.440000000002</v>
      </c>
      <c r="X40" s="176">
        <v>2503.14</v>
      </c>
      <c r="Y40" s="176">
        <v>0</v>
      </c>
      <c r="Z40" s="176">
        <v>83053.440000000002</v>
      </c>
      <c r="AA40" s="176">
        <v>9924.75</v>
      </c>
      <c r="AB40" s="176">
        <v>62020.67</v>
      </c>
      <c r="AC40" s="176">
        <v>5286652.2</v>
      </c>
      <c r="AD40" s="176">
        <v>13694.61</v>
      </c>
      <c r="AE40" s="176">
        <v>0</v>
      </c>
      <c r="AF40" s="176">
        <v>7066.34</v>
      </c>
      <c r="AG40" s="176">
        <v>15737.05</v>
      </c>
      <c r="AH40" s="176">
        <v>94057.298840000003</v>
      </c>
      <c r="AI40" s="176">
        <v>99791.8</v>
      </c>
      <c r="AJ40" s="176">
        <v>12601.6</v>
      </c>
      <c r="AK40" s="176">
        <v>102164.62</v>
      </c>
      <c r="AL40" s="176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5">
      <c r="A41" s="3"/>
      <c r="B41" s="10">
        <v>33</v>
      </c>
      <c r="C41" s="12">
        <v>5155</v>
      </c>
      <c r="D41" s="222">
        <v>32</v>
      </c>
      <c r="E41" s="12" t="s">
        <v>40</v>
      </c>
      <c r="F41" s="104"/>
      <c r="G41" s="104">
        <f t="shared" si="0"/>
        <v>109421.08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6">
        <v>410.97</v>
      </c>
      <c r="R41" s="176">
        <v>0</v>
      </c>
      <c r="S41" s="176">
        <v>488</v>
      </c>
      <c r="T41" s="176">
        <v>246424.06</v>
      </c>
      <c r="U41" s="176">
        <v>496480.54</v>
      </c>
      <c r="V41" s="176">
        <v>109421.08</v>
      </c>
      <c r="W41" s="176">
        <v>72415.960000000006</v>
      </c>
      <c r="X41" s="176">
        <v>114268.19</v>
      </c>
      <c r="Y41" s="176">
        <v>0</v>
      </c>
      <c r="Z41" s="176">
        <v>279864.71999999997</v>
      </c>
      <c r="AA41" s="176">
        <v>2000</v>
      </c>
      <c r="AB41" s="176">
        <v>104205.75999999999</v>
      </c>
      <c r="AC41" s="176">
        <v>0</v>
      </c>
      <c r="AD41" s="176">
        <v>126550.18</v>
      </c>
      <c r="AE41" s="176">
        <v>272476.07</v>
      </c>
      <c r="AF41" s="176">
        <v>64649.08</v>
      </c>
      <c r="AG41" s="176">
        <v>0</v>
      </c>
      <c r="AH41" s="176">
        <v>187508.2133</v>
      </c>
      <c r="AI41" s="176">
        <v>54669.760000000002</v>
      </c>
      <c r="AJ41" s="176">
        <v>0</v>
      </c>
      <c r="AK41" s="176">
        <v>123355.45</v>
      </c>
      <c r="AL41" s="176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5">
      <c r="A42" s="3"/>
      <c r="B42" s="10">
        <v>34</v>
      </c>
      <c r="C42" s="12">
        <v>5160</v>
      </c>
      <c r="D42" s="222">
        <v>33</v>
      </c>
      <c r="E42" s="12" t="s">
        <v>41</v>
      </c>
      <c r="F42" s="104"/>
      <c r="G42" s="104">
        <f t="shared" ref="G42:G73" si="1">HLOOKUP($E$3,$P$3:$CF$269,O42,TRUE)</f>
        <v>186092.61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6">
        <v>7965.86</v>
      </c>
      <c r="R42" s="176">
        <v>3557.21</v>
      </c>
      <c r="S42" s="176">
        <v>2618.1999999999998</v>
      </c>
      <c r="T42" s="176">
        <v>41424.160000000003</v>
      </c>
      <c r="U42" s="176">
        <v>39759.199999999997</v>
      </c>
      <c r="V42" s="176">
        <v>186092.61</v>
      </c>
      <c r="W42" s="176">
        <v>46438.26</v>
      </c>
      <c r="X42" s="176">
        <v>14202.1</v>
      </c>
      <c r="Y42" s="176">
        <v>0</v>
      </c>
      <c r="Z42" s="176">
        <v>71049.36</v>
      </c>
      <c r="AA42" s="176">
        <v>0</v>
      </c>
      <c r="AB42" s="176">
        <v>13360.91</v>
      </c>
      <c r="AC42" s="176">
        <v>0</v>
      </c>
      <c r="AD42" s="176">
        <v>39703.35</v>
      </c>
      <c r="AE42" s="176">
        <v>32085.83</v>
      </c>
      <c r="AF42" s="176">
        <v>12367.97</v>
      </c>
      <c r="AG42" s="176">
        <v>5468.67</v>
      </c>
      <c r="AH42" s="176">
        <v>64304.138529999997</v>
      </c>
      <c r="AI42" s="176">
        <v>18146.55</v>
      </c>
      <c r="AJ42" s="176">
        <v>0</v>
      </c>
      <c r="AK42" s="176">
        <v>166675.35</v>
      </c>
      <c r="AL42" s="176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5">
      <c r="A43" s="3"/>
      <c r="B43" s="10">
        <v>35</v>
      </c>
      <c r="C43" s="12">
        <v>5175</v>
      </c>
      <c r="D43" s="222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6">
        <v>422693.07</v>
      </c>
      <c r="R43" s="176">
        <v>29937.78</v>
      </c>
      <c r="S43" s="176">
        <v>7558.72</v>
      </c>
      <c r="T43" s="176">
        <v>0</v>
      </c>
      <c r="U43" s="176">
        <v>142667.75</v>
      </c>
      <c r="V43" s="176">
        <v>0</v>
      </c>
      <c r="W43" s="176">
        <v>415023.58</v>
      </c>
      <c r="X43" s="176">
        <v>0</v>
      </c>
      <c r="Y43" s="176">
        <v>0</v>
      </c>
      <c r="Z43" s="176">
        <v>281231.5</v>
      </c>
      <c r="AA43" s="176">
        <v>0</v>
      </c>
      <c r="AB43" s="176">
        <v>163335.1</v>
      </c>
      <c r="AC43" s="176">
        <v>1580972.98</v>
      </c>
      <c r="AD43" s="176">
        <v>221904.38</v>
      </c>
      <c r="AE43" s="176">
        <v>0</v>
      </c>
      <c r="AF43" s="176">
        <v>47531.29</v>
      </c>
      <c r="AG43" s="176">
        <v>3192.58</v>
      </c>
      <c r="AH43" s="176">
        <v>0</v>
      </c>
      <c r="AI43" s="176">
        <v>95891.04</v>
      </c>
      <c r="AJ43" s="176">
        <v>41600.620000000003</v>
      </c>
      <c r="AK43" s="176">
        <v>38010.800000000003</v>
      </c>
      <c r="AL43" s="176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5">
      <c r="A44" s="3"/>
      <c r="B44" s="10">
        <v>36</v>
      </c>
      <c r="C44" s="16"/>
      <c r="D44" s="222"/>
      <c r="E44" s="17" t="s">
        <v>43</v>
      </c>
      <c r="F44" s="105"/>
      <c r="G44" s="104">
        <f t="shared" si="1"/>
        <v>2671173.33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6">
        <v>5064914.8400000008</v>
      </c>
      <c r="R44" s="176">
        <v>93415.709999999992</v>
      </c>
      <c r="S44" s="176">
        <v>163254.70000000004</v>
      </c>
      <c r="T44" s="176">
        <v>1807119.5200000003</v>
      </c>
      <c r="U44" s="176">
        <v>4198647.51</v>
      </c>
      <c r="V44" s="176">
        <v>2671173.33</v>
      </c>
      <c r="W44" s="176">
        <v>1902723.6300000001</v>
      </c>
      <c r="X44" s="176">
        <v>354386.45999999996</v>
      </c>
      <c r="Y44" s="176">
        <v>0</v>
      </c>
      <c r="Z44" s="176">
        <v>1727735.5699999998</v>
      </c>
      <c r="AA44" s="176">
        <v>46222.76</v>
      </c>
      <c r="AB44" s="176">
        <v>644987.39</v>
      </c>
      <c r="AC44" s="176">
        <v>12057110.91</v>
      </c>
      <c r="AD44" s="176">
        <v>1747848.3400000003</v>
      </c>
      <c r="AE44" s="176">
        <v>2028985.2100000002</v>
      </c>
      <c r="AF44" s="176">
        <v>286801.81</v>
      </c>
      <c r="AG44" s="176">
        <v>353018.86</v>
      </c>
      <c r="AH44" s="176">
        <v>1439706.7683199998</v>
      </c>
      <c r="AI44" s="176">
        <v>1228752.21</v>
      </c>
      <c r="AJ44" s="176">
        <v>307190.97999999992</v>
      </c>
      <c r="AK44" s="176">
        <v>2162162.9599999995</v>
      </c>
      <c r="AL44" s="176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5">
      <c r="A45" s="3"/>
      <c r="B45" s="10">
        <v>37</v>
      </c>
      <c r="C45" s="12">
        <v>5305</v>
      </c>
      <c r="D45" s="222">
        <v>35</v>
      </c>
      <c r="E45" s="12" t="s">
        <v>44</v>
      </c>
      <c r="F45" s="104"/>
      <c r="G45" s="104">
        <f t="shared" si="1"/>
        <v>915849.25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6">
        <v>85719</v>
      </c>
      <c r="R45" s="176">
        <v>3060.11</v>
      </c>
      <c r="S45" s="176">
        <v>145922.96</v>
      </c>
      <c r="T45" s="176">
        <v>168107.75</v>
      </c>
      <c r="U45" s="176">
        <v>0</v>
      </c>
      <c r="V45" s="176">
        <v>915849.25</v>
      </c>
      <c r="W45" s="176">
        <v>142188.94</v>
      </c>
      <c r="X45" s="176">
        <v>57885.78</v>
      </c>
      <c r="Y45" s="176">
        <v>0</v>
      </c>
      <c r="Z45" s="176">
        <v>92517.28</v>
      </c>
      <c r="AA45" s="176">
        <v>0</v>
      </c>
      <c r="AB45" s="176">
        <v>105532.27</v>
      </c>
      <c r="AC45" s="176">
        <v>3190114.12</v>
      </c>
      <c r="AD45" s="176">
        <v>487264.74</v>
      </c>
      <c r="AE45" s="176">
        <v>0</v>
      </c>
      <c r="AF45" s="176">
        <v>0</v>
      </c>
      <c r="AG45" s="176">
        <v>0</v>
      </c>
      <c r="AH45" s="176">
        <v>187518.75</v>
      </c>
      <c r="AI45" s="176">
        <v>27534.62</v>
      </c>
      <c r="AJ45" s="176">
        <v>0</v>
      </c>
      <c r="AK45" s="176">
        <v>0</v>
      </c>
      <c r="AL45" s="176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5">
      <c r="A46" s="3"/>
      <c r="B46" s="10">
        <v>38</v>
      </c>
      <c r="C46" s="12">
        <v>5310</v>
      </c>
      <c r="D46" s="222">
        <v>36</v>
      </c>
      <c r="E46" s="12" t="s">
        <v>45</v>
      </c>
      <c r="F46" s="104"/>
      <c r="G46" s="104">
        <f t="shared" si="1"/>
        <v>374157.31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6">
        <v>117110.78</v>
      </c>
      <c r="R46" s="176">
        <v>29682.95</v>
      </c>
      <c r="S46" s="176">
        <v>284123.19</v>
      </c>
      <c r="T46" s="176">
        <v>580983.80000000005</v>
      </c>
      <c r="U46" s="176">
        <v>322243.59999999998</v>
      </c>
      <c r="V46" s="176">
        <v>374157.31</v>
      </c>
      <c r="W46" s="176">
        <v>79325.91</v>
      </c>
      <c r="X46" s="176">
        <v>106918.86</v>
      </c>
      <c r="Y46" s="176">
        <v>35466.49</v>
      </c>
      <c r="Z46" s="176">
        <v>201708.19</v>
      </c>
      <c r="AA46" s="176">
        <v>168889.18</v>
      </c>
      <c r="AB46" s="176">
        <v>59514.6</v>
      </c>
      <c r="AC46" s="176">
        <v>2194533.88</v>
      </c>
      <c r="AD46" s="176">
        <v>254379.51</v>
      </c>
      <c r="AE46" s="176">
        <v>330298.03999999998</v>
      </c>
      <c r="AF46" s="176">
        <v>0</v>
      </c>
      <c r="AG46" s="176">
        <v>64727</v>
      </c>
      <c r="AH46" s="176">
        <v>234570.62</v>
      </c>
      <c r="AI46" s="176">
        <v>234863.39</v>
      </c>
      <c r="AJ46" s="176">
        <v>8176.76</v>
      </c>
      <c r="AK46" s="176">
        <v>19419.900000000001</v>
      </c>
      <c r="AL46" s="176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5">
      <c r="A47" s="3"/>
      <c r="B47" s="10">
        <v>39</v>
      </c>
      <c r="C47" s="12">
        <v>5315</v>
      </c>
      <c r="D47" s="222">
        <v>37</v>
      </c>
      <c r="E47" s="12" t="s">
        <v>46</v>
      </c>
      <c r="F47" s="104"/>
      <c r="G47" s="104">
        <f t="shared" si="1"/>
        <v>1401714.96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6">
        <v>145876.24</v>
      </c>
      <c r="R47" s="176">
        <v>124760.03</v>
      </c>
      <c r="S47" s="176">
        <v>950207.09</v>
      </c>
      <c r="T47" s="176">
        <v>949917.38</v>
      </c>
      <c r="U47" s="176">
        <v>814420.05</v>
      </c>
      <c r="V47" s="176">
        <v>1401714.96</v>
      </c>
      <c r="W47" s="176">
        <v>451200.76</v>
      </c>
      <c r="X47" s="176">
        <v>210220.11</v>
      </c>
      <c r="Y47" s="176">
        <v>78927.149999999994</v>
      </c>
      <c r="Z47" s="176">
        <v>425281.14</v>
      </c>
      <c r="AA47" s="176">
        <v>0</v>
      </c>
      <c r="AB47" s="176">
        <v>270365.13</v>
      </c>
      <c r="AC47" s="176">
        <v>763936.69</v>
      </c>
      <c r="AD47" s="176">
        <v>2615870.86</v>
      </c>
      <c r="AE47" s="176">
        <v>378243.28</v>
      </c>
      <c r="AF47" s="176">
        <v>799615.21</v>
      </c>
      <c r="AG47" s="176">
        <v>170325.42</v>
      </c>
      <c r="AH47" s="176">
        <v>623072.77</v>
      </c>
      <c r="AI47" s="176">
        <v>623205.30000000005</v>
      </c>
      <c r="AJ47" s="176">
        <v>159312.92000000001</v>
      </c>
      <c r="AK47" s="176">
        <v>1637728.85</v>
      </c>
      <c r="AL47" s="176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5">
      <c r="A48" s="3"/>
      <c r="B48" s="10">
        <v>40</v>
      </c>
      <c r="C48" s="12">
        <v>5320</v>
      </c>
      <c r="D48" s="222">
        <v>38</v>
      </c>
      <c r="E48" s="12" t="s">
        <v>47</v>
      </c>
      <c r="F48" s="104"/>
      <c r="G48" s="104">
        <f t="shared" si="1"/>
        <v>305336.12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6">
        <v>233095.83</v>
      </c>
      <c r="R48" s="176">
        <v>151.22999999999999</v>
      </c>
      <c r="S48" s="176">
        <v>276939.96999999997</v>
      </c>
      <c r="T48" s="176">
        <v>423132</v>
      </c>
      <c r="U48" s="176">
        <v>185436.07</v>
      </c>
      <c r="V48" s="176">
        <v>305336.12</v>
      </c>
      <c r="W48" s="176">
        <v>363495.73</v>
      </c>
      <c r="X48" s="176">
        <v>84530.3</v>
      </c>
      <c r="Y48" s="176">
        <v>0</v>
      </c>
      <c r="Z48" s="176">
        <v>114295.91</v>
      </c>
      <c r="AA48" s="176">
        <v>0</v>
      </c>
      <c r="AB48" s="176">
        <v>98126.59</v>
      </c>
      <c r="AC48" s="176">
        <v>991800.91</v>
      </c>
      <c r="AD48" s="176">
        <v>-1128087.71</v>
      </c>
      <c r="AE48" s="176">
        <v>49166.51</v>
      </c>
      <c r="AF48" s="176">
        <v>155827.64000000001</v>
      </c>
      <c r="AG48" s="176">
        <v>112099.9</v>
      </c>
      <c r="AH48" s="176">
        <v>122141.97</v>
      </c>
      <c r="AI48" s="176">
        <v>182156.22</v>
      </c>
      <c r="AJ48" s="176">
        <v>102510.12</v>
      </c>
      <c r="AK48" s="176">
        <v>199013.83</v>
      </c>
      <c r="AL48" s="176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5">
      <c r="A49" s="3"/>
      <c r="B49" s="10">
        <v>41</v>
      </c>
      <c r="C49" s="12">
        <v>5325</v>
      </c>
      <c r="D49" s="222">
        <v>39</v>
      </c>
      <c r="E49" s="12" t="s">
        <v>48</v>
      </c>
      <c r="F49" s="104"/>
      <c r="G49" s="104">
        <f t="shared" si="1"/>
        <v>112.92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6">
        <v>0</v>
      </c>
      <c r="R49" s="176">
        <v>0</v>
      </c>
      <c r="S49" s="176">
        <v>0.02</v>
      </c>
      <c r="T49" s="176">
        <v>-9902.64</v>
      </c>
      <c r="U49" s="176">
        <v>0</v>
      </c>
      <c r="V49" s="176">
        <v>112.92</v>
      </c>
      <c r="W49" s="176">
        <v>0</v>
      </c>
      <c r="X49" s="176">
        <v>0.55000000000000004</v>
      </c>
      <c r="Y49" s="176">
        <v>0</v>
      </c>
      <c r="Z49" s="176">
        <v>-11.71</v>
      </c>
      <c r="AA49" s="176">
        <v>0</v>
      </c>
      <c r="AB49" s="176">
        <v>701.22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5">
      <c r="A50" s="3"/>
      <c r="B50" s="10">
        <v>42</v>
      </c>
      <c r="C50" s="12">
        <v>5330</v>
      </c>
      <c r="D50" s="222">
        <v>40</v>
      </c>
      <c r="E50" s="12" t="s">
        <v>49</v>
      </c>
      <c r="F50" s="104"/>
      <c r="G50" s="104">
        <f t="shared" si="1"/>
        <v>23538.46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6">
        <v>0</v>
      </c>
      <c r="R50" s="176">
        <v>0</v>
      </c>
      <c r="S50" s="176">
        <v>0</v>
      </c>
      <c r="T50" s="176">
        <v>493.13</v>
      </c>
      <c r="U50" s="176">
        <v>100296.56</v>
      </c>
      <c r="V50" s="176">
        <v>23538.46</v>
      </c>
      <c r="W50" s="176">
        <v>0</v>
      </c>
      <c r="X50" s="176">
        <v>0</v>
      </c>
      <c r="Y50" s="176">
        <v>0</v>
      </c>
      <c r="Z50" s="176">
        <v>0</v>
      </c>
      <c r="AA50" s="176">
        <v>3930</v>
      </c>
      <c r="AB50" s="176">
        <v>20553.89</v>
      </c>
      <c r="AC50" s="176">
        <v>-365479.25</v>
      </c>
      <c r="AD50" s="176">
        <v>0</v>
      </c>
      <c r="AE50" s="176">
        <v>0</v>
      </c>
      <c r="AF50" s="176">
        <v>0</v>
      </c>
      <c r="AG50" s="176">
        <v>0</v>
      </c>
      <c r="AH50" s="176">
        <v>63.9</v>
      </c>
      <c r="AI50" s="176">
        <v>0</v>
      </c>
      <c r="AJ50" s="176">
        <v>0</v>
      </c>
      <c r="AK50" s="176">
        <v>0</v>
      </c>
      <c r="AL50" s="176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5">
      <c r="A51" s="3"/>
      <c r="B51" s="10">
        <v>43</v>
      </c>
      <c r="C51" s="12">
        <v>5340</v>
      </c>
      <c r="D51" s="222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6">
        <v>231796.27</v>
      </c>
      <c r="R51" s="176">
        <v>4242.62</v>
      </c>
      <c r="S51" s="176">
        <v>0</v>
      </c>
      <c r="T51" s="176">
        <v>519668.26</v>
      </c>
      <c r="U51" s="176">
        <v>670929.36</v>
      </c>
      <c r="V51" s="176">
        <v>0</v>
      </c>
      <c r="W51" s="176">
        <v>570432.31999999995</v>
      </c>
      <c r="X51" s="176">
        <v>0</v>
      </c>
      <c r="Y51" s="176">
        <v>0</v>
      </c>
      <c r="Z51" s="176">
        <v>0</v>
      </c>
      <c r="AA51" s="176">
        <v>0</v>
      </c>
      <c r="AB51" s="176">
        <v>48.32</v>
      </c>
      <c r="AC51" s="176">
        <v>237537.23</v>
      </c>
      <c r="AD51" s="176">
        <v>0</v>
      </c>
      <c r="AE51" s="176">
        <v>0</v>
      </c>
      <c r="AF51" s="176">
        <v>0</v>
      </c>
      <c r="AG51" s="176">
        <v>0</v>
      </c>
      <c r="AH51" s="176">
        <v>30402.9</v>
      </c>
      <c r="AI51" s="176">
        <v>154477.18</v>
      </c>
      <c r="AJ51" s="176">
        <v>0</v>
      </c>
      <c r="AK51" s="176">
        <v>67722.92</v>
      </c>
      <c r="AL51" s="176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5">
      <c r="A52" s="3"/>
      <c r="B52" s="10">
        <v>44</v>
      </c>
      <c r="C52" s="16"/>
      <c r="D52" s="222"/>
      <c r="E52" s="17" t="s">
        <v>51</v>
      </c>
      <c r="F52" s="105"/>
      <c r="G52" s="104">
        <f t="shared" si="1"/>
        <v>3020709.02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6">
        <v>813598.12</v>
      </c>
      <c r="R52" s="176">
        <v>161896.94</v>
      </c>
      <c r="S52" s="176">
        <v>1657193.23</v>
      </c>
      <c r="T52" s="176">
        <v>2632399.6799999997</v>
      </c>
      <c r="U52" s="176">
        <v>2093325.6400000001</v>
      </c>
      <c r="V52" s="176">
        <v>3020709.02</v>
      </c>
      <c r="W52" s="176">
        <v>1606643.66</v>
      </c>
      <c r="X52" s="176">
        <v>459555.6</v>
      </c>
      <c r="Y52" s="176">
        <v>114393.63999999998</v>
      </c>
      <c r="Z52" s="176">
        <v>833790.81</v>
      </c>
      <c r="AA52" s="176">
        <v>172819.18</v>
      </c>
      <c r="AB52" s="176">
        <v>554842.0199999999</v>
      </c>
      <c r="AC52" s="176">
        <v>7012443.5800000001</v>
      </c>
      <c r="AD52" s="176">
        <v>2229427.4</v>
      </c>
      <c r="AE52" s="176">
        <v>757707.83000000007</v>
      </c>
      <c r="AF52" s="176">
        <v>955442.85</v>
      </c>
      <c r="AG52" s="176">
        <v>347152.32</v>
      </c>
      <c r="AH52" s="176">
        <v>1197770.9099999999</v>
      </c>
      <c r="AI52" s="176">
        <v>1222236.71</v>
      </c>
      <c r="AJ52" s="176">
        <v>269999.80000000005</v>
      </c>
      <c r="AK52" s="176">
        <v>1923885.5</v>
      </c>
      <c r="AL52" s="176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5">
      <c r="A53" s="3"/>
      <c r="B53" s="10">
        <v>45</v>
      </c>
      <c r="C53" s="12">
        <v>5405</v>
      </c>
      <c r="D53" s="222">
        <v>42</v>
      </c>
      <c r="E53" s="12" t="s">
        <v>52</v>
      </c>
      <c r="F53" s="104"/>
      <c r="G53" s="104">
        <f t="shared" si="1"/>
        <v>1597.28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6">
        <v>1225.56</v>
      </c>
      <c r="R53" s="176">
        <v>0</v>
      </c>
      <c r="S53" s="176">
        <v>0</v>
      </c>
      <c r="T53" s="176">
        <v>0</v>
      </c>
      <c r="U53" s="176">
        <v>0</v>
      </c>
      <c r="V53" s="176">
        <v>1597.28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1431.67</v>
      </c>
      <c r="AJ53" s="176">
        <v>30894.52</v>
      </c>
      <c r="AK53" s="176">
        <v>0</v>
      </c>
      <c r="AL53" s="176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5">
      <c r="A54" s="3"/>
      <c r="B54" s="10">
        <v>46</v>
      </c>
      <c r="C54" s="12">
        <v>5410</v>
      </c>
      <c r="D54" s="222">
        <v>43</v>
      </c>
      <c r="E54" s="12" t="s">
        <v>53</v>
      </c>
      <c r="F54" s="104"/>
      <c r="G54" s="104">
        <f t="shared" si="1"/>
        <v>17823.29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6">
        <v>19685.46</v>
      </c>
      <c r="R54" s="176">
        <v>0</v>
      </c>
      <c r="S54" s="176">
        <v>135356.62</v>
      </c>
      <c r="T54" s="176">
        <v>7176.99</v>
      </c>
      <c r="U54" s="176">
        <v>0</v>
      </c>
      <c r="V54" s="176">
        <v>17823.29</v>
      </c>
      <c r="W54" s="176">
        <v>346.67</v>
      </c>
      <c r="X54" s="176">
        <v>31323.69</v>
      </c>
      <c r="Y54" s="176">
        <v>415</v>
      </c>
      <c r="Z54" s="176">
        <v>0</v>
      </c>
      <c r="AA54" s="176">
        <v>7862.84</v>
      </c>
      <c r="AB54" s="176">
        <v>4839.8599999999997</v>
      </c>
      <c r="AC54" s="176">
        <v>0</v>
      </c>
      <c r="AD54" s="176">
        <v>30398.43</v>
      </c>
      <c r="AE54" s="176">
        <v>55286.49</v>
      </c>
      <c r="AF54" s="176">
        <v>24584.33</v>
      </c>
      <c r="AG54" s="176">
        <v>0</v>
      </c>
      <c r="AH54" s="176">
        <v>6482.32</v>
      </c>
      <c r="AI54" s="176">
        <v>0</v>
      </c>
      <c r="AJ54" s="176">
        <v>30508.41</v>
      </c>
      <c r="AK54" s="176">
        <v>0</v>
      </c>
      <c r="AL54" s="176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5">
      <c r="A55" s="3"/>
      <c r="B55" s="10">
        <v>47</v>
      </c>
      <c r="C55" s="12">
        <v>5420</v>
      </c>
      <c r="D55" s="222">
        <v>44</v>
      </c>
      <c r="E55" s="12" t="s">
        <v>54</v>
      </c>
      <c r="F55" s="104"/>
      <c r="G55" s="104">
        <f t="shared" si="1"/>
        <v>78417.97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6">
        <v>0</v>
      </c>
      <c r="R55" s="176">
        <v>0</v>
      </c>
      <c r="S55" s="176">
        <v>122166.56</v>
      </c>
      <c r="T55" s="176">
        <v>0</v>
      </c>
      <c r="U55" s="176">
        <v>54320.31</v>
      </c>
      <c r="V55" s="176">
        <v>78417.97</v>
      </c>
      <c r="W55" s="176">
        <v>45.71</v>
      </c>
      <c r="X55" s="176">
        <v>0</v>
      </c>
      <c r="Y55" s="176">
        <v>0</v>
      </c>
      <c r="Z55" s="176">
        <v>9700</v>
      </c>
      <c r="AA55" s="176">
        <v>0</v>
      </c>
      <c r="AB55" s="176">
        <v>2745</v>
      </c>
      <c r="AC55" s="176">
        <v>0</v>
      </c>
      <c r="AD55" s="176">
        <v>0</v>
      </c>
      <c r="AE55" s="176">
        <v>0</v>
      </c>
      <c r="AF55" s="176">
        <v>0</v>
      </c>
      <c r="AG55" s="176">
        <v>0</v>
      </c>
      <c r="AH55" s="176">
        <v>0</v>
      </c>
      <c r="AI55" s="176">
        <v>8468.36</v>
      </c>
      <c r="AJ55" s="176">
        <v>1944.8</v>
      </c>
      <c r="AK55" s="176">
        <v>0</v>
      </c>
      <c r="AL55" s="176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5">
      <c r="A56" s="3"/>
      <c r="B56" s="10">
        <v>48</v>
      </c>
      <c r="C56" s="12">
        <v>5425</v>
      </c>
      <c r="D56" s="222">
        <v>45</v>
      </c>
      <c r="E56" s="12" t="s">
        <v>55</v>
      </c>
      <c r="F56" s="104"/>
      <c r="G56" s="104">
        <f t="shared" si="1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6">
        <v>11397.37</v>
      </c>
      <c r="R56" s="176">
        <v>0</v>
      </c>
      <c r="S56" s="176">
        <v>2789.14</v>
      </c>
      <c r="T56" s="176">
        <v>0</v>
      </c>
      <c r="U56" s="176">
        <v>0</v>
      </c>
      <c r="V56" s="176">
        <v>0</v>
      </c>
      <c r="W56" s="176">
        <v>19350</v>
      </c>
      <c r="X56" s="176">
        <v>13519.8</v>
      </c>
      <c r="Y56" s="176">
        <v>0</v>
      </c>
      <c r="Z56" s="176">
        <v>149239.29999999999</v>
      </c>
      <c r="AA56" s="176">
        <v>0</v>
      </c>
      <c r="AB56" s="176">
        <v>0</v>
      </c>
      <c r="AC56" s="176">
        <v>0</v>
      </c>
      <c r="AD56" s="176">
        <v>0</v>
      </c>
      <c r="AE56" s="176">
        <v>0</v>
      </c>
      <c r="AF56" s="176">
        <v>14840.32</v>
      </c>
      <c r="AG56" s="176">
        <v>0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5">
      <c r="A57" s="3"/>
      <c r="B57" s="10">
        <v>49</v>
      </c>
      <c r="C57" s="16"/>
      <c r="D57" s="222"/>
      <c r="E57" s="17" t="s">
        <v>56</v>
      </c>
      <c r="F57" s="105"/>
      <c r="G57" s="104">
        <f t="shared" si="1"/>
        <v>97838.540000000008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6">
        <v>32308.39</v>
      </c>
      <c r="R57" s="176">
        <v>0</v>
      </c>
      <c r="S57" s="176">
        <v>260312.32000000001</v>
      </c>
      <c r="T57" s="176">
        <v>7176.99</v>
      </c>
      <c r="U57" s="176">
        <v>54320.31</v>
      </c>
      <c r="V57" s="176">
        <v>97838.540000000008</v>
      </c>
      <c r="W57" s="176">
        <v>19742.38</v>
      </c>
      <c r="X57" s="176">
        <v>44843.49</v>
      </c>
      <c r="Y57" s="176">
        <v>415</v>
      </c>
      <c r="Z57" s="176">
        <v>158939.29999999999</v>
      </c>
      <c r="AA57" s="176">
        <v>7862.84</v>
      </c>
      <c r="AB57" s="176">
        <v>7584.86</v>
      </c>
      <c r="AC57" s="176">
        <v>0</v>
      </c>
      <c r="AD57" s="176">
        <v>30398.43</v>
      </c>
      <c r="AE57" s="176">
        <v>55286.49</v>
      </c>
      <c r="AF57" s="176">
        <v>39424.65</v>
      </c>
      <c r="AG57" s="176">
        <v>0</v>
      </c>
      <c r="AH57" s="176">
        <v>6482.32</v>
      </c>
      <c r="AI57" s="176">
        <v>9900.0300000000007</v>
      </c>
      <c r="AJ57" s="176">
        <v>63347.73</v>
      </c>
      <c r="AK57" s="176">
        <v>0</v>
      </c>
      <c r="AL57" s="176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5">
      <c r="A58" s="3"/>
      <c r="B58" s="10">
        <v>50</v>
      </c>
      <c r="C58" s="12">
        <v>5605</v>
      </c>
      <c r="D58" s="222">
        <v>47</v>
      </c>
      <c r="E58" s="12" t="s">
        <v>57</v>
      </c>
      <c r="F58" s="104"/>
      <c r="G58" s="104">
        <f t="shared" si="1"/>
        <v>1794287.99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6">
        <v>475379.64</v>
      </c>
      <c r="R58" s="176">
        <v>8360.36</v>
      </c>
      <c r="S58" s="176">
        <v>1599396.28</v>
      </c>
      <c r="T58" s="176">
        <v>1247156.29</v>
      </c>
      <c r="U58" s="176">
        <v>1520360.81</v>
      </c>
      <c r="V58" s="176">
        <v>1794287.99</v>
      </c>
      <c r="W58" s="176">
        <v>530707.56000000006</v>
      </c>
      <c r="X58" s="176">
        <v>0</v>
      </c>
      <c r="Y58" s="176">
        <v>13200</v>
      </c>
      <c r="Z58" s="176">
        <v>307948.99</v>
      </c>
      <c r="AA58" s="176">
        <v>29694</v>
      </c>
      <c r="AB58" s="176">
        <v>21158.09</v>
      </c>
      <c r="AC58" s="176">
        <v>0</v>
      </c>
      <c r="AD58" s="176">
        <v>0</v>
      </c>
      <c r="AE58" s="176">
        <v>0</v>
      </c>
      <c r="AF58" s="176">
        <v>322273.8</v>
      </c>
      <c r="AG58" s="176">
        <v>18540</v>
      </c>
      <c r="AH58" s="176">
        <v>0</v>
      </c>
      <c r="AI58" s="176">
        <v>686040.34</v>
      </c>
      <c r="AJ58" s="176">
        <v>179509.03</v>
      </c>
      <c r="AK58" s="176">
        <v>818992.19</v>
      </c>
      <c r="AL58" s="176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5">
      <c r="A59" s="3"/>
      <c r="B59" s="10">
        <v>51</v>
      </c>
      <c r="C59" s="12">
        <v>5610</v>
      </c>
      <c r="D59" s="222">
        <v>48</v>
      </c>
      <c r="E59" s="12" t="s">
        <v>58</v>
      </c>
      <c r="F59" s="104"/>
      <c r="G59" s="104">
        <f t="shared" si="1"/>
        <v>2463134.73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6">
        <v>612058.82999999996</v>
      </c>
      <c r="R59" s="176">
        <v>110571.81</v>
      </c>
      <c r="S59" s="176">
        <v>90737.02</v>
      </c>
      <c r="T59" s="176">
        <v>611878.24</v>
      </c>
      <c r="U59" s="176">
        <v>103980.9</v>
      </c>
      <c r="V59" s="176">
        <v>2463134.73</v>
      </c>
      <c r="W59" s="176">
        <v>468924.64</v>
      </c>
      <c r="X59" s="176">
        <v>360770.12</v>
      </c>
      <c r="Y59" s="176">
        <v>87775.03</v>
      </c>
      <c r="Z59" s="176">
        <v>176362.68</v>
      </c>
      <c r="AA59" s="176">
        <v>93979.87</v>
      </c>
      <c r="AB59" s="176">
        <v>349192.03</v>
      </c>
      <c r="AC59" s="176">
        <v>3064485.31</v>
      </c>
      <c r="AD59" s="176">
        <v>1761711.36</v>
      </c>
      <c r="AE59" s="176">
        <v>6708357.8600000003</v>
      </c>
      <c r="AF59" s="176">
        <v>1265951.1299999999</v>
      </c>
      <c r="AG59" s="176">
        <v>71198.600000000006</v>
      </c>
      <c r="AH59" s="176">
        <v>1715452.14</v>
      </c>
      <c r="AI59" s="176">
        <v>0</v>
      </c>
      <c r="AJ59" s="176">
        <v>0</v>
      </c>
      <c r="AK59" s="176">
        <v>477575.6</v>
      </c>
      <c r="AL59" s="176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5">
      <c r="A60" s="3"/>
      <c r="B60" s="10">
        <v>52</v>
      </c>
      <c r="C60" s="12">
        <v>5615</v>
      </c>
      <c r="D60" s="222">
        <v>49</v>
      </c>
      <c r="E60" s="12" t="s">
        <v>59</v>
      </c>
      <c r="F60" s="104"/>
      <c r="G60" s="104">
        <f t="shared" si="1"/>
        <v>1336153.6100000001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6">
        <v>1791771.82</v>
      </c>
      <c r="R60" s="176">
        <v>92720.68</v>
      </c>
      <c r="S60" s="176">
        <v>1612790.22</v>
      </c>
      <c r="T60" s="176">
        <v>1073212.25</v>
      </c>
      <c r="U60" s="176">
        <v>1916794.97</v>
      </c>
      <c r="V60" s="176">
        <v>1336153.6100000001</v>
      </c>
      <c r="W60" s="176">
        <v>3293813.07</v>
      </c>
      <c r="X60" s="176">
        <v>208942.81</v>
      </c>
      <c r="Y60" s="176">
        <v>17664.240000000002</v>
      </c>
      <c r="Z60" s="176">
        <v>392529.22</v>
      </c>
      <c r="AA60" s="176">
        <v>65744.33</v>
      </c>
      <c r="AB60" s="176">
        <v>76792.570000000007</v>
      </c>
      <c r="AC60" s="176">
        <v>2156006.04</v>
      </c>
      <c r="AD60" s="176">
        <v>133271.93</v>
      </c>
      <c r="AE60" s="176">
        <v>1997045.25</v>
      </c>
      <c r="AF60" s="176">
        <v>141562.65</v>
      </c>
      <c r="AG60" s="176">
        <v>32625.43</v>
      </c>
      <c r="AH60" s="176">
        <v>234839.49</v>
      </c>
      <c r="AI60" s="176">
        <v>445575.11</v>
      </c>
      <c r="AJ60" s="176">
        <v>158489.64000000001</v>
      </c>
      <c r="AK60" s="176">
        <v>814680.32</v>
      </c>
      <c r="AL60" s="176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5">
      <c r="A61" s="3"/>
      <c r="B61" s="10">
        <v>53</v>
      </c>
      <c r="C61" s="12">
        <v>5620</v>
      </c>
      <c r="D61" s="222">
        <v>50</v>
      </c>
      <c r="E61" s="12" t="s">
        <v>60</v>
      </c>
      <c r="F61" s="104"/>
      <c r="G61" s="104">
        <f t="shared" si="1"/>
        <v>512121.13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6">
        <v>176493.9</v>
      </c>
      <c r="R61" s="176">
        <v>3945.45</v>
      </c>
      <c r="S61" s="176">
        <v>3048.89</v>
      </c>
      <c r="T61" s="176">
        <v>68040.42</v>
      </c>
      <c r="U61" s="176">
        <v>440393.55</v>
      </c>
      <c r="V61" s="176">
        <v>512121.13</v>
      </c>
      <c r="W61" s="176">
        <v>514222.86</v>
      </c>
      <c r="X61" s="176">
        <v>67518.28</v>
      </c>
      <c r="Y61" s="176">
        <v>26671.68</v>
      </c>
      <c r="Z61" s="176">
        <v>0</v>
      </c>
      <c r="AA61" s="176">
        <v>37793.61</v>
      </c>
      <c r="AB61" s="176">
        <v>78465.460000000006</v>
      </c>
      <c r="AC61" s="176">
        <v>285200.7</v>
      </c>
      <c r="AD61" s="176">
        <v>245804.45</v>
      </c>
      <c r="AE61" s="176">
        <v>125814.37</v>
      </c>
      <c r="AF61" s="176">
        <v>139937.45000000001</v>
      </c>
      <c r="AG61" s="176">
        <v>77183.41</v>
      </c>
      <c r="AH61" s="176">
        <v>402557.75</v>
      </c>
      <c r="AI61" s="176">
        <v>197716.79</v>
      </c>
      <c r="AJ61" s="176">
        <v>13126.44</v>
      </c>
      <c r="AK61" s="176">
        <v>214321.43</v>
      </c>
      <c r="AL61" s="176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5">
      <c r="A62" s="3"/>
      <c r="B62" s="10">
        <v>54</v>
      </c>
      <c r="C62" s="12">
        <v>5625</v>
      </c>
      <c r="D62" s="222">
        <v>51</v>
      </c>
      <c r="E62" s="12" t="s">
        <v>61</v>
      </c>
      <c r="F62" s="104"/>
      <c r="G62" s="104">
        <f t="shared" si="1"/>
        <v>-248988.9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6">
        <v>-549618.75</v>
      </c>
      <c r="R62" s="176">
        <v>0</v>
      </c>
      <c r="S62" s="176">
        <v>0</v>
      </c>
      <c r="T62" s="176">
        <v>-93379.88</v>
      </c>
      <c r="U62" s="176">
        <v>-308436.93</v>
      </c>
      <c r="V62" s="176">
        <v>-248988.9</v>
      </c>
      <c r="W62" s="176">
        <v>-3834162.78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-7201742.5999999996</v>
      </c>
      <c r="AD62" s="176">
        <v>0</v>
      </c>
      <c r="AE62" s="176">
        <v>0</v>
      </c>
      <c r="AF62" s="176">
        <v>0</v>
      </c>
      <c r="AG62" s="176">
        <v>0</v>
      </c>
      <c r="AH62" s="176">
        <v>0</v>
      </c>
      <c r="AI62" s="176">
        <v>0</v>
      </c>
      <c r="AJ62" s="176">
        <v>-4310.88</v>
      </c>
      <c r="AK62" s="176">
        <v>0</v>
      </c>
      <c r="AL62" s="176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5">
      <c r="A63" s="3"/>
      <c r="B63" s="10">
        <v>55</v>
      </c>
      <c r="C63" s="12">
        <v>5630</v>
      </c>
      <c r="D63" s="222">
        <v>52</v>
      </c>
      <c r="E63" s="12" t="s">
        <v>62</v>
      </c>
      <c r="F63" s="104"/>
      <c r="G63" s="104">
        <f t="shared" si="1"/>
        <v>498970.94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6">
        <v>629515.54</v>
      </c>
      <c r="R63" s="176">
        <v>62105.48</v>
      </c>
      <c r="S63" s="176">
        <v>2722.37</v>
      </c>
      <c r="T63" s="176">
        <v>159514.6</v>
      </c>
      <c r="U63" s="176">
        <v>529874.28</v>
      </c>
      <c r="V63" s="176">
        <v>498970.94</v>
      </c>
      <c r="W63" s="176">
        <v>539445.72</v>
      </c>
      <c r="X63" s="176">
        <v>53214.51</v>
      </c>
      <c r="Y63" s="176">
        <v>76785.06</v>
      </c>
      <c r="Z63" s="176">
        <v>122247.73</v>
      </c>
      <c r="AA63" s="176">
        <v>45071.360000000001</v>
      </c>
      <c r="AB63" s="176">
        <v>125353.78</v>
      </c>
      <c r="AC63" s="176">
        <v>0</v>
      </c>
      <c r="AD63" s="176">
        <v>292858.96000000002</v>
      </c>
      <c r="AE63" s="176">
        <v>818672.46</v>
      </c>
      <c r="AF63" s="176">
        <v>315346.3</v>
      </c>
      <c r="AG63" s="176">
        <v>69985.600000000006</v>
      </c>
      <c r="AH63" s="176">
        <v>64134.5</v>
      </c>
      <c r="AI63" s="176">
        <v>371172.1</v>
      </c>
      <c r="AJ63" s="176">
        <v>92600.71</v>
      </c>
      <c r="AK63" s="176">
        <v>34332.480000000003</v>
      </c>
      <c r="AL63" s="176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5">
      <c r="A64" s="3"/>
      <c r="B64" s="10">
        <v>56</v>
      </c>
      <c r="C64" s="12">
        <v>5640</v>
      </c>
      <c r="D64" s="222">
        <v>53</v>
      </c>
      <c r="E64" s="12" t="s">
        <v>63</v>
      </c>
      <c r="F64" s="104"/>
      <c r="G64" s="104">
        <f t="shared" si="1"/>
        <v>148566.64000000001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155309.65</v>
      </c>
      <c r="V64" s="176">
        <v>148566.64000000001</v>
      </c>
      <c r="W64" s="176">
        <v>436</v>
      </c>
      <c r="X64" s="176">
        <v>42093.93</v>
      </c>
      <c r="Y64" s="176">
        <v>7533.53</v>
      </c>
      <c r="Z64" s="176">
        <v>55422.52</v>
      </c>
      <c r="AA64" s="176">
        <v>2772.15</v>
      </c>
      <c r="AB64" s="176">
        <v>62193.48</v>
      </c>
      <c r="AC64" s="176">
        <v>0</v>
      </c>
      <c r="AD64" s="176">
        <v>0</v>
      </c>
      <c r="AE64" s="176">
        <v>391133.86</v>
      </c>
      <c r="AF64" s="176">
        <v>0</v>
      </c>
      <c r="AG64" s="176">
        <v>9535.2000000000007</v>
      </c>
      <c r="AH64" s="176">
        <v>42396.17</v>
      </c>
      <c r="AI64" s="176">
        <v>47179.71</v>
      </c>
      <c r="AJ64" s="176">
        <v>0</v>
      </c>
      <c r="AK64" s="176">
        <v>0</v>
      </c>
      <c r="AL64" s="176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5">
      <c r="A65" s="3"/>
      <c r="B65" s="10">
        <v>57</v>
      </c>
      <c r="C65" s="12">
        <v>5645</v>
      </c>
      <c r="D65" s="222">
        <v>54</v>
      </c>
      <c r="E65" s="12" t="s">
        <v>64</v>
      </c>
      <c r="F65" s="104"/>
      <c r="G65" s="104">
        <f t="shared" si="1"/>
        <v>288928.36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6">
        <v>191583.02</v>
      </c>
      <c r="R65" s="176">
        <v>58222.15</v>
      </c>
      <c r="S65" s="176">
        <v>1590933.37</v>
      </c>
      <c r="T65" s="176">
        <v>77146.320000000007</v>
      </c>
      <c r="U65" s="176">
        <v>346855.74</v>
      </c>
      <c r="V65" s="176">
        <v>288928.36</v>
      </c>
      <c r="W65" s="176">
        <v>865101.55</v>
      </c>
      <c r="X65" s="176">
        <v>0</v>
      </c>
      <c r="Y65" s="176">
        <v>73205.460000000006</v>
      </c>
      <c r="Z65" s="176">
        <v>0</v>
      </c>
      <c r="AA65" s="176">
        <v>0</v>
      </c>
      <c r="AB65" s="176">
        <v>0</v>
      </c>
      <c r="AC65" s="176">
        <v>62510.19</v>
      </c>
      <c r="AD65" s="176">
        <v>88692.49</v>
      </c>
      <c r="AE65" s="176">
        <v>3875733.47</v>
      </c>
      <c r="AF65" s="176">
        <v>1128552.48</v>
      </c>
      <c r="AG65" s="176">
        <v>3073.53</v>
      </c>
      <c r="AH65" s="176">
        <v>203371</v>
      </c>
      <c r="AI65" s="176">
        <v>84099.75</v>
      </c>
      <c r="AJ65" s="176">
        <v>0</v>
      </c>
      <c r="AK65" s="176">
        <v>0</v>
      </c>
      <c r="AL65" s="176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5">
      <c r="A66" s="3"/>
      <c r="B66" s="10">
        <v>58</v>
      </c>
      <c r="C66" s="12">
        <v>5646</v>
      </c>
      <c r="D66" s="222">
        <v>55</v>
      </c>
      <c r="E66" s="12" t="s">
        <v>65</v>
      </c>
      <c r="F66" s="104"/>
      <c r="G66" s="104">
        <f t="shared" si="1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16744.34</v>
      </c>
      <c r="Y66" s="176">
        <v>0</v>
      </c>
      <c r="Z66" s="176">
        <v>2961</v>
      </c>
      <c r="AA66" s="176">
        <v>0</v>
      </c>
      <c r="AB66" s="176">
        <v>0</v>
      </c>
      <c r="AC66" s="176">
        <v>0</v>
      </c>
      <c r="AD66" s="176">
        <v>134316.89000000001</v>
      </c>
      <c r="AE66" s="176">
        <v>2706411.59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5">
      <c r="A67" s="3"/>
      <c r="B67" s="10">
        <v>59</v>
      </c>
      <c r="C67" s="12">
        <v>5647</v>
      </c>
      <c r="D67" s="222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5">
      <c r="A68" s="3"/>
      <c r="B68" s="10">
        <v>60</v>
      </c>
      <c r="C68" s="12">
        <v>5650</v>
      </c>
      <c r="D68" s="222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6">
        <v>0</v>
      </c>
      <c r="R68" s="176">
        <v>0</v>
      </c>
      <c r="S68" s="176">
        <v>0</v>
      </c>
      <c r="T68" s="176">
        <v>62800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5">
      <c r="A69" s="3"/>
      <c r="B69" s="10">
        <v>61</v>
      </c>
      <c r="C69" s="12">
        <v>5655</v>
      </c>
      <c r="D69" s="222">
        <v>58</v>
      </c>
      <c r="E69" s="12" t="s">
        <v>68</v>
      </c>
      <c r="F69" s="104"/>
      <c r="G69" s="104">
        <f t="shared" si="1"/>
        <v>242454.12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6">
        <v>198062.24</v>
      </c>
      <c r="R69" s="176">
        <v>23751.57</v>
      </c>
      <c r="S69" s="176">
        <v>374508.49</v>
      </c>
      <c r="T69" s="176">
        <v>314076.11</v>
      </c>
      <c r="U69" s="176">
        <v>184982.07</v>
      </c>
      <c r="V69" s="176">
        <v>242454.12</v>
      </c>
      <c r="W69" s="176">
        <v>251574.01</v>
      </c>
      <c r="X69" s="176">
        <v>77609.94</v>
      </c>
      <c r="Y69" s="176">
        <v>8933.7900000000009</v>
      </c>
      <c r="Z69" s="176">
        <v>125797.48</v>
      </c>
      <c r="AA69" s="176">
        <v>39811.699999999997</v>
      </c>
      <c r="AB69" s="176">
        <v>170076.15</v>
      </c>
      <c r="AC69" s="176">
        <v>943296.71</v>
      </c>
      <c r="AD69" s="176">
        <v>601683.35</v>
      </c>
      <c r="AE69" s="176">
        <v>412951.97</v>
      </c>
      <c r="AF69" s="176">
        <v>71081.259999999995</v>
      </c>
      <c r="AG69" s="176">
        <v>55465.9</v>
      </c>
      <c r="AH69" s="176">
        <v>124953.32</v>
      </c>
      <c r="AI69" s="176">
        <v>165982.26999999999</v>
      </c>
      <c r="AJ69" s="176">
        <v>17371.87</v>
      </c>
      <c r="AK69" s="176">
        <v>444376.89</v>
      </c>
      <c r="AL69" s="176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5">
      <c r="A70" s="3"/>
      <c r="B70" s="10">
        <v>62</v>
      </c>
      <c r="C70" s="12">
        <v>5665</v>
      </c>
      <c r="D70" s="222">
        <v>59</v>
      </c>
      <c r="E70" s="12" t="s">
        <v>69</v>
      </c>
      <c r="F70" s="104"/>
      <c r="G70" s="104">
        <f t="shared" si="1"/>
        <v>972.43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6">
        <v>49773.69</v>
      </c>
      <c r="R70" s="176">
        <v>29051.38</v>
      </c>
      <c r="S70" s="176">
        <v>907509.45</v>
      </c>
      <c r="T70" s="176">
        <v>15648.74</v>
      </c>
      <c r="U70" s="176">
        <v>708981.98</v>
      </c>
      <c r="V70" s="176">
        <v>972.43</v>
      </c>
      <c r="W70" s="176">
        <v>387586.04</v>
      </c>
      <c r="X70" s="176">
        <v>87624.95</v>
      </c>
      <c r="Y70" s="176">
        <v>67942.44</v>
      </c>
      <c r="Z70" s="176">
        <v>89742.12</v>
      </c>
      <c r="AA70" s="176">
        <v>0</v>
      </c>
      <c r="AB70" s="176">
        <v>7581.46</v>
      </c>
      <c r="AC70" s="176">
        <v>16558501.4</v>
      </c>
      <c r="AD70" s="176">
        <v>23116.49</v>
      </c>
      <c r="AE70" s="176">
        <v>114208.74</v>
      </c>
      <c r="AF70" s="176">
        <v>692968.33</v>
      </c>
      <c r="AG70" s="176">
        <v>1517.31</v>
      </c>
      <c r="AH70" s="176">
        <v>95944.09</v>
      </c>
      <c r="AI70" s="176">
        <v>67743.070000000007</v>
      </c>
      <c r="AJ70" s="176">
        <v>69127.100000000006</v>
      </c>
      <c r="AK70" s="176">
        <v>500156.18</v>
      </c>
      <c r="AL70" s="176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5">
      <c r="A71" s="3"/>
      <c r="B71" s="10">
        <v>63</v>
      </c>
      <c r="C71" s="12">
        <v>5670</v>
      </c>
      <c r="D71" s="222">
        <v>60</v>
      </c>
      <c r="E71" s="12" t="s">
        <v>70</v>
      </c>
      <c r="F71" s="104"/>
      <c r="G71" s="104">
        <f t="shared" si="1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6">
        <v>236986.57</v>
      </c>
      <c r="R71" s="176">
        <v>0</v>
      </c>
      <c r="S71" s="176">
        <v>0</v>
      </c>
      <c r="T71" s="176">
        <v>0</v>
      </c>
      <c r="U71" s="176">
        <v>53390.879999999997</v>
      </c>
      <c r="V71" s="176">
        <v>0</v>
      </c>
      <c r="W71" s="176">
        <v>349436.88</v>
      </c>
      <c r="X71" s="176">
        <v>0</v>
      </c>
      <c r="Y71" s="176">
        <v>0</v>
      </c>
      <c r="Z71" s="176">
        <v>64992</v>
      </c>
      <c r="AA71" s="176">
        <v>14252.75</v>
      </c>
      <c r="AB71" s="176">
        <v>0</v>
      </c>
      <c r="AC71" s="176">
        <v>0</v>
      </c>
      <c r="AD71" s="176">
        <v>0</v>
      </c>
      <c r="AE71" s="176">
        <v>0</v>
      </c>
      <c r="AF71" s="176">
        <v>238525.16</v>
      </c>
      <c r="AG71" s="176">
        <v>0</v>
      </c>
      <c r="AH71" s="176">
        <v>0</v>
      </c>
      <c r="AI71" s="176">
        <v>0</v>
      </c>
      <c r="AJ71" s="176">
        <v>13284</v>
      </c>
      <c r="AK71" s="176">
        <v>42000</v>
      </c>
      <c r="AL71" s="176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5">
      <c r="A72" s="3"/>
      <c r="B72" s="10">
        <v>64</v>
      </c>
      <c r="C72" s="12">
        <v>5672</v>
      </c>
      <c r="D72" s="222">
        <v>61</v>
      </c>
      <c r="E72" s="12" t="s">
        <v>71</v>
      </c>
      <c r="F72" s="104"/>
      <c r="G72" s="104">
        <f t="shared" si="1"/>
        <v>34613.64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34613.64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v>0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5">
      <c r="A73" s="3"/>
      <c r="B73" s="10">
        <v>65</v>
      </c>
      <c r="C73" s="12">
        <v>5675</v>
      </c>
      <c r="D73" s="222">
        <v>62</v>
      </c>
      <c r="E73" s="12" t="s">
        <v>72</v>
      </c>
      <c r="F73" s="104"/>
      <c r="G73" s="104">
        <f t="shared" si="1"/>
        <v>1074556.43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6">
        <v>617269.99</v>
      </c>
      <c r="R73" s="176">
        <v>21900.5</v>
      </c>
      <c r="S73" s="176">
        <v>222558.57</v>
      </c>
      <c r="T73" s="176">
        <v>0</v>
      </c>
      <c r="U73" s="176">
        <v>371805.77</v>
      </c>
      <c r="V73" s="176">
        <v>1074556.43</v>
      </c>
      <c r="W73" s="176">
        <v>639801.59999999998</v>
      </c>
      <c r="X73" s="176">
        <v>22486.639999999999</v>
      </c>
      <c r="Y73" s="176">
        <v>0</v>
      </c>
      <c r="Z73" s="176">
        <v>393.07</v>
      </c>
      <c r="AA73" s="176">
        <v>0</v>
      </c>
      <c r="AB73" s="176">
        <v>71515.28</v>
      </c>
      <c r="AC73" s="176">
        <v>13144112.029999999</v>
      </c>
      <c r="AD73" s="176">
        <v>491661.07</v>
      </c>
      <c r="AE73" s="176">
        <v>1432111.15</v>
      </c>
      <c r="AF73" s="176">
        <v>298563.39</v>
      </c>
      <c r="AG73" s="176">
        <v>0</v>
      </c>
      <c r="AH73" s="176">
        <v>208500.9</v>
      </c>
      <c r="AI73" s="176">
        <v>156157.32999999999</v>
      </c>
      <c r="AJ73" s="176">
        <v>0</v>
      </c>
      <c r="AK73" s="176">
        <v>619142.51</v>
      </c>
      <c r="AL73" s="176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5">
      <c r="A74" s="3"/>
      <c r="B74" s="10">
        <v>66</v>
      </c>
      <c r="C74" s="12">
        <v>5680</v>
      </c>
      <c r="D74" s="222">
        <v>63</v>
      </c>
      <c r="E74" s="12" t="s">
        <v>73</v>
      </c>
      <c r="F74" s="104"/>
      <c r="G74" s="104">
        <f t="shared" ref="G74:G81" si="2">HLOOKUP($E$3,$P$3:$CF$269,O74,TRUE)</f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6">
        <v>15454</v>
      </c>
      <c r="R74" s="176">
        <v>0</v>
      </c>
      <c r="S74" s="176">
        <v>816</v>
      </c>
      <c r="T74" s="176">
        <v>17676.18</v>
      </c>
      <c r="U74" s="176">
        <v>0</v>
      </c>
      <c r="V74" s="176">
        <v>0</v>
      </c>
      <c r="W74" s="176">
        <v>14279.07</v>
      </c>
      <c r="X74" s="176">
        <v>10223.27</v>
      </c>
      <c r="Y74" s="176">
        <v>0</v>
      </c>
      <c r="Z74" s="176">
        <v>7629.57</v>
      </c>
      <c r="AA74" s="176">
        <v>1875.14</v>
      </c>
      <c r="AB74" s="176">
        <v>5325.79</v>
      </c>
      <c r="AC74" s="176">
        <v>104065.14</v>
      </c>
      <c r="AD74" s="176">
        <v>18585.669999999998</v>
      </c>
      <c r="AE74" s="176">
        <v>43907.67</v>
      </c>
      <c r="AF74" s="176">
        <v>0</v>
      </c>
      <c r="AG74" s="176">
        <v>3199.45</v>
      </c>
      <c r="AH74" s="176">
        <v>12375.76</v>
      </c>
      <c r="AI74" s="176">
        <v>10483.629999999999</v>
      </c>
      <c r="AJ74" s="176">
        <v>4966.8999999999996</v>
      </c>
      <c r="AK74" s="176">
        <v>0</v>
      </c>
      <c r="AL74" s="176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5">
      <c r="A75" s="3"/>
      <c r="B75" s="10">
        <v>67</v>
      </c>
      <c r="C75" s="13"/>
      <c r="D75" s="222"/>
      <c r="E75" s="17" t="s">
        <v>74</v>
      </c>
      <c r="F75" s="105"/>
      <c r="G75" s="104">
        <f t="shared" si="2"/>
        <v>8145771.1199999992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6">
        <v>4444730.49</v>
      </c>
      <c r="R75" s="176">
        <v>410629.38</v>
      </c>
      <c r="S75" s="176">
        <v>6405020.6600000011</v>
      </c>
      <c r="T75" s="176">
        <v>3553769.2700000005</v>
      </c>
      <c r="U75" s="176">
        <v>6024293.6699999999</v>
      </c>
      <c r="V75" s="176">
        <v>8145771.1199999992</v>
      </c>
      <c r="W75" s="176">
        <v>4021166.2199999997</v>
      </c>
      <c r="X75" s="176">
        <v>947228.78999999992</v>
      </c>
      <c r="Y75" s="176">
        <v>379711.23</v>
      </c>
      <c r="Z75" s="176">
        <v>1346026.38</v>
      </c>
      <c r="AA75" s="176">
        <v>330994.91000000003</v>
      </c>
      <c r="AB75" s="176">
        <v>967654.09000000008</v>
      </c>
      <c r="AC75" s="176">
        <v>29116434.920000002</v>
      </c>
      <c r="AD75" s="176">
        <v>3791702.6600000006</v>
      </c>
      <c r="AE75" s="176">
        <v>18626348.389999997</v>
      </c>
      <c r="AF75" s="176">
        <v>4614761.9499999993</v>
      </c>
      <c r="AG75" s="176">
        <v>342324.43000000011</v>
      </c>
      <c r="AH75" s="176">
        <v>3104525.1199999992</v>
      </c>
      <c r="AI75" s="176">
        <v>2232150.0999999996</v>
      </c>
      <c r="AJ75" s="176">
        <v>544164.81000000006</v>
      </c>
      <c r="AK75" s="176">
        <v>3965577.6000000006</v>
      </c>
      <c r="AL75" s="176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5">
      <c r="A76" s="3"/>
      <c r="B76" s="10">
        <v>68</v>
      </c>
      <c r="C76" s="12">
        <v>5635</v>
      </c>
      <c r="D76" s="222">
        <v>64</v>
      </c>
      <c r="E76" s="12" t="s">
        <v>75</v>
      </c>
      <c r="F76" s="104"/>
      <c r="G76" s="104">
        <f t="shared" si="2"/>
        <v>33076.589999999997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6">
        <v>45719.18</v>
      </c>
      <c r="R76" s="176">
        <v>7041.15</v>
      </c>
      <c r="S76" s="176">
        <v>168113.2</v>
      </c>
      <c r="T76" s="176">
        <v>113726.84</v>
      </c>
      <c r="U76" s="176">
        <v>15647.84</v>
      </c>
      <c r="V76" s="176">
        <v>33076.589999999997</v>
      </c>
      <c r="W76" s="176">
        <v>56749.03</v>
      </c>
      <c r="X76" s="176">
        <v>5579.28</v>
      </c>
      <c r="Y76" s="176">
        <v>4421.41</v>
      </c>
      <c r="Z76" s="176">
        <v>17561.02</v>
      </c>
      <c r="AA76" s="176">
        <v>1957.01</v>
      </c>
      <c r="AB76" s="176">
        <v>29282.13</v>
      </c>
      <c r="AC76" s="176">
        <v>0</v>
      </c>
      <c r="AD76" s="176">
        <v>125160.72</v>
      </c>
      <c r="AE76" s="176">
        <v>466505.02</v>
      </c>
      <c r="AF76" s="176">
        <v>28197.49</v>
      </c>
      <c r="AG76" s="176">
        <v>5789.88</v>
      </c>
      <c r="AH76" s="176">
        <v>18943.52</v>
      </c>
      <c r="AI76" s="176">
        <v>0</v>
      </c>
      <c r="AJ76" s="176">
        <v>13329.79</v>
      </c>
      <c r="AK76" s="176">
        <v>0</v>
      </c>
      <c r="AL76" s="176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5">
      <c r="A77" s="3"/>
      <c r="B77" s="10">
        <v>69</v>
      </c>
      <c r="C77" s="12">
        <v>6210</v>
      </c>
      <c r="D77" s="222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5">
      <c r="A78" s="3"/>
      <c r="B78" s="10">
        <v>70</v>
      </c>
      <c r="D78" s="2"/>
      <c r="E78" s="17" t="s">
        <v>77</v>
      </c>
      <c r="F78" s="105"/>
      <c r="G78" s="104">
        <f t="shared" si="2"/>
        <v>33076.589999999997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6">
        <v>45719.18</v>
      </c>
      <c r="R78" s="176">
        <v>7041.15</v>
      </c>
      <c r="S78" s="176">
        <v>168113.2</v>
      </c>
      <c r="T78" s="176">
        <v>113726.84</v>
      </c>
      <c r="U78" s="176">
        <v>15647.84</v>
      </c>
      <c r="V78" s="176">
        <v>33076.589999999997</v>
      </c>
      <c r="W78" s="176">
        <v>56749.03</v>
      </c>
      <c r="X78" s="176">
        <v>5579.28</v>
      </c>
      <c r="Y78" s="176">
        <v>4421.41</v>
      </c>
      <c r="Z78" s="176">
        <v>17561.02</v>
      </c>
      <c r="AA78" s="176">
        <v>1957.01</v>
      </c>
      <c r="AB78" s="176">
        <v>29282.13</v>
      </c>
      <c r="AC78" s="176">
        <v>0</v>
      </c>
      <c r="AD78" s="176">
        <v>125160.72</v>
      </c>
      <c r="AE78" s="176">
        <v>466505.02</v>
      </c>
      <c r="AF78" s="176">
        <v>28197.49</v>
      </c>
      <c r="AG78" s="176">
        <v>5789.88</v>
      </c>
      <c r="AH78" s="176">
        <v>18943.52</v>
      </c>
      <c r="AI78" s="176">
        <v>0</v>
      </c>
      <c r="AJ78" s="176">
        <v>13329.79</v>
      </c>
      <c r="AK78" s="176">
        <v>0</v>
      </c>
      <c r="AL78" s="176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5">
      <c r="A79" s="3"/>
      <c r="B79" s="10">
        <v>71</v>
      </c>
      <c r="C79" s="20">
        <v>5515</v>
      </c>
      <c r="D79" s="222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v>0</v>
      </c>
      <c r="AE79" s="176">
        <v>0</v>
      </c>
      <c r="AF79" s="176">
        <v>5969.01</v>
      </c>
      <c r="AG79" s="176">
        <v>0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5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6">
        <v>0</v>
      </c>
      <c r="R80" s="176">
        <v>0</v>
      </c>
      <c r="S80" s="176">
        <v>0</v>
      </c>
      <c r="T80" s="176">
        <v>0</v>
      </c>
      <c r="U80" s="176">
        <v>0</v>
      </c>
      <c r="V80" s="176">
        <v>0</v>
      </c>
      <c r="W80" s="176">
        <v>0</v>
      </c>
      <c r="X80" s="176">
        <v>0</v>
      </c>
      <c r="Y80" s="176">
        <v>0</v>
      </c>
      <c r="Z80" s="176">
        <v>0</v>
      </c>
      <c r="AA80" s="176">
        <v>0</v>
      </c>
      <c r="AB80" s="176">
        <v>0</v>
      </c>
      <c r="AC80" s="176">
        <v>0</v>
      </c>
      <c r="AD80" s="176">
        <v>0</v>
      </c>
      <c r="AE80" s="176">
        <v>0</v>
      </c>
      <c r="AF80" s="176">
        <v>5969.01</v>
      </c>
      <c r="AG80" s="176">
        <v>0</v>
      </c>
      <c r="AH80" s="176">
        <v>0</v>
      </c>
      <c r="AI80" s="176">
        <v>0</v>
      </c>
      <c r="AJ80" s="176">
        <v>0</v>
      </c>
      <c r="AK80" s="176">
        <v>0</v>
      </c>
      <c r="AL80" s="176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5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16902993.639999997</v>
      </c>
      <c r="H81" s="3"/>
      <c r="I81" s="3"/>
      <c r="J81" s="3"/>
      <c r="K81" s="3"/>
      <c r="L81" s="3"/>
      <c r="O81" s="114">
        <v>79</v>
      </c>
      <c r="P81" s="114">
        <v>0</v>
      </c>
      <c r="Q81" s="176">
        <v>11621712.58</v>
      </c>
      <c r="R81" s="176">
        <v>1064079.7399999998</v>
      </c>
      <c r="S81" s="176">
        <v>12487580.16</v>
      </c>
      <c r="T81" s="176">
        <v>9807902.2400000002</v>
      </c>
      <c r="U81" s="176">
        <v>17539019.809999999</v>
      </c>
      <c r="V81" s="176">
        <v>16902993.639999997</v>
      </c>
      <c r="W81" s="176">
        <v>9300121.129999999</v>
      </c>
      <c r="X81" s="176">
        <v>2124161.9399999995</v>
      </c>
      <c r="Y81" s="176">
        <v>735273.37</v>
      </c>
      <c r="Z81" s="176">
        <v>4838448.6499999985</v>
      </c>
      <c r="AA81" s="176">
        <v>594065.53</v>
      </c>
      <c r="AB81" s="176">
        <v>2488639.16</v>
      </c>
      <c r="AC81" s="176">
        <v>60562293.410000004</v>
      </c>
      <c r="AD81" s="176">
        <v>9206213.6699999999</v>
      </c>
      <c r="AE81" s="176">
        <v>24380258.989999998</v>
      </c>
      <c r="AF81" s="176">
        <v>6022171.5299999993</v>
      </c>
      <c r="AG81" s="176">
        <v>1342152.98</v>
      </c>
      <c r="AH81" s="176">
        <v>6817717.9200999979</v>
      </c>
      <c r="AI81" s="176">
        <v>5597357.3099999987</v>
      </c>
      <c r="AJ81" s="176">
        <v>1707926.22</v>
      </c>
      <c r="AK81" s="176">
        <v>13970246.969999999</v>
      </c>
      <c r="AL81" s="176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5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7"/>
      <c r="O82" s="114">
        <v>80</v>
      </c>
      <c r="P82" s="114">
        <v>0</v>
      </c>
      <c r="Q82" s="176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5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6"/>
    </row>
    <row r="84" spans="1:87" s="3" customFormat="1" outlineLevel="1" x14ac:dyDescent="0.25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17501.78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6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5">
      <c r="B85" s="10">
        <v>77</v>
      </c>
      <c r="C85" s="23"/>
      <c r="D85" s="23"/>
      <c r="E85" s="20">
        <v>5015</v>
      </c>
      <c r="F85" s="104"/>
      <c r="G85" s="104">
        <f t="shared" si="3"/>
        <v>208915.59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6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5">
      <c r="B86" s="10">
        <v>78</v>
      </c>
      <c r="C86" s="23"/>
      <c r="D86" s="23"/>
      <c r="E86" s="20">
        <v>5112</v>
      </c>
      <c r="F86" s="104"/>
      <c r="G86" s="104">
        <f t="shared" si="3"/>
        <v>17968.73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6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5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244386.1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6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2" thickBot="1" x14ac:dyDescent="0.3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6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2" thickBot="1" x14ac:dyDescent="0.3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16658607.539999997</v>
      </c>
      <c r="H89" s="183">
        <f>'Model Inputs'!H31</f>
        <v>17794453.863456726</v>
      </c>
      <c r="I89" s="184">
        <f>'Model Inputs'!I31</f>
        <v>17842383.943446726</v>
      </c>
      <c r="J89" s="184">
        <f>'Model Inputs'!J31</f>
        <v>18473206.183446728</v>
      </c>
      <c r="K89" s="184">
        <f>'Model Inputs'!K31</f>
        <v>0</v>
      </c>
      <c r="L89" s="184">
        <f>'Model Inputs'!L31</f>
        <v>0</v>
      </c>
      <c r="M89" s="185">
        <f>'Model Inputs'!M31</f>
        <v>0</v>
      </c>
      <c r="N89" s="58">
        <v>11</v>
      </c>
      <c r="O89" s="114">
        <v>87</v>
      </c>
      <c r="P89" s="114">
        <v>0</v>
      </c>
      <c r="Q89" s="176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5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6"/>
    </row>
    <row r="91" spans="1:87" ht="13.2" thickBot="1" x14ac:dyDescent="0.3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6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2" thickBot="1" x14ac:dyDescent="0.3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16043120.4</v>
      </c>
      <c r="H92" s="183">
        <f>'Model Inputs'!H9</f>
        <v>18853629.170000002</v>
      </c>
      <c r="I92" s="184">
        <f>'Model Inputs'!I9</f>
        <v>15838108</v>
      </c>
      <c r="J92" s="184">
        <f>'Model Inputs'!J9</f>
        <v>13635558</v>
      </c>
      <c r="K92" s="184">
        <f>'Model Inputs'!K9</f>
        <v>0</v>
      </c>
      <c r="L92" s="184">
        <f>'Model Inputs'!L9</f>
        <v>0</v>
      </c>
      <c r="M92" s="185">
        <f>'Model Inputs'!M9</f>
        <v>0</v>
      </c>
      <c r="N92" s="58">
        <v>1</v>
      </c>
      <c r="O92" s="114">
        <v>90</v>
      </c>
      <c r="P92" s="114">
        <v>0</v>
      </c>
      <c r="Q92" s="176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2" thickBot="1" x14ac:dyDescent="0.3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3">
        <f>'Model Inputs'!H10</f>
        <v>0</v>
      </c>
      <c r="I93" s="184">
        <f>'Model Inputs'!I10</f>
        <v>0</v>
      </c>
      <c r="J93" s="184">
        <f>'Model Inputs'!J10</f>
        <v>0</v>
      </c>
      <c r="K93" s="184">
        <f>'Model Inputs'!K10</f>
        <v>0</v>
      </c>
      <c r="L93" s="184">
        <f>'Model Inputs'!L10</f>
        <v>0</v>
      </c>
      <c r="M93" s="185">
        <f>'Model Inputs'!M10</f>
        <v>0</v>
      </c>
      <c r="N93" s="58">
        <v>2</v>
      </c>
      <c r="O93" s="114">
        <v>91</v>
      </c>
      <c r="P93" s="114">
        <v>0</v>
      </c>
      <c r="Q93" s="176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5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6"/>
    </row>
    <row r="95" spans="1:87" ht="13.2" thickBot="1" x14ac:dyDescent="0.3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6"/>
    </row>
    <row r="96" spans="1:87" ht="13.2" thickBot="1" x14ac:dyDescent="0.3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64125</v>
      </c>
      <c r="H96" s="183">
        <f>'Model Inputs'!H13</f>
        <v>64888</v>
      </c>
      <c r="I96" s="184">
        <f>'Model Inputs'!I13</f>
        <v>65670</v>
      </c>
      <c r="J96" s="184">
        <f>'Model Inputs'!J13</f>
        <v>66462</v>
      </c>
      <c r="K96" s="184">
        <f>'Model Inputs'!K13</f>
        <v>0</v>
      </c>
      <c r="L96" s="184">
        <f>'Model Inputs'!L13</f>
        <v>0</v>
      </c>
      <c r="M96" s="185">
        <f>'Model Inputs'!M13</f>
        <v>0</v>
      </c>
      <c r="N96" s="104">
        <v>3</v>
      </c>
      <c r="O96" s="114">
        <v>94</v>
      </c>
      <c r="P96" s="114">
        <v>0</v>
      </c>
      <c r="Q96" s="176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2" thickBot="1" x14ac:dyDescent="0.3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1698796915</v>
      </c>
      <c r="H97" s="183">
        <f>'Model Inputs'!H14</f>
        <v>1617433760.0911674</v>
      </c>
      <c r="I97" s="184">
        <f>'Model Inputs'!I14</f>
        <v>1622765692.2942817</v>
      </c>
      <c r="J97" s="184">
        <f>'Model Inputs'!J14</f>
        <v>1616624631.2265935</v>
      </c>
      <c r="K97" s="184">
        <f>'Model Inputs'!K14</f>
        <v>0</v>
      </c>
      <c r="L97" s="184">
        <f>'Model Inputs'!L14</f>
        <v>0</v>
      </c>
      <c r="M97" s="185">
        <f>'Model Inputs'!M14</f>
        <v>0</v>
      </c>
      <c r="N97" s="104">
        <v>4</v>
      </c>
      <c r="O97" s="114">
        <v>95</v>
      </c>
      <c r="P97" s="114">
        <v>0</v>
      </c>
      <c r="Q97" s="176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2" thickBot="1" x14ac:dyDescent="0.3">
      <c r="A98" s="3"/>
      <c r="B98" s="10">
        <v>90</v>
      </c>
      <c r="E98" s="3" t="s">
        <v>91</v>
      </c>
      <c r="F98" s="104"/>
      <c r="G98" s="104">
        <f>HLOOKUP($E$3,$P$3:$CF$269,O98,FALSE)</f>
        <v>334471</v>
      </c>
      <c r="H98" s="183">
        <f>'Model Inputs'!H15</f>
        <v>334471</v>
      </c>
      <c r="I98" s="184">
        <f>'Model Inputs'!I15</f>
        <v>334471</v>
      </c>
      <c r="J98" s="184">
        <f>'Model Inputs'!J15</f>
        <v>334471</v>
      </c>
      <c r="K98" s="184">
        <f>'Model Inputs'!K15</f>
        <v>0</v>
      </c>
      <c r="L98" s="184">
        <f>'Model Inputs'!L15</f>
        <v>0</v>
      </c>
      <c r="M98" s="185">
        <f>'Model Inputs'!M15</f>
        <v>0</v>
      </c>
      <c r="N98" s="104">
        <v>5</v>
      </c>
      <c r="O98" s="114">
        <v>96</v>
      </c>
      <c r="P98" s="114">
        <v>0</v>
      </c>
      <c r="Q98" s="176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2" thickBot="1" x14ac:dyDescent="0.3">
      <c r="A99" s="3"/>
      <c r="B99" s="10">
        <v>91</v>
      </c>
      <c r="E99" s="12" t="s">
        <v>92</v>
      </c>
      <c r="F99" s="104"/>
      <c r="G99" s="104">
        <f>HLOOKUP($E$3,$P$3:$CF$269,O99,FALSE)</f>
        <v>1727</v>
      </c>
      <c r="H99" s="183">
        <f>'Model Inputs'!H16</f>
        <v>1487</v>
      </c>
      <c r="I99" s="184">
        <f>'Model Inputs'!I16</f>
        <v>1487</v>
      </c>
      <c r="J99" s="184">
        <f>'Model Inputs'!J16</f>
        <v>1487</v>
      </c>
      <c r="K99" s="184">
        <f>'Model Inputs'!K16</f>
        <v>0</v>
      </c>
      <c r="L99" s="184">
        <f>'Model Inputs'!L16</f>
        <v>0</v>
      </c>
      <c r="M99" s="185">
        <f>'Model Inputs'!M16</f>
        <v>0</v>
      </c>
      <c r="N99" s="104">
        <v>6</v>
      </c>
      <c r="O99" s="114">
        <v>97</v>
      </c>
      <c r="P99" s="114">
        <v>0</v>
      </c>
      <c r="Q99" s="176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2" thickBot="1" x14ac:dyDescent="0.3">
      <c r="A102" s="231" t="s">
        <v>93</v>
      </c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2" thickTop="1" x14ac:dyDescent="0.25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5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5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5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16658607.539999997</v>
      </c>
      <c r="H107" s="29">
        <f t="shared" ref="H107:K107" si="4">H89</f>
        <v>17794453.863456726</v>
      </c>
      <c r="I107" s="29">
        <f t="shared" si="4"/>
        <v>17842383.943446726</v>
      </c>
      <c r="J107" s="29">
        <f t="shared" si="4"/>
        <v>18473206.183446728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5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2" thickBot="1" x14ac:dyDescent="0.3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2" thickBot="1" x14ac:dyDescent="0.3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8">
        <f>'Model Inputs'!H22</f>
        <v>5.67E-2</v>
      </c>
      <c r="I110" s="199">
        <f>'Model Inputs'!I22</f>
        <v>6.0199999999999997E-2</v>
      </c>
      <c r="J110" s="199">
        <f>'Model Inputs'!J22</f>
        <v>6.0199999999999997E-2</v>
      </c>
      <c r="K110" s="199">
        <f>'Model Inputs'!K22</f>
        <v>0</v>
      </c>
      <c r="L110" s="199">
        <f>'Model Inputs'!L22</f>
        <v>0</v>
      </c>
      <c r="M110" s="200">
        <f>'Model Inputs'!M22</f>
        <v>0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2" thickBot="1" x14ac:dyDescent="0.3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2" thickBot="1" x14ac:dyDescent="0.3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1">
        <f>G112*EXP('Model Inputs'!H21)</f>
        <v>167.10182428829984</v>
      </c>
      <c r="I112" s="202">
        <f>H112*EXP('Model Inputs'!I21)</f>
        <v>169.12993485616823</v>
      </c>
      <c r="J112" s="202">
        <f>I112*EXP('Model Inputs'!J21)</f>
        <v>171.18266055013126</v>
      </c>
      <c r="K112" s="202">
        <f>J112*EXP('Model Inputs'!K21)</f>
        <v>171.18266055013126</v>
      </c>
      <c r="L112" s="202">
        <f>K112*EXP('Model Inputs'!L21)</f>
        <v>171.18266055013126</v>
      </c>
      <c r="M112" s="203">
        <f>L112*EXP('Model Inputs'!M21)</f>
        <v>171.18266055013126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2" thickBot="1" x14ac:dyDescent="0.3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17.031032244253609</v>
      </c>
      <c r="I113" s="29">
        <f t="shared" si="7"/>
        <v>17.822593832053773</v>
      </c>
      <c r="J113" s="29">
        <f t="shared" si="7"/>
        <v>18.038906197592354</v>
      </c>
      <c r="K113" s="29">
        <f t="shared" si="7"/>
        <v>7.857284119251025</v>
      </c>
      <c r="L113" s="29">
        <f t="shared" si="7"/>
        <v>7.857284119251025</v>
      </c>
      <c r="M113" s="29">
        <f t="shared" si="7"/>
        <v>7.857284119251025</v>
      </c>
      <c r="N113" s="187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5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16043120.4</v>
      </c>
      <c r="H114" s="204">
        <f>H92</f>
        <v>18853629.170000002</v>
      </c>
      <c r="I114" s="205">
        <f t="shared" ref="I114:L114" si="8">I92</f>
        <v>15838108</v>
      </c>
      <c r="J114" s="205">
        <f t="shared" si="8"/>
        <v>13635558</v>
      </c>
      <c r="K114" s="205">
        <f t="shared" si="8"/>
        <v>0</v>
      </c>
      <c r="L114" s="205">
        <f t="shared" si="8"/>
        <v>0</v>
      </c>
      <c r="M114" s="206">
        <f t="shared" ref="M114" si="9">M92</f>
        <v>0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2" thickBot="1" x14ac:dyDescent="0.3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7">
        <f>H93</f>
        <v>0</v>
      </c>
      <c r="I115" s="208">
        <f t="shared" ref="I115:L115" si="10">I93</f>
        <v>0</v>
      </c>
      <c r="J115" s="208">
        <f t="shared" si="10"/>
        <v>0</v>
      </c>
      <c r="K115" s="208">
        <f t="shared" si="10"/>
        <v>0</v>
      </c>
      <c r="L115" s="208">
        <f t="shared" si="10"/>
        <v>0</v>
      </c>
      <c r="M115" s="209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5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97173.297844956818</v>
      </c>
      <c r="H116" s="8">
        <f t="shared" ref="H116:K116" si="12">(H114-H115)/H112</f>
        <v>112827.18935175681</v>
      </c>
      <c r="I116" s="8">
        <f t="shared" si="12"/>
        <v>93644.617160581722</v>
      </c>
      <c r="J116" s="8">
        <f t="shared" si="12"/>
        <v>79655.01854089243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5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60999.31150527858</v>
      </c>
      <c r="H117" s="25">
        <f t="shared" ref="H117:M117" si="14">H111*G118</f>
        <v>62659.697478269816</v>
      </c>
      <c r="I117" s="25">
        <f t="shared" si="14"/>
        <v>64962.385355262864</v>
      </c>
      <c r="J117" s="25">
        <f t="shared" si="14"/>
        <v>66278.899795126999</v>
      </c>
      <c r="K117" s="25">
        <f t="shared" si="14"/>
        <v>66892.863645557634</v>
      </c>
      <c r="L117" s="25">
        <f t="shared" si="14"/>
        <v>63822.481204226548</v>
      </c>
      <c r="M117" s="25">
        <f t="shared" si="14"/>
        <v>60893.029316952547</v>
      </c>
      <c r="N117" s="188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5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1365135.0213130678</v>
      </c>
      <c r="H118" s="25">
        <f t="shared" ref="H118:M118" si="15">G118+H116-H117</f>
        <v>1415302.5131865547</v>
      </c>
      <c r="I118" s="25">
        <f t="shared" si="15"/>
        <v>1443984.7449918736</v>
      </c>
      <c r="J118" s="25">
        <f t="shared" si="15"/>
        <v>1457360.863737639</v>
      </c>
      <c r="K118" s="25">
        <f t="shared" si="15"/>
        <v>1390468.0000920815</v>
      </c>
      <c r="L118" s="25">
        <f t="shared" si="15"/>
        <v>1326645.5188878549</v>
      </c>
      <c r="M118" s="25">
        <f t="shared" si="15"/>
        <v>1265752.4895709024</v>
      </c>
      <c r="N118" s="188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5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24338998.291766077</v>
      </c>
      <c r="H119" s="25">
        <f t="shared" ref="H119:K119" si="16">H113*H118</f>
        <v>24104062.737453382</v>
      </c>
      <c r="I119" s="25">
        <f t="shared" si="16"/>
        <v>25735553.609671906</v>
      </c>
      <c r="J119" s="25">
        <f t="shared" si="16"/>
        <v>26289195.917005442</v>
      </c>
      <c r="K119" s="25">
        <f t="shared" si="16"/>
        <v>10925302.135450244</v>
      </c>
      <c r="L119" s="25">
        <f t="shared" ref="L119:M119" si="17">L113*L118</f>
        <v>10423830.767433077</v>
      </c>
      <c r="M119" s="25">
        <f t="shared" si="17"/>
        <v>9945376.9352078997</v>
      </c>
      <c r="N119" s="188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40997605.831766076</v>
      </c>
      <c r="H121" s="25">
        <f t="shared" ref="H121:K121" si="18">H107+H119</f>
        <v>41898516.600910112</v>
      </c>
      <c r="I121" s="25">
        <f t="shared" si="18"/>
        <v>43577937.553118631</v>
      </c>
      <c r="J121" s="25">
        <f t="shared" si="18"/>
        <v>44762402.10045217</v>
      </c>
      <c r="K121" s="25">
        <f t="shared" si="18"/>
        <v>10925302.135450244</v>
      </c>
      <c r="L121" s="25">
        <f t="shared" ref="L121:M121" si="19">L107+L119</f>
        <v>10423830.767433077</v>
      </c>
      <c r="M121" s="25">
        <f t="shared" si="19"/>
        <v>9945376.9352078997</v>
      </c>
      <c r="N121" s="188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5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2" thickBot="1" x14ac:dyDescent="0.3">
      <c r="A123" s="231" t="s">
        <v>108</v>
      </c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2" thickTop="1" x14ac:dyDescent="0.25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5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5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64125</v>
      </c>
      <c r="H128" s="8">
        <f t="shared" ref="H128:K130" si="20">H96</f>
        <v>64888</v>
      </c>
      <c r="I128" s="8">
        <f t="shared" si="20"/>
        <v>65670</v>
      </c>
      <c r="J128" s="8">
        <f t="shared" si="20"/>
        <v>66462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1698796915</v>
      </c>
      <c r="H129" s="39">
        <f t="shared" si="20"/>
        <v>1617433760.0911674</v>
      </c>
      <c r="I129" s="39">
        <f t="shared" si="20"/>
        <v>1622765692.2942817</v>
      </c>
      <c r="J129" s="39">
        <f t="shared" si="20"/>
        <v>1616624631.2265935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89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334471</v>
      </c>
      <c r="H130" s="8">
        <f t="shared" si="20"/>
        <v>334471</v>
      </c>
      <c r="I130" s="8">
        <f t="shared" si="20"/>
        <v>334471</v>
      </c>
      <c r="J130" s="8">
        <f t="shared" si="20"/>
        <v>334471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382435</v>
      </c>
      <c r="H131" s="8">
        <f t="shared" ref="H131:M131" si="24">MAX(G131,H130)</f>
        <v>382435</v>
      </c>
      <c r="I131" s="8">
        <f t="shared" si="24"/>
        <v>382435</v>
      </c>
      <c r="J131" s="8">
        <f t="shared" si="24"/>
        <v>382435</v>
      </c>
      <c r="K131" s="8">
        <f t="shared" si="24"/>
        <v>382435</v>
      </c>
      <c r="L131" s="8">
        <f t="shared" si="24"/>
        <v>382435</v>
      </c>
      <c r="M131" s="8">
        <f t="shared" si="24"/>
        <v>382435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5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2" thickBot="1" x14ac:dyDescent="0.3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2" thickBot="1" x14ac:dyDescent="0.3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0">
        <f>G134*EXP('Model Inputs'!H21)</f>
        <v>118.16699176419591</v>
      </c>
      <c r="I134" s="211">
        <f>H134*EXP('Model Inputs'!I21)</f>
        <v>119.60118152119524</v>
      </c>
      <c r="J134" s="211">
        <f>I134*EXP('Model Inputs'!J21)</f>
        <v>121.05277800259682</v>
      </c>
      <c r="K134" s="211">
        <f>J134*EXP('Model Inputs'!K21)</f>
        <v>121.05277800259682</v>
      </c>
      <c r="L134" s="211">
        <f>K134*EXP('Model Inputs'!L21)</f>
        <v>121.05277800259682</v>
      </c>
      <c r="M134" s="212">
        <f>L134*EXP('Model Inputs'!M21)</f>
        <v>121.05277800259682</v>
      </c>
      <c r="N134" s="217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2" thickBot="1" x14ac:dyDescent="0.3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3">
        <f>G135*EXP('Model Inputs'!H20)</f>
        <v>984.29712505452039</v>
      </c>
      <c r="I135" s="214">
        <f>H135*EXP('Model Inputs'!I20)</f>
        <v>995.15266690352337</v>
      </c>
      <c r="J135" s="214">
        <f>I135*EXP('Model Inputs'!J20)</f>
        <v>1006.1279315332151</v>
      </c>
      <c r="K135" s="214">
        <f>J135*EXP('Model Inputs'!K20)</f>
        <v>1006.1279315332151</v>
      </c>
      <c r="L135" s="214">
        <f>K135*EXP('Model Inputs'!L20)</f>
        <v>1006.1279315332151</v>
      </c>
      <c r="M135" s="215">
        <f>L135*EXP('Model Inputs'!M20)</f>
        <v>1006.1279315332151</v>
      </c>
      <c r="N135" s="217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5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1.1297019722471029E-2</v>
      </c>
      <c r="I136" s="40">
        <f t="shared" ref="I136:M136" si="25">LN(I134/H134)*0.3+LN(I135/H135)*0.7</f>
        <v>1.1297019722471029E-2</v>
      </c>
      <c r="J136" s="40">
        <f t="shared" si="25"/>
        <v>1.1297019722471029E-2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0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132.89794217212008</v>
      </c>
      <c r="H137" s="29">
        <f t="shared" ref="H137:M137" si="26">G137*EXP(H136)</f>
        <v>134.40780526478855</v>
      </c>
      <c r="I137" s="29">
        <f t="shared" si="26"/>
        <v>135.93482202079704</v>
      </c>
      <c r="J137" s="29">
        <f t="shared" si="26"/>
        <v>137.47918732415019</v>
      </c>
      <c r="K137" s="29">
        <f t="shared" si="26"/>
        <v>137.47918732415019</v>
      </c>
      <c r="L137" s="29">
        <f t="shared" si="26"/>
        <v>137.47918732415019</v>
      </c>
      <c r="M137" s="29">
        <f t="shared" si="26"/>
        <v>137.47918732415019</v>
      </c>
      <c r="N137" s="187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7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5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17.031032244253609</v>
      </c>
      <c r="I139" s="29">
        <f t="shared" si="27"/>
        <v>17.822593832053773</v>
      </c>
      <c r="J139" s="29">
        <f t="shared" si="27"/>
        <v>18.038906197592354</v>
      </c>
      <c r="K139" s="29">
        <f t="shared" si="27"/>
        <v>7.857284119251025</v>
      </c>
      <c r="L139" s="29">
        <f t="shared" ref="L139:M139" si="28">L113</f>
        <v>7.857284119251025</v>
      </c>
      <c r="M139" s="29">
        <f t="shared" si="28"/>
        <v>7.857284119251025</v>
      </c>
      <c r="N139" s="187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5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1727</v>
      </c>
      <c r="H142" s="42">
        <f>'Model Inputs'!H16</f>
        <v>1487</v>
      </c>
      <c r="I142" s="42">
        <f>'Model Inputs'!I16</f>
        <v>1487</v>
      </c>
      <c r="J142" s="42">
        <f>'Model Inputs'!J16</f>
        <v>1487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7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1532.38</v>
      </c>
      <c r="H143" s="41">
        <f>(G143*14+H142)/15</f>
        <v>1529.3546666666666</v>
      </c>
      <c r="I143" s="41">
        <f>(H143*15+I142)/16</f>
        <v>1526.7075</v>
      </c>
      <c r="J143" s="41">
        <f>(I143*16+J142)/17</f>
        <v>1524.3717647058822</v>
      </c>
      <c r="K143" s="41">
        <f>(J143*17+K142)/18</f>
        <v>1439.6844444444444</v>
      </c>
      <c r="L143" s="41">
        <f>(K143*17+L142)/18</f>
        <v>1359.7019753086417</v>
      </c>
      <c r="M143" s="41">
        <f>(L143*17+M142)/18</f>
        <v>1284.162976680384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57903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0.10745557225014248</v>
      </c>
      <c r="H145" s="30">
        <f>'Model Inputs'!H17</f>
        <v>0.12290386418081445</v>
      </c>
      <c r="I145" s="30">
        <f>'Model Inputs'!I17</f>
        <v>0.12723265719981525</v>
      </c>
      <c r="J145" s="30">
        <f>'Model Inputs'!J17</f>
        <v>0.12595529333882793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5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5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5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5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5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1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5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0.13415560919458519</v>
      </c>
      <c r="H152" s="44">
        <f t="shared" ref="H152:K152" si="31">H113/H137</f>
        <v>0.12671163114896355</v>
      </c>
      <c r="I152" s="44">
        <f t="shared" si="31"/>
        <v>0.13111131913886676</v>
      </c>
      <c r="J152" s="44">
        <f t="shared" si="31"/>
        <v>0.13121190595242602</v>
      </c>
      <c r="K152" s="44">
        <f t="shared" si="31"/>
        <v>5.715253539232102E-2</v>
      </c>
      <c r="L152" s="44">
        <f t="shared" ref="L152:M152" si="32">L113/L137</f>
        <v>5.715253539232102E-2</v>
      </c>
      <c r="M152" s="44">
        <f t="shared" si="32"/>
        <v>5.715253539232102E-2</v>
      </c>
      <c r="N152" s="192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5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64125</v>
      </c>
      <c r="H153" s="25">
        <f t="shared" ref="H153:K153" si="33">H96</f>
        <v>64888</v>
      </c>
      <c r="I153" s="25">
        <f t="shared" si="33"/>
        <v>65670</v>
      </c>
      <c r="J153" s="25">
        <f t="shared" si="33"/>
        <v>66462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88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5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382435</v>
      </c>
      <c r="H154" s="25">
        <f t="shared" ref="H154:K154" si="35">H131</f>
        <v>382435</v>
      </c>
      <c r="I154" s="25">
        <f t="shared" si="35"/>
        <v>382435</v>
      </c>
      <c r="J154" s="25">
        <f t="shared" si="35"/>
        <v>382435</v>
      </c>
      <c r="K154" s="25">
        <f t="shared" si="35"/>
        <v>382435</v>
      </c>
      <c r="L154" s="25">
        <f t="shared" ref="L154:M154" si="36">L131</f>
        <v>382435</v>
      </c>
      <c r="M154" s="25">
        <f t="shared" si="36"/>
        <v>382435</v>
      </c>
      <c r="N154" s="188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5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1698796915</v>
      </c>
      <c r="H155" s="39">
        <f t="shared" ref="H155:K155" si="37">H97</f>
        <v>1617433760.0911674</v>
      </c>
      <c r="I155" s="39">
        <f t="shared" si="37"/>
        <v>1622765692.2942817</v>
      </c>
      <c r="J155" s="39">
        <f t="shared" si="37"/>
        <v>1616624631.2265935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89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5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1532.38</v>
      </c>
      <c r="H156" s="45">
        <f t="shared" ref="H156:K156" si="39">H143</f>
        <v>1529.3546666666666</v>
      </c>
      <c r="I156" s="45">
        <f t="shared" si="39"/>
        <v>1526.7075</v>
      </c>
      <c r="J156" s="45">
        <f t="shared" si="39"/>
        <v>1524.3717647058822</v>
      </c>
      <c r="K156" s="45">
        <f t="shared" si="39"/>
        <v>1439.6844444444444</v>
      </c>
      <c r="L156" s="45">
        <f t="shared" ref="L156:M156" si="40">L143</f>
        <v>1359.7019753086417</v>
      </c>
      <c r="M156" s="45">
        <f t="shared" si="40"/>
        <v>1284.162976680384</v>
      </c>
      <c r="N156" s="193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5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0.10745557225014248</v>
      </c>
      <c r="H157" s="31">
        <f t="shared" ref="H157:L157" si="41">H145</f>
        <v>0.12290386418081445</v>
      </c>
      <c r="I157" s="31">
        <f t="shared" si="41"/>
        <v>0.12723265719981525</v>
      </c>
      <c r="J157" s="31">
        <f t="shared" si="41"/>
        <v>0.12595529333882793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5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5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5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5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5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12.816571389915095</v>
      </c>
      <c r="H162" s="49">
        <f t="shared" ref="H162:M179" si="45">G162</f>
        <v>12.816571389915095</v>
      </c>
      <c r="I162" s="49">
        <f t="shared" si="45"/>
        <v>12.816571389915095</v>
      </c>
      <c r="J162" s="49">
        <f t="shared" si="45"/>
        <v>12.816571389915095</v>
      </c>
      <c r="K162" s="49">
        <f t="shared" si="45"/>
        <v>12.816571389915095</v>
      </c>
      <c r="L162" s="49">
        <f t="shared" si="45"/>
        <v>12.816571389915095</v>
      </c>
      <c r="M162" s="49">
        <f t="shared" si="45"/>
        <v>12.816571389915095</v>
      </c>
      <c r="N162" s="194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5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0.62625791288463828</v>
      </c>
      <c r="H163" s="49">
        <f t="shared" si="45"/>
        <v>0.62625791288463828</v>
      </c>
      <c r="I163" s="49">
        <f t="shared" si="45"/>
        <v>0.62625791288463828</v>
      </c>
      <c r="J163" s="49">
        <f t="shared" si="45"/>
        <v>0.62625791288463828</v>
      </c>
      <c r="K163" s="49">
        <f t="shared" si="45"/>
        <v>0.62625791288463828</v>
      </c>
      <c r="L163" s="49">
        <f t="shared" si="45"/>
        <v>0.62625791288463828</v>
      </c>
      <c r="M163" s="49">
        <f t="shared" si="45"/>
        <v>0.62625791288463828</v>
      </c>
      <c r="N163" s="194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5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0.4358896076051535</v>
      </c>
      <c r="H164" s="49">
        <f t="shared" si="45"/>
        <v>0.4358896076051535</v>
      </c>
      <c r="I164" s="49">
        <f t="shared" si="45"/>
        <v>0.4358896076051535</v>
      </c>
      <c r="J164" s="49">
        <f t="shared" si="45"/>
        <v>0.4358896076051535</v>
      </c>
      <c r="K164" s="49">
        <f t="shared" si="45"/>
        <v>0.4358896076051535</v>
      </c>
      <c r="L164" s="49">
        <f t="shared" si="45"/>
        <v>0.4358896076051535</v>
      </c>
      <c r="M164" s="49">
        <f t="shared" si="45"/>
        <v>0.4358896076051535</v>
      </c>
      <c r="N164" s="194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5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0.16831921619179602</v>
      </c>
      <c r="H165" s="49">
        <f t="shared" si="45"/>
        <v>0.16831921619179602</v>
      </c>
      <c r="I165" s="49">
        <f t="shared" si="45"/>
        <v>0.16831921619179602</v>
      </c>
      <c r="J165" s="49">
        <f t="shared" si="45"/>
        <v>0.16831921619179602</v>
      </c>
      <c r="K165" s="49">
        <f t="shared" si="45"/>
        <v>0.16831921619179602</v>
      </c>
      <c r="L165" s="49">
        <f t="shared" si="45"/>
        <v>0.16831921619179602</v>
      </c>
      <c r="M165" s="49">
        <f t="shared" si="45"/>
        <v>0.16831921619179602</v>
      </c>
      <c r="N165" s="194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5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0.10745367871077752</v>
      </c>
      <c r="H166" s="49">
        <f t="shared" si="45"/>
        <v>0.10745367871077752</v>
      </c>
      <c r="I166" s="49">
        <f t="shared" si="45"/>
        <v>0.10745367871077752</v>
      </c>
      <c r="J166" s="49">
        <f t="shared" si="45"/>
        <v>0.10745367871077752</v>
      </c>
      <c r="K166" s="49">
        <f t="shared" si="45"/>
        <v>0.10745367871077752</v>
      </c>
      <c r="L166" s="49">
        <f t="shared" si="45"/>
        <v>0.10745367871077752</v>
      </c>
      <c r="M166" s="49">
        <f t="shared" si="45"/>
        <v>0.10745367871077752</v>
      </c>
      <c r="N166" s="194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5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0.12189278087833144</v>
      </c>
      <c r="H167" s="49">
        <f t="shared" si="45"/>
        <v>0.12189278087833144</v>
      </c>
      <c r="I167" s="49">
        <f t="shared" si="45"/>
        <v>0.12189278087833144</v>
      </c>
      <c r="J167" s="49">
        <f t="shared" si="45"/>
        <v>0.12189278087833144</v>
      </c>
      <c r="K167" s="49">
        <f t="shared" si="45"/>
        <v>0.12189278087833144</v>
      </c>
      <c r="L167" s="49">
        <f t="shared" si="45"/>
        <v>0.12189278087833144</v>
      </c>
      <c r="M167" s="49">
        <f t="shared" si="45"/>
        <v>0.12189278087833144</v>
      </c>
      <c r="N167" s="194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5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-0.34925812609869589</v>
      </c>
      <c r="H168" s="49">
        <f t="shared" si="45"/>
        <v>-0.34925812609869589</v>
      </c>
      <c r="I168" s="49">
        <f t="shared" si="45"/>
        <v>-0.34925812609869589</v>
      </c>
      <c r="J168" s="49">
        <f t="shared" si="45"/>
        <v>-0.34925812609869589</v>
      </c>
      <c r="K168" s="49">
        <f t="shared" si="45"/>
        <v>-0.34925812609869589</v>
      </c>
      <c r="L168" s="49">
        <f t="shared" si="45"/>
        <v>-0.34925812609869589</v>
      </c>
      <c r="M168" s="49">
        <f t="shared" si="45"/>
        <v>-0.34925812609869589</v>
      </c>
      <c r="N168" s="194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5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0.20491353114258057</v>
      </c>
      <c r="H169" s="49">
        <f t="shared" si="45"/>
        <v>0.20491353114258057</v>
      </c>
      <c r="I169" s="49">
        <f t="shared" si="45"/>
        <v>0.20491353114258057</v>
      </c>
      <c r="J169" s="49">
        <f t="shared" si="45"/>
        <v>0.20491353114258057</v>
      </c>
      <c r="K169" s="49">
        <f t="shared" si="45"/>
        <v>0.20491353114258057</v>
      </c>
      <c r="L169" s="49">
        <f t="shared" si="45"/>
        <v>0.20491353114258057</v>
      </c>
      <c r="M169" s="49">
        <f t="shared" si="45"/>
        <v>0.20491353114258057</v>
      </c>
      <c r="N169" s="194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5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0.16731089891616763</v>
      </c>
      <c r="H170" s="49">
        <f t="shared" si="45"/>
        <v>0.16731089891616763</v>
      </c>
      <c r="I170" s="49">
        <f t="shared" si="45"/>
        <v>0.16731089891616763</v>
      </c>
      <c r="J170" s="49">
        <f t="shared" si="45"/>
        <v>0.16731089891616763</v>
      </c>
      <c r="K170" s="49">
        <f t="shared" si="45"/>
        <v>0.16731089891616763</v>
      </c>
      <c r="L170" s="49">
        <f t="shared" si="45"/>
        <v>0.16731089891616763</v>
      </c>
      <c r="M170" s="49">
        <f t="shared" si="45"/>
        <v>0.16731089891616763</v>
      </c>
      <c r="N170" s="194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5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5.5403825613348445E-2</v>
      </c>
      <c r="H171" s="49">
        <f t="shared" si="45"/>
        <v>5.5403825613348445E-2</v>
      </c>
      <c r="I171" s="49">
        <f t="shared" si="45"/>
        <v>5.5403825613348445E-2</v>
      </c>
      <c r="J171" s="49">
        <f t="shared" si="45"/>
        <v>5.5403825613348445E-2</v>
      </c>
      <c r="K171" s="49">
        <f t="shared" si="45"/>
        <v>5.5403825613348445E-2</v>
      </c>
      <c r="L171" s="49">
        <f t="shared" si="45"/>
        <v>5.5403825613348445E-2</v>
      </c>
      <c r="M171" s="49">
        <f t="shared" si="45"/>
        <v>5.5403825613348445E-2</v>
      </c>
      <c r="N171" s="194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5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8.3371804494174473E-3</v>
      </c>
      <c r="H172" s="49">
        <f t="shared" si="45"/>
        <v>8.3371804494174473E-3</v>
      </c>
      <c r="I172" s="49">
        <f t="shared" si="45"/>
        <v>8.3371804494174473E-3</v>
      </c>
      <c r="J172" s="49">
        <f t="shared" si="45"/>
        <v>8.3371804494174473E-3</v>
      </c>
      <c r="K172" s="49">
        <f t="shared" si="45"/>
        <v>8.3371804494174473E-3</v>
      </c>
      <c r="L172" s="49">
        <f t="shared" si="45"/>
        <v>8.3371804494174473E-3</v>
      </c>
      <c r="M172" s="49">
        <f t="shared" si="45"/>
        <v>8.3371804494174473E-3</v>
      </c>
      <c r="N172" s="194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5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-5.7365548392321331E-4</v>
      </c>
      <c r="H173" s="49">
        <f t="shared" si="45"/>
        <v>-5.7365548392321331E-4</v>
      </c>
      <c r="I173" s="49">
        <f t="shared" si="45"/>
        <v>-5.7365548392321331E-4</v>
      </c>
      <c r="J173" s="49">
        <f t="shared" si="45"/>
        <v>-5.7365548392321331E-4</v>
      </c>
      <c r="K173" s="49">
        <f t="shared" si="45"/>
        <v>-5.7365548392321331E-4</v>
      </c>
      <c r="L173" s="49">
        <f t="shared" si="45"/>
        <v>-5.7365548392321331E-4</v>
      </c>
      <c r="M173" s="49">
        <f t="shared" si="45"/>
        <v>-5.7365548392321331E-4</v>
      </c>
      <c r="N173" s="194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5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0.12037419191948384</v>
      </c>
      <c r="H174" s="49">
        <f t="shared" si="45"/>
        <v>0.12037419191948384</v>
      </c>
      <c r="I174" s="49">
        <f t="shared" si="45"/>
        <v>0.12037419191948384</v>
      </c>
      <c r="J174" s="49">
        <f t="shared" si="45"/>
        <v>0.12037419191948384</v>
      </c>
      <c r="K174" s="49">
        <f t="shared" si="45"/>
        <v>0.12037419191948384</v>
      </c>
      <c r="L174" s="49">
        <f t="shared" si="45"/>
        <v>0.12037419191948384</v>
      </c>
      <c r="M174" s="49">
        <f t="shared" si="45"/>
        <v>0.12037419191948384</v>
      </c>
      <c r="N174" s="194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5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5.8429286772212735E-2</v>
      </c>
      <c r="H175" s="49">
        <f t="shared" si="45"/>
        <v>5.8429286772212735E-2</v>
      </c>
      <c r="I175" s="49">
        <f t="shared" si="45"/>
        <v>5.8429286772212735E-2</v>
      </c>
      <c r="J175" s="49">
        <f t="shared" si="45"/>
        <v>5.8429286772212735E-2</v>
      </c>
      <c r="K175" s="49">
        <f t="shared" si="45"/>
        <v>5.8429286772212735E-2</v>
      </c>
      <c r="L175" s="49">
        <f t="shared" si="45"/>
        <v>5.8429286772212735E-2</v>
      </c>
      <c r="M175" s="49">
        <f t="shared" si="45"/>
        <v>5.8429286772212735E-2</v>
      </c>
      <c r="N175" s="194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5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-0.19208104501518797</v>
      </c>
      <c r="H176" s="49">
        <f t="shared" si="45"/>
        <v>-0.19208104501518797</v>
      </c>
      <c r="I176" s="49">
        <f t="shared" si="45"/>
        <v>-0.19208104501518797</v>
      </c>
      <c r="J176" s="49">
        <f t="shared" si="45"/>
        <v>-0.19208104501518797</v>
      </c>
      <c r="K176" s="49">
        <f t="shared" si="45"/>
        <v>-0.19208104501518797</v>
      </c>
      <c r="L176" s="49">
        <f t="shared" si="45"/>
        <v>-0.19208104501518797</v>
      </c>
      <c r="M176" s="49">
        <f t="shared" si="45"/>
        <v>-0.19208104501518797</v>
      </c>
      <c r="N176" s="194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5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0.28420139449902559</v>
      </c>
      <c r="H177" s="49">
        <f t="shared" si="45"/>
        <v>0.28420139449902559</v>
      </c>
      <c r="I177" s="49">
        <f t="shared" si="45"/>
        <v>0.28420139449902559</v>
      </c>
      <c r="J177" s="49">
        <f t="shared" si="45"/>
        <v>0.28420139449902559</v>
      </c>
      <c r="K177" s="49">
        <f t="shared" si="45"/>
        <v>0.28420139449902559</v>
      </c>
      <c r="L177" s="49">
        <f t="shared" si="45"/>
        <v>0.28420139449902559</v>
      </c>
      <c r="M177" s="49">
        <f t="shared" si="45"/>
        <v>0.28420139449902559</v>
      </c>
      <c r="N177" s="194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5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1.5919092215677562E-2</v>
      </c>
      <c r="H178" s="49">
        <f t="shared" si="45"/>
        <v>1.5919092215677562E-2</v>
      </c>
      <c r="I178" s="49">
        <f t="shared" si="45"/>
        <v>1.5919092215677562E-2</v>
      </c>
      <c r="J178" s="49">
        <f t="shared" si="45"/>
        <v>1.5919092215677562E-2</v>
      </c>
      <c r="K178" s="49">
        <f t="shared" si="45"/>
        <v>1.5919092215677562E-2</v>
      </c>
      <c r="L178" s="49">
        <f t="shared" si="45"/>
        <v>1.5919092215677562E-2</v>
      </c>
      <c r="M178" s="49">
        <f t="shared" si="45"/>
        <v>1.5919092215677562E-2</v>
      </c>
      <c r="N178" s="194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5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1.6996314400266339E-2</v>
      </c>
      <c r="H179" s="49">
        <f t="shared" si="45"/>
        <v>1.6996314400266339E-2</v>
      </c>
      <c r="I179" s="49">
        <f t="shared" si="45"/>
        <v>1.6996314400266339E-2</v>
      </c>
      <c r="J179" s="49">
        <f t="shared" si="45"/>
        <v>1.6996314400266339E-2</v>
      </c>
      <c r="K179" s="49">
        <f t="shared" si="45"/>
        <v>1.6996314400266339E-2</v>
      </c>
      <c r="L179" s="49">
        <f t="shared" si="45"/>
        <v>1.6996314400266339E-2</v>
      </c>
      <c r="M179" s="49">
        <f t="shared" si="45"/>
        <v>1.6996314400266339E-2</v>
      </c>
      <c r="N179" s="194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5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5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5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5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4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5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4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5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4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5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4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5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8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5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4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5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4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5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4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5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4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5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4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5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4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5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4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5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4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5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4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5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4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5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8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5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4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5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4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5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5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5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5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5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5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-0.20330209376893132</v>
      </c>
      <c r="H206" s="48">
        <f t="shared" ref="H206:K209" si="49">LN(H152/H184)</f>
        <v>-0.2603885988062537</v>
      </c>
      <c r="I206" s="48">
        <f t="shared" si="49"/>
        <v>-0.22625575584747362</v>
      </c>
      <c r="J206" s="48">
        <f t="shared" si="49"/>
        <v>-0.2254888636407005</v>
      </c>
      <c r="K206" s="48">
        <f t="shared" si="49"/>
        <v>-1.0565787295451645</v>
      </c>
      <c r="L206" s="48">
        <f t="shared" ref="L206:M206" si="50">LN(L152/L184)</f>
        <v>-1.0565787295451645</v>
      </c>
      <c r="M206" s="48">
        <f t="shared" si="50"/>
        <v>-1.0565787295451645</v>
      </c>
      <c r="N206" s="195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5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1.1018582821824911E-2</v>
      </c>
      <c r="H207" s="48">
        <f t="shared" si="49"/>
        <v>2.2846986098934995E-2</v>
      </c>
      <c r="I207" s="48">
        <f t="shared" si="49"/>
        <v>3.4826479533772658E-2</v>
      </c>
      <c r="J207" s="48">
        <f t="shared" si="49"/>
        <v>4.6814635093742125E-2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5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5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0.10264040169574182</v>
      </c>
      <c r="H208" s="48">
        <f t="shared" si="49"/>
        <v>0.10264040169574182</v>
      </c>
      <c r="I208" s="48">
        <f t="shared" si="49"/>
        <v>0.10264040169574182</v>
      </c>
      <c r="J208" s="48">
        <f t="shared" si="49"/>
        <v>0.10264040169574182</v>
      </c>
      <c r="K208" s="48">
        <f t="shared" si="49"/>
        <v>0.10264040169574182</v>
      </c>
      <c r="L208" s="48">
        <f t="shared" ref="L208:M208" si="52">LN(L154/L186)</f>
        <v>0.10264040169574182</v>
      </c>
      <c r="M208" s="48">
        <f t="shared" si="52"/>
        <v>0.10264040169574182</v>
      </c>
      <c r="N208" s="195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5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4.1139085539888431E-2</v>
      </c>
      <c r="H209" s="48">
        <f t="shared" si="49"/>
        <v>-7.9404234035143663E-3</v>
      </c>
      <c r="I209" s="48">
        <f t="shared" si="49"/>
        <v>-4.6493068570312096E-3</v>
      </c>
      <c r="J209" s="48">
        <f t="shared" si="49"/>
        <v>-8.4408032875812194E-3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5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5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2.0665870665415673E-2</v>
      </c>
      <c r="H210" s="48">
        <f t="shared" ref="H210:K213" si="54">H206*H206/2</f>
        <v>3.3901111194142075E-2</v>
      </c>
      <c r="I210" s="48">
        <f t="shared" si="54"/>
        <v>2.5595833527055797E-2</v>
      </c>
      <c r="J210" s="48">
        <f t="shared" si="54"/>
        <v>2.5422613812987212E-2</v>
      </c>
      <c r="K210" s="48">
        <f t="shared" si="54"/>
        <v>0.55817930586363695</v>
      </c>
      <c r="L210" s="48">
        <f t="shared" ref="L210:M210" si="55">L206*L206/2</f>
        <v>0.55817930586363695</v>
      </c>
      <c r="M210" s="48">
        <f t="shared" si="55"/>
        <v>0.55817930586363695</v>
      </c>
      <c r="N210" s="195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5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6.0704583700707506E-5</v>
      </c>
      <c r="H211" s="48">
        <f t="shared" si="54"/>
        <v>2.6099238690246448E-4</v>
      </c>
      <c r="I211" s="48">
        <f t="shared" si="54"/>
        <v>6.0644183835814288E-4</v>
      </c>
      <c r="J211" s="48">
        <f t="shared" si="54"/>
        <v>1.0958050294801159E-3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5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5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5.2675260301316201E-3</v>
      </c>
      <c r="H212" s="48">
        <f t="shared" si="54"/>
        <v>5.2675260301316201E-3</v>
      </c>
      <c r="I212" s="48">
        <f t="shared" si="54"/>
        <v>5.2675260301316201E-3</v>
      </c>
      <c r="J212" s="48">
        <f t="shared" si="54"/>
        <v>5.2675260301316201E-3</v>
      </c>
      <c r="K212" s="48">
        <f t="shared" si="54"/>
        <v>5.2675260301316201E-3</v>
      </c>
      <c r="L212" s="48">
        <f t="shared" ref="L212:M212" si="57">L208*L208/2</f>
        <v>5.2675260301316201E-3</v>
      </c>
      <c r="M212" s="48">
        <f t="shared" si="57"/>
        <v>5.2675260301316201E-3</v>
      </c>
      <c r="N212" s="195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5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8.462121795291287E-4</v>
      </c>
      <c r="H213" s="48">
        <f t="shared" si="54"/>
        <v>3.1525161913539339E-5</v>
      </c>
      <c r="I213" s="48">
        <f t="shared" si="54"/>
        <v>1.0808027125418713E-5</v>
      </c>
      <c r="J213" s="48">
        <f t="shared" si="54"/>
        <v>3.5623580069820961E-5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5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5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-2.2401009580433839E-3</v>
      </c>
      <c r="H214" s="48">
        <f t="shared" ref="H214:K214" si="59">H206*H207</f>
        <v>-5.9490946972476401E-3</v>
      </c>
      <c r="I214" s="48">
        <f t="shared" si="59"/>
        <v>-7.8796914504203029E-3</v>
      </c>
      <c r="J214" s="48">
        <f t="shared" si="59"/>
        <v>-1.0556178869041971E-2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5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5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-2.0867008570028482E-2</v>
      </c>
      <c r="H215" s="48">
        <f t="shared" ref="H215:K215" si="61">H206*H208</f>
        <v>-2.6726390378465237E-2</v>
      </c>
      <c r="I215" s="48">
        <f t="shared" si="61"/>
        <v>-2.3222981666158379E-2</v>
      </c>
      <c r="J215" s="48">
        <f t="shared" si="61"/>
        <v>-2.3144267541997852E-2</v>
      </c>
      <c r="K215" s="48">
        <f t="shared" si="61"/>
        <v>-0.10844766522369224</v>
      </c>
      <c r="L215" s="48">
        <f t="shared" ref="L215:M215" si="62">L206*L208</f>
        <v>-0.10844766522369224</v>
      </c>
      <c r="M215" s="48">
        <f t="shared" si="62"/>
        <v>-0.10844766522369224</v>
      </c>
      <c r="N215" s="195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5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-8.3636622259984847E-3</v>
      </c>
      <c r="H216" s="48">
        <f t="shared" ref="H216:K216" si="63">H206*H209</f>
        <v>2.06759572396949E-3</v>
      </c>
      <c r="I216" s="48">
        <f t="shared" si="63"/>
        <v>1.0519324371044384E-3</v>
      </c>
      <c r="J216" s="48">
        <f t="shared" si="63"/>
        <v>1.9033071415313781E-3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5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5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1.1309517669499092E-3</v>
      </c>
      <c r="H217" s="48">
        <f t="shared" ref="H217:K217" si="65">H207*H208</f>
        <v>2.3450238307317173E-3</v>
      </c>
      <c r="I217" s="48">
        <f t="shared" si="65"/>
        <v>3.5746038489949568E-3</v>
      </c>
      <c r="J217" s="48">
        <f t="shared" si="65"/>
        <v>4.8050729512612638E-3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5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5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4.5329442123540027E-4</v>
      </c>
      <c r="H218" s="48">
        <f t="shared" ref="H218:K218" si="67">H207*H209</f>
        <v>-1.8141474311975084E-4</v>
      </c>
      <c r="I218" s="48">
        <f t="shared" si="67"/>
        <v>-1.6191899010262631E-4</v>
      </c>
      <c r="J218" s="48">
        <f t="shared" si="67"/>
        <v>-3.9515312580617367E-4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5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5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4.2225322652096322E-3</v>
      </c>
      <c r="H219" s="48">
        <f t="shared" ref="H219:K219" si="69">H208*H209</f>
        <v>-8.1500824777098395E-4</v>
      </c>
      <c r="I219" s="48">
        <f t="shared" si="69"/>
        <v>-4.7720672341245021E-4</v>
      </c>
      <c r="J219" s="48">
        <f t="shared" si="69"/>
        <v>-8.6636744007207453E-4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5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5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-0.57483794571683255</v>
      </c>
      <c r="H220" s="48">
        <f t="shared" ref="H220:K220" si="71">LN(H156/H198)</f>
        <v>-0.57681416811838748</v>
      </c>
      <c r="I220" s="48">
        <f t="shared" si="71"/>
        <v>-0.57854657222822647</v>
      </c>
      <c r="J220" s="48">
        <f t="shared" si="71"/>
        <v>-0.58007766044178344</v>
      </c>
      <c r="K220" s="48">
        <f t="shared" si="71"/>
        <v>-0.6372360742817319</v>
      </c>
      <c r="L220" s="48">
        <f t="shared" ref="L220:M220" si="72">LN(L156/L198)</f>
        <v>-0.6943944881216807</v>
      </c>
      <c r="M220" s="48">
        <f t="shared" si="72"/>
        <v>-0.75155290196162927</v>
      </c>
      <c r="N220" s="195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5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0.83557987752832408</v>
      </c>
      <c r="H221" s="31">
        <f t="shared" ref="H221:K221" si="73">H157/H199</f>
        <v>0.95570656439202528</v>
      </c>
      <c r="I221" s="31">
        <f t="shared" si="73"/>
        <v>0.9893674743375992</v>
      </c>
      <c r="J221" s="31">
        <f t="shared" si="73"/>
        <v>0.97943462938435411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5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5"/>
      <c r="O222" s="114">
        <v>220</v>
      </c>
      <c r="P222" s="114">
        <v>0</v>
      </c>
      <c r="Q222" s="220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5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5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5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12.816571389915095</v>
      </c>
      <c r="H226" s="50">
        <f t="shared" ref="H226:K241" si="78">H162*H205</f>
        <v>12.816571389915095</v>
      </c>
      <c r="I226" s="50">
        <f t="shared" si="78"/>
        <v>12.816571389915095</v>
      </c>
      <c r="J226" s="50">
        <f t="shared" si="78"/>
        <v>12.816571389915095</v>
      </c>
      <c r="K226" s="50">
        <f t="shared" si="78"/>
        <v>12.816571389915095</v>
      </c>
      <c r="L226" s="50">
        <f t="shared" ref="L226:M226" si="79">L162*L205</f>
        <v>12.816571389915095</v>
      </c>
      <c r="M226" s="50">
        <f t="shared" si="79"/>
        <v>12.816571389915095</v>
      </c>
      <c r="N226" s="196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5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-0.12731954492880795</v>
      </c>
      <c r="H227" s="50">
        <f t="shared" si="78"/>
        <v>-0.16307042042735986</v>
      </c>
      <c r="I227" s="50">
        <f t="shared" si="78"/>
        <v>-0.14169445743517511</v>
      </c>
      <c r="J227" s="50">
        <f t="shared" si="78"/>
        <v>-0.1412141851223539</v>
      </c>
      <c r="K227" s="50">
        <f t="shared" si="78"/>
        <v>-0.66169078996325748</v>
      </c>
      <c r="L227" s="50">
        <f t="shared" ref="L227:M227" si="80">L163*L206</f>
        <v>-0.66169078996325748</v>
      </c>
      <c r="M227" s="50">
        <f t="shared" si="80"/>
        <v>-0.66169078996325748</v>
      </c>
      <c r="N227" s="196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5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4.8028857425701449E-3</v>
      </c>
      <c r="H228" s="50">
        <f t="shared" si="78"/>
        <v>9.9587638056251714E-3</v>
      </c>
      <c r="I228" s="50">
        <f t="shared" si="78"/>
        <v>1.5180500498245073E-2</v>
      </c>
      <c r="J228" s="50">
        <f t="shared" si="78"/>
        <v>2.0406012921189702E-2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6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5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1.7276351963038353E-2</v>
      </c>
      <c r="H229" s="50">
        <f t="shared" si="78"/>
        <v>1.7276351963038353E-2</v>
      </c>
      <c r="I229" s="50">
        <f t="shared" si="78"/>
        <v>1.7276351963038353E-2</v>
      </c>
      <c r="J229" s="50">
        <f t="shared" si="78"/>
        <v>1.7276351963038353E-2</v>
      </c>
      <c r="K229" s="50">
        <f t="shared" si="78"/>
        <v>1.7276351963038353E-2</v>
      </c>
      <c r="L229" s="50">
        <f t="shared" ref="L229:M229" si="82">L165*L208</f>
        <v>1.7276351963038353E-2</v>
      </c>
      <c r="M229" s="50">
        <f t="shared" si="82"/>
        <v>1.7276351963038353E-2</v>
      </c>
      <c r="N229" s="196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5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4.4205460800583645E-3</v>
      </c>
      <c r="H230" s="50">
        <f t="shared" si="78"/>
        <v>-8.5322770522877124E-4</v>
      </c>
      <c r="I230" s="50">
        <f t="shared" si="78"/>
        <v>-4.9958512524324642E-4</v>
      </c>
      <c r="J230" s="50">
        <f t="shared" si="78"/>
        <v>-9.0699536452462691E-4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6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5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2.5190204446794502E-3</v>
      </c>
      <c r="H231" s="50">
        <f t="shared" si="78"/>
        <v>4.1323007183195091E-3</v>
      </c>
      <c r="I231" s="50">
        <f t="shared" si="78"/>
        <v>3.1199473275116615E-3</v>
      </c>
      <c r="J231" s="50">
        <f t="shared" si="78"/>
        <v>3.0988330948608926E-3</v>
      </c>
      <c r="K231" s="50">
        <f t="shared" si="78"/>
        <v>6.8038027820455441E-2</v>
      </c>
      <c r="L231" s="50">
        <f t="shared" ref="L231:M231" si="84">L167*L210</f>
        <v>6.8038027820455441E-2</v>
      </c>
      <c r="M231" s="50">
        <f t="shared" si="84"/>
        <v>6.8038027820455441E-2</v>
      </c>
      <c r="N231" s="196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5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-2.1201569148910543E-5</v>
      </c>
      <c r="H232" s="50">
        <f t="shared" si="78"/>
        <v>-9.1153711975580569E-5</v>
      </c>
      <c r="I232" s="50">
        <f t="shared" si="78"/>
        <v>-2.1180474005281323E-4</v>
      </c>
      <c r="J232" s="50">
        <f t="shared" si="78"/>
        <v>-3.8271881116575148E-4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6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5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1.0793873592197295E-3</v>
      </c>
      <c r="H233" s="50">
        <f t="shared" si="78"/>
        <v>1.0793873592197295E-3</v>
      </c>
      <c r="I233" s="50">
        <f t="shared" si="78"/>
        <v>1.0793873592197295E-3</v>
      </c>
      <c r="J233" s="50">
        <f t="shared" si="78"/>
        <v>1.0793873592197295E-3</v>
      </c>
      <c r="K233" s="50">
        <f t="shared" si="78"/>
        <v>1.0793873592197295E-3</v>
      </c>
      <c r="L233" s="50">
        <f t="shared" ref="L233:M233" si="86">L169*L212</f>
        <v>1.0793873592197295E-3</v>
      </c>
      <c r="M233" s="50">
        <f t="shared" si="86"/>
        <v>1.0793873592197295E-3</v>
      </c>
      <c r="N233" s="196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5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1.4158052043082795E-4</v>
      </c>
      <c r="H234" s="50">
        <f t="shared" si="78"/>
        <v>5.2745031782319976E-6</v>
      </c>
      <c r="I234" s="50">
        <f t="shared" si="78"/>
        <v>1.8083007338641281E-6</v>
      </c>
      <c r="J234" s="50">
        <f t="shared" si="78"/>
        <v>5.9602132040938184E-6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6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5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-1.2411016283573042E-4</v>
      </c>
      <c r="H235" s="50">
        <f t="shared" si="78"/>
        <v>-3.296026051636042E-4</v>
      </c>
      <c r="I235" s="50">
        <f t="shared" si="78"/>
        <v>-4.3656505100607911E-4</v>
      </c>
      <c r="J235" s="50">
        <f t="shared" si="78"/>
        <v>-5.848526932037152E-4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6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5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-1.7397201588786778E-4</v>
      </c>
      <c r="H236" s="50">
        <f t="shared" si="78"/>
        <v>-2.2282273934683895E-4</v>
      </c>
      <c r="I236" s="50">
        <f t="shared" si="78"/>
        <v>-1.9361418872427546E-4</v>
      </c>
      <c r="J236" s="50">
        <f t="shared" si="78"/>
        <v>-1.9295793486723129E-4</v>
      </c>
      <c r="K236" s="50">
        <f t="shared" si="78"/>
        <v>-9.0414775428793539E-4</v>
      </c>
      <c r="L236" s="50">
        <f t="shared" ref="L236:M236" si="89">L172*L215</f>
        <v>-9.0414775428793539E-4</v>
      </c>
      <c r="M236" s="50">
        <f t="shared" si="89"/>
        <v>-9.0414775428793539E-4</v>
      </c>
      <c r="N236" s="196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5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4.79786070162546E-6</v>
      </c>
      <c r="H237" s="50">
        <f t="shared" si="78"/>
        <v>-1.1860876255912843E-6</v>
      </c>
      <c r="I237" s="50">
        <f t="shared" si="78"/>
        <v>-6.0344681126167176E-7</v>
      </c>
      <c r="J237" s="50">
        <f t="shared" si="78"/>
        <v>-1.0918425793296905E-6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6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5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1.3613740504650774E-4</v>
      </c>
      <c r="H238" s="50">
        <f t="shared" si="78"/>
        <v>2.8228034865626292E-4</v>
      </c>
      <c r="I238" s="50">
        <f t="shared" si="78"/>
        <v>4.3029004975504454E-4</v>
      </c>
      <c r="J238" s="50">
        <f t="shared" si="78"/>
        <v>5.7840677362224402E-4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6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5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2.6485669730607399E-5</v>
      </c>
      <c r="H239" s="50">
        <f t="shared" si="78"/>
        <v>-1.0599934050451228E-5</v>
      </c>
      <c r="I239" s="50">
        <f t="shared" si="78"/>
        <v>-9.460811106573429E-6</v>
      </c>
      <c r="J239" s="50">
        <f t="shared" si="78"/>
        <v>-2.3088515306665177E-5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6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5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-8.1106841011181503E-4</v>
      </c>
      <c r="H240" s="50">
        <f t="shared" si="78"/>
        <v>1.5654763592784783E-4</v>
      </c>
      <c r="I240" s="50">
        <f t="shared" si="78"/>
        <v>9.1662366121337204E-5</v>
      </c>
      <c r="J240" s="50">
        <f t="shared" si="78"/>
        <v>1.6641276325617731E-4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6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5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-0.16336974578367899</v>
      </c>
      <c r="H241" s="50">
        <f t="shared" si="78"/>
        <v>-0.16393139094604112</v>
      </c>
      <c r="I241" s="50">
        <f t="shared" si="78"/>
        <v>-0.1644237426098932</v>
      </c>
      <c r="J241" s="50">
        <f t="shared" si="78"/>
        <v>-0.16485888001528712</v>
      </c>
      <c r="K241" s="50">
        <f t="shared" si="78"/>
        <v>-0.18110338093595288</v>
      </c>
      <c r="L241" s="50">
        <f t="shared" ref="L241:M241" si="94">L177*L220</f>
        <v>-0.19734788185661872</v>
      </c>
      <c r="M241" s="50">
        <f t="shared" si="94"/>
        <v>-0.21359238277728451</v>
      </c>
      <c r="N241" s="196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5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1.3301673123937954E-2</v>
      </c>
      <c r="H242" s="50">
        <f t="shared" ref="H242:K243" si="95">H178*H221</f>
        <v>1.5213980929685036E-2</v>
      </c>
      <c r="I242" s="50">
        <f t="shared" si="95"/>
        <v>1.5749832059172245E-2</v>
      </c>
      <c r="J242" s="50">
        <f t="shared" si="95"/>
        <v>1.5591710184397509E-2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6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5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0.16996314400266338</v>
      </c>
      <c r="H243" s="50">
        <f t="shared" si="95"/>
        <v>0.18695945840292974</v>
      </c>
      <c r="I243" s="50">
        <f t="shared" si="95"/>
        <v>0.20395577280319607</v>
      </c>
      <c r="J243" s="50">
        <f t="shared" si="95"/>
        <v>0.22095208720346241</v>
      </c>
      <c r="K243" s="50">
        <f t="shared" si="95"/>
        <v>0.23794840160372877</v>
      </c>
      <c r="L243" s="50">
        <f t="shared" ref="L243:M243" si="97">L179*L222</f>
        <v>0.23794840160372877</v>
      </c>
      <c r="M243" s="50">
        <f t="shared" si="97"/>
        <v>0.2549447160039951</v>
      </c>
      <c r="N243" s="196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12.738423757216703</v>
      </c>
      <c r="H245" s="44">
        <f t="shared" ref="H245:K245" si="98">SUM(H226:H243)</f>
        <v>12.723125331424885</v>
      </c>
      <c r="I245" s="44">
        <f t="shared" si="98"/>
        <v>12.765987109234077</v>
      </c>
      <c r="J245" s="44">
        <f t="shared" si="98"/>
        <v>12.787561782092059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2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340586.27750447753</v>
      </c>
      <c r="H246" s="8">
        <f t="shared" ref="H246:K246" si="100">EXP(H245)</f>
        <v>335415.4968621892</v>
      </c>
      <c r="I246" s="8">
        <f t="shared" si="100"/>
        <v>350104.55213178508</v>
      </c>
      <c r="J246" s="8">
        <f t="shared" si="100"/>
        <v>357740.01343128487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132.89794217212008</v>
      </c>
      <c r="H247" s="21">
        <f t="shared" ref="H247:K247" si="102">H137</f>
        <v>134.40780526478855</v>
      </c>
      <c r="I247" s="21">
        <f t="shared" si="102"/>
        <v>135.93482202079704</v>
      </c>
      <c r="J247" s="21">
        <f t="shared" si="102"/>
        <v>137.47918732415019</v>
      </c>
      <c r="K247" s="21">
        <f t="shared" si="102"/>
        <v>137.47918732415019</v>
      </c>
      <c r="L247" s="21">
        <f t="shared" ref="L247:M247" si="103">L137</f>
        <v>137.47918732415019</v>
      </c>
      <c r="M247" s="21">
        <f t="shared" si="103"/>
        <v>137.47918732415019</v>
      </c>
      <c r="N247" s="187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45263215.412407696</v>
      </c>
      <c r="H248" s="8">
        <f t="shared" ref="H248:K248" si="104">H246*H247</f>
        <v>45082460.785045423</v>
      </c>
      <c r="I248" s="8">
        <f t="shared" si="104"/>
        <v>47591399.982705064</v>
      </c>
      <c r="J248" s="8">
        <f t="shared" si="104"/>
        <v>49181806.319863617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5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5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5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5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2" thickBot="1" x14ac:dyDescent="0.3">
      <c r="A253" s="231" t="s">
        <v>151</v>
      </c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2" thickTop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40997605.831766076</v>
      </c>
      <c r="H256" s="60">
        <f t="shared" ref="H256:K256" si="107">H121</f>
        <v>41898516.600910112</v>
      </c>
      <c r="I256" s="60">
        <f t="shared" si="107"/>
        <v>43577937.553118631</v>
      </c>
      <c r="J256" s="60">
        <f t="shared" si="107"/>
        <v>44762402.10045217</v>
      </c>
      <c r="K256" s="60">
        <f t="shared" si="107"/>
        <v>10925302.135450244</v>
      </c>
      <c r="L256" s="60">
        <f t="shared" ref="L256:M256" si="108">L121</f>
        <v>10423830.767433077</v>
      </c>
      <c r="M256" s="60">
        <f t="shared" si="108"/>
        <v>9945376.9352078997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45263215.412407696</v>
      </c>
      <c r="H257" s="60">
        <f t="shared" ref="H257:K257" si="110">H248</f>
        <v>45082460.785045423</v>
      </c>
      <c r="I257" s="60">
        <f t="shared" si="110"/>
        <v>47591399.982705064</v>
      </c>
      <c r="J257" s="60">
        <f t="shared" si="110"/>
        <v>49181806.319863617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5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-4265609.5806416199</v>
      </c>
      <c r="H258" s="25">
        <f t="shared" ref="H258:K258" si="113">H256-H257</f>
        <v>-3183944.1841353104</v>
      </c>
      <c r="I258" s="25">
        <f t="shared" si="113"/>
        <v>-4013462.4295864329</v>
      </c>
      <c r="J258" s="25">
        <f t="shared" si="113"/>
        <v>-4419404.2194114476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88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5">
      <c r="A259" s="38"/>
      <c r="B259" s="38">
        <v>240</v>
      </c>
      <c r="C259" s="3" t="s">
        <v>153</v>
      </c>
      <c r="F259" s="61"/>
      <c r="G259" s="61">
        <f t="shared" ref="G259" si="115">G258/G257</f>
        <v>-9.4240091910755358E-2</v>
      </c>
      <c r="H259" s="61">
        <f t="shared" ref="H259:K259" si="116">H258/H257</f>
        <v>-7.0624897769366576E-2</v>
      </c>
      <c r="I259" s="61">
        <f t="shared" si="116"/>
        <v>-8.4331674021880923E-2</v>
      </c>
      <c r="J259" s="61">
        <f t="shared" si="116"/>
        <v>-8.9858517815896738E-2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2" thickBot="1" x14ac:dyDescent="0.3">
      <c r="A260" s="3"/>
      <c r="B260" s="38">
        <v>241</v>
      </c>
      <c r="M260" s="92"/>
      <c r="O260" s="114">
        <v>258</v>
      </c>
      <c r="P260" s="114">
        <v>0</v>
      </c>
    </row>
    <row r="261" spans="1:87" ht="13.2" thickBot="1" x14ac:dyDescent="0.3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-9.8981010167422667E-2</v>
      </c>
      <c r="H261" s="64">
        <f t="shared" ref="H261:K261" si="118">LN(H256/H257)</f>
        <v>-7.3242851768386963E-2</v>
      </c>
      <c r="I261" s="64">
        <f t="shared" si="118"/>
        <v>-8.8101069421792341E-2</v>
      </c>
      <c r="J261" s="64">
        <f t="shared" si="118"/>
        <v>-9.415521662862926E-2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99">
        <v>0.69753664058569687</v>
      </c>
      <c r="R261" s="180">
        <v>0.1185744297966774</v>
      </c>
      <c r="S261" s="180">
        <v>2.0582024902304496E-2</v>
      </c>
      <c r="T261" s="180">
        <v>-4.3633329541489248E-2</v>
      </c>
      <c r="U261" s="180">
        <v>-0.11131026593277424</v>
      </c>
      <c r="V261" s="180">
        <v>-9.8981010167422667E-2</v>
      </c>
      <c r="W261" s="180">
        <v>0.135325906277316</v>
      </c>
      <c r="X261" s="180">
        <v>4.2686784785720385E-3</v>
      </c>
      <c r="Y261" s="180">
        <v>0.21017910101009249</v>
      </c>
      <c r="Z261" s="180">
        <v>-0.1317651130903405</v>
      </c>
      <c r="AA261" s="180">
        <v>-0.38188091724152129</v>
      </c>
      <c r="AB261" s="180">
        <v>-0.39445143950061579</v>
      </c>
      <c r="AC261" s="180">
        <v>-6.8456850667005117E-2</v>
      </c>
      <c r="AD261" s="180">
        <v>-0.15709734392501937</v>
      </c>
      <c r="AE261" s="180">
        <v>9.6056461718184813E-2</v>
      </c>
      <c r="AF261" s="180">
        <v>6.7827698772099765E-2</v>
      </c>
      <c r="AG261" s="180">
        <v>-0.20854398605540175</v>
      </c>
      <c r="AH261" s="180">
        <v>-0.14315834076282447</v>
      </c>
      <c r="AI261" s="180">
        <v>0.13430049909877317</v>
      </c>
      <c r="AJ261" s="180">
        <v>6.8351028518996521E-2</v>
      </c>
      <c r="AK261" s="180">
        <v>9.6186157822484408E-2</v>
      </c>
      <c r="AL261" s="180">
        <v>-0.12955609529149836</v>
      </c>
      <c r="AM261" s="180">
        <v>-5.1016220642006262E-2</v>
      </c>
      <c r="AN261" s="180">
        <v>-0.27549199300053506</v>
      </c>
      <c r="AO261" s="180">
        <v>-0.21270883613216501</v>
      </c>
      <c r="AP261" s="180">
        <v>-3.9085931772991384E-2</v>
      </c>
      <c r="AQ261" s="180">
        <v>-0.19571721019911756</v>
      </c>
      <c r="AR261" s="180">
        <v>-0.66367582201788655</v>
      </c>
      <c r="AS261" s="180">
        <v>-2.891504618128066E-2</v>
      </c>
      <c r="AT261" s="180">
        <v>0.15563569706944919</v>
      </c>
      <c r="AU261" s="180">
        <v>0.15701098319323117</v>
      </c>
      <c r="AV261" s="180">
        <v>9.0521491614362168E-2</v>
      </c>
      <c r="AW261" s="180">
        <v>-0.12471065641265065</v>
      </c>
      <c r="AX261" s="180">
        <v>-2.8906023782322442E-2</v>
      </c>
      <c r="AY261" s="180">
        <v>-0.20354044009622529</v>
      </c>
      <c r="AZ261" s="180">
        <v>-0.1880645293297267</v>
      </c>
      <c r="BA261" s="180">
        <v>-0.11645010935552043</v>
      </c>
      <c r="BB261" s="180">
        <v>-8.0204653560004641E-2</v>
      </c>
      <c r="BC261" s="180">
        <v>0.11801121008352268</v>
      </c>
      <c r="BD261" s="180">
        <v>-5.9523642853244862E-3</v>
      </c>
      <c r="BE261" s="180">
        <v>-0.16667811693305193</v>
      </c>
      <c r="BF261" s="180">
        <v>3.4886150338008036E-2</v>
      </c>
      <c r="BG261" s="180">
        <v>-6.4084655441337193E-2</v>
      </c>
      <c r="BH261" s="180">
        <v>3.2388891794771085E-2</v>
      </c>
      <c r="BI261" s="180">
        <v>-0.38539494116598616</v>
      </c>
      <c r="BJ261" s="180">
        <v>4.4954594754340917E-2</v>
      </c>
      <c r="BK261" s="180">
        <v>-0.10230562681159319</v>
      </c>
      <c r="BL261" s="180">
        <v>-2.5041568319419859E-2</v>
      </c>
      <c r="BM261" s="180">
        <v>-0.15442994850460851</v>
      </c>
      <c r="BN261" s="180">
        <v>-9.781187694611447E-2</v>
      </c>
      <c r="BO261" s="180">
        <v>0.12603300772274295</v>
      </c>
      <c r="BP261" s="180">
        <v>8.2410953679071419E-2</v>
      </c>
      <c r="BQ261" s="180">
        <v>0.14018840917828337</v>
      </c>
      <c r="BR261" s="180">
        <v>0.10565803820530219</v>
      </c>
      <c r="BS261" s="180">
        <v>-8.0797555879495192E-2</v>
      </c>
      <c r="BT261" s="180">
        <v>-3.4155539993055276E-2</v>
      </c>
      <c r="BU261" s="180">
        <v>-7.6951059193004906E-2</v>
      </c>
      <c r="BV261" s="180">
        <v>0.12161062310123466</v>
      </c>
      <c r="BW261" s="180">
        <v>1.5897035873183286E-2</v>
      </c>
      <c r="BX261" s="180">
        <v>0.52337019654760064</v>
      </c>
      <c r="BY261" s="180">
        <v>-1.5919700255961594E-2</v>
      </c>
      <c r="BZ261" s="180">
        <v>-0.4494394170458989</v>
      </c>
      <c r="CA261" s="180">
        <v>0.12896285740062066</v>
      </c>
      <c r="CB261" s="180">
        <v>-0.17370220580672927</v>
      </c>
      <c r="CC261" s="180">
        <v>0.16157123794359185</v>
      </c>
      <c r="CD261" s="180">
        <v>0.3488934290832868</v>
      </c>
      <c r="CE261" s="180">
        <v>-2.6780322903377264E-2</v>
      </c>
      <c r="CF261" s="180">
        <v>-1.9405557213708326E-2</v>
      </c>
    </row>
    <row r="262" spans="1:87" hidden="1" x14ac:dyDescent="0.25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0">
        <v>0.1185744297966774</v>
      </c>
      <c r="S262" s="180">
        <v>2.0582024902304496E-2</v>
      </c>
      <c r="T262" s="180">
        <v>-4.3633329541489248E-2</v>
      </c>
      <c r="U262" s="180">
        <v>-0.11131026593277424</v>
      </c>
      <c r="V262" s="180">
        <v>-9.8981010167422667E-2</v>
      </c>
      <c r="W262" s="180">
        <v>0.135325906277316</v>
      </c>
      <c r="X262" s="180">
        <v>4.2686784785720385E-3</v>
      </c>
      <c r="Y262" s="180">
        <v>0.21017910101009249</v>
      </c>
      <c r="Z262" s="180">
        <v>-0.1317651130903405</v>
      </c>
      <c r="AA262" s="180">
        <v>-0.38188091724152129</v>
      </c>
      <c r="AB262" s="180">
        <v>-0.39445143950061579</v>
      </c>
      <c r="AC262" s="180">
        <v>-6.8456850667005117E-2</v>
      </c>
      <c r="AD262" s="180">
        <v>-0.15709734392501937</v>
      </c>
      <c r="AE262" s="180">
        <v>9.6056461718184813E-2</v>
      </c>
      <c r="AF262" s="180">
        <v>6.7827698772099765E-2</v>
      </c>
      <c r="AG262" s="180">
        <v>-0.20854398605540175</v>
      </c>
      <c r="AH262" s="180">
        <v>-0.14315834076282447</v>
      </c>
      <c r="AI262" s="180">
        <v>0.13430049909877317</v>
      </c>
      <c r="AJ262" s="180">
        <v>6.8351028518996521E-2</v>
      </c>
      <c r="AK262" s="180">
        <v>9.6186157822484408E-2</v>
      </c>
      <c r="AL262" s="180">
        <v>-0.12955609529149836</v>
      </c>
      <c r="AM262" s="180">
        <v>-5.1016220642006262E-2</v>
      </c>
      <c r="AN262" s="180">
        <v>-0.27549199300053506</v>
      </c>
      <c r="AO262" s="180">
        <v>-0.21270883613216501</v>
      </c>
      <c r="AP262" s="180">
        <v>-3.9085931772991384E-2</v>
      </c>
      <c r="AQ262" s="180">
        <v>-0.19571721019911756</v>
      </c>
      <c r="AR262" s="180">
        <v>-0.66367582201788655</v>
      </c>
      <c r="AS262" s="180">
        <v>-2.891504618128066E-2</v>
      </c>
      <c r="AT262" s="180">
        <v>0.15563569706944919</v>
      </c>
      <c r="AU262" s="180">
        <v>0.15701098319323137</v>
      </c>
      <c r="AV262" s="180">
        <v>9.0521491614362168E-2</v>
      </c>
      <c r="AW262" s="180">
        <v>-0.12471065641265065</v>
      </c>
      <c r="AX262" s="180">
        <v>-2.8906023782322442E-2</v>
      </c>
      <c r="AY262" s="180">
        <v>-0.20354044009622529</v>
      </c>
      <c r="AZ262" s="180">
        <v>-0.1880645293297267</v>
      </c>
      <c r="BA262" s="180">
        <v>-0.11645010935552043</v>
      </c>
      <c r="BB262" s="180">
        <v>-8.0204653560004641E-2</v>
      </c>
      <c r="BC262" s="180">
        <v>0.11801121008352268</v>
      </c>
      <c r="BD262" s="180">
        <v>-5.9523642853244862E-3</v>
      </c>
      <c r="BE262" s="180">
        <v>-0.16667811693305193</v>
      </c>
      <c r="BF262" s="180">
        <v>3.4886150338008036E-2</v>
      </c>
      <c r="BG262" s="180">
        <v>-6.4084655441337193E-2</v>
      </c>
      <c r="BH262" s="180">
        <v>3.2388891794771085E-2</v>
      </c>
      <c r="BI262" s="180">
        <v>-0.38539494116598599</v>
      </c>
      <c r="BJ262" s="180">
        <v>4.4954594754340917E-2</v>
      </c>
      <c r="BK262" s="180">
        <v>-0.10230562681159319</v>
      </c>
      <c r="BL262" s="180">
        <v>-2.5041568319419859E-2</v>
      </c>
      <c r="BM262" s="180">
        <v>-0.15442994850460851</v>
      </c>
      <c r="BN262" s="180">
        <v>-9.781187694611447E-2</v>
      </c>
      <c r="BO262" s="180">
        <v>0.12603300772274295</v>
      </c>
      <c r="BP262" s="180">
        <v>8.2410953679071419E-2</v>
      </c>
      <c r="BQ262" s="180">
        <v>0.14018840917828337</v>
      </c>
      <c r="BR262" s="180">
        <v>0.10565803820530219</v>
      </c>
      <c r="BS262" s="180">
        <v>-8.0797555879495192E-2</v>
      </c>
      <c r="BT262" s="180">
        <v>-3.4155539993055276E-2</v>
      </c>
      <c r="BU262" s="180">
        <v>-7.6951059193004906E-2</v>
      </c>
      <c r="BV262" s="180">
        <v>0.12161062310123466</v>
      </c>
      <c r="BW262" s="180">
        <v>1.5897035873183286E-2</v>
      </c>
      <c r="BX262" s="180">
        <v>0.52337019654760064</v>
      </c>
      <c r="BY262" s="180">
        <v>-1.5919700255961594E-2</v>
      </c>
      <c r="BZ262" s="180">
        <v>-0.4494394170458989</v>
      </c>
      <c r="CA262" s="180">
        <v>0.12896285740062066</v>
      </c>
      <c r="CB262" s="180">
        <v>-0.17370220580672927</v>
      </c>
      <c r="CC262" s="180">
        <v>0.16157123794359185</v>
      </c>
      <c r="CD262" s="180">
        <v>0.3488934290832868</v>
      </c>
      <c r="CE262" s="180">
        <v>-2.6780322903377264E-2</v>
      </c>
      <c r="CF262" s="180">
        <v>-1.9405557213708326E-2</v>
      </c>
    </row>
    <row r="263" spans="1:87" hidden="1" x14ac:dyDescent="0.25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0">
        <v>0</v>
      </c>
      <c r="S263" s="180">
        <v>0</v>
      </c>
      <c r="T263" s="180">
        <v>0</v>
      </c>
      <c r="U263" s="180">
        <v>0</v>
      </c>
      <c r="V263" s="180">
        <v>0</v>
      </c>
      <c r="W263" s="180">
        <v>0</v>
      </c>
      <c r="X263" s="180">
        <v>0</v>
      </c>
      <c r="Y263" s="180">
        <v>0</v>
      </c>
      <c r="Z263" s="180">
        <v>0</v>
      </c>
      <c r="AA263" s="180">
        <v>0</v>
      </c>
      <c r="AB263" s="180">
        <v>0</v>
      </c>
      <c r="AC263" s="180">
        <v>0</v>
      </c>
      <c r="AD263" s="180">
        <v>0</v>
      </c>
      <c r="AE263" s="180">
        <v>0</v>
      </c>
      <c r="AF263" s="180">
        <v>0</v>
      </c>
      <c r="AG263" s="180">
        <v>0</v>
      </c>
      <c r="AH263" s="180">
        <v>0</v>
      </c>
      <c r="AI263" s="180">
        <v>0</v>
      </c>
      <c r="AJ263" s="180">
        <v>0</v>
      </c>
      <c r="AK263" s="180">
        <v>0</v>
      </c>
      <c r="AL263" s="180">
        <v>0</v>
      </c>
      <c r="AM263" s="180">
        <v>0</v>
      </c>
      <c r="AN263" s="180">
        <v>0</v>
      </c>
      <c r="AO263" s="180">
        <v>0</v>
      </c>
      <c r="AP263" s="180">
        <v>0</v>
      </c>
      <c r="AQ263" s="180">
        <v>0</v>
      </c>
      <c r="AR263" s="180">
        <v>0</v>
      </c>
      <c r="AS263" s="180">
        <v>0</v>
      </c>
      <c r="AT263" s="180">
        <v>0</v>
      </c>
      <c r="AU263" s="180">
        <v>0</v>
      </c>
      <c r="AV263" s="180">
        <v>0</v>
      </c>
      <c r="AW263" s="180">
        <v>0</v>
      </c>
      <c r="AX263" s="180">
        <v>0</v>
      </c>
      <c r="AY263" s="180">
        <v>0</v>
      </c>
      <c r="AZ263" s="180">
        <v>0</v>
      </c>
      <c r="BA263" s="180">
        <v>0</v>
      </c>
      <c r="BB263" s="180">
        <v>0</v>
      </c>
      <c r="BC263" s="180">
        <v>0</v>
      </c>
      <c r="BD263" s="180">
        <v>0</v>
      </c>
      <c r="BE263" s="180">
        <v>0</v>
      </c>
      <c r="BF263" s="180">
        <v>0</v>
      </c>
      <c r="BG263" s="180">
        <v>0</v>
      </c>
      <c r="BH263" s="180">
        <v>0</v>
      </c>
      <c r="BI263" s="180">
        <v>0</v>
      </c>
      <c r="BJ263" s="180">
        <v>0</v>
      </c>
      <c r="BK263" s="180">
        <v>0</v>
      </c>
      <c r="BL263" s="180">
        <v>0</v>
      </c>
      <c r="BM263" s="180">
        <v>0</v>
      </c>
      <c r="BN263" s="180">
        <v>0</v>
      </c>
      <c r="BO263" s="180">
        <v>0</v>
      </c>
      <c r="BP263" s="180">
        <v>0</v>
      </c>
      <c r="BQ263" s="180">
        <v>0</v>
      </c>
      <c r="BR263" s="180">
        <v>0</v>
      </c>
      <c r="BS263" s="180">
        <v>0</v>
      </c>
      <c r="BT263" s="180">
        <v>0</v>
      </c>
      <c r="BU263" s="180">
        <v>0</v>
      </c>
      <c r="BV263" s="180">
        <v>0</v>
      </c>
      <c r="BW263" s="180">
        <v>0</v>
      </c>
      <c r="BX263" s="180">
        <v>0</v>
      </c>
      <c r="BY263" s="180">
        <v>0</v>
      </c>
      <c r="BZ263" s="180">
        <v>0</v>
      </c>
      <c r="CA263" s="180">
        <v>0</v>
      </c>
      <c r="CB263" s="180">
        <v>0</v>
      </c>
      <c r="CC263" s="180">
        <v>0</v>
      </c>
      <c r="CD263" s="180">
        <v>0</v>
      </c>
      <c r="CE263" s="180">
        <v>0</v>
      </c>
      <c r="CF263" s="180">
        <v>0</v>
      </c>
    </row>
    <row r="264" spans="1:87" hidden="1" x14ac:dyDescent="0.25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5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5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2" hidden="1" thickBot="1" x14ac:dyDescent="0.3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6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5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5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/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227" t="s">
        <v>168</v>
      </c>
      <c r="D2" s="227"/>
      <c r="E2" s="227"/>
      <c r="F2" s="227"/>
      <c r="G2" s="227"/>
      <c r="H2" s="227"/>
      <c r="I2" s="227"/>
      <c r="J2" s="227"/>
      <c r="K2" s="227"/>
    </row>
    <row r="3" spans="3:17" s="92" customFormat="1" ht="23.25" customHeight="1" x14ac:dyDescent="0.3">
      <c r="C3" s="237" t="str">
        <f>'Model Inputs'!F5</f>
        <v>Cambridge and North Dumfries Hydro Inc.</v>
      </c>
      <c r="D3" s="237"/>
      <c r="E3" s="237"/>
      <c r="F3" s="237"/>
      <c r="G3" s="237"/>
      <c r="H3" s="237"/>
      <c r="I3" s="237"/>
      <c r="J3" s="237"/>
      <c r="K3" s="237"/>
    </row>
    <row r="4" spans="3:17" s="92" customFormat="1" ht="18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5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5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5">
      <c r="D10" t="s">
        <v>162</v>
      </c>
      <c r="F10" s="86">
        <f>'Benchmarking Calculations'!G121</f>
        <v>40997605.831766076</v>
      </c>
      <c r="G10" s="86">
        <f>'Benchmarking Calculations'!H121</f>
        <v>41898516.600910112</v>
      </c>
      <c r="H10" s="86">
        <f>'Benchmarking Calculations'!I121</f>
        <v>43577937.553118631</v>
      </c>
      <c r="I10" s="91">
        <f>IF(ISNUMBER(I12),'Benchmarking Calculations'!J121,"na")</f>
        <v>44762402.10045217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5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5">
      <c r="D12" t="s">
        <v>150</v>
      </c>
      <c r="F12" s="86">
        <f>'Benchmarking Calculations'!G257</f>
        <v>45263215.412407696</v>
      </c>
      <c r="G12" s="86">
        <f>'Benchmarking Calculations'!H257</f>
        <v>45082460.785045423</v>
      </c>
      <c r="H12" s="86">
        <f>'Benchmarking Calculations'!I257</f>
        <v>47591399.982705064</v>
      </c>
      <c r="I12" s="91">
        <f>IF(ISNUMBER('Benchmarking Calculations'!J257),'Benchmarking Calculations'!J257,"na")</f>
        <v>49181806.319863617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5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5">
      <c r="D14" t="s">
        <v>160</v>
      </c>
      <c r="F14" s="86">
        <f t="shared" ref="F14:H14" si="0">F10-F12</f>
        <v>-4265609.5806416199</v>
      </c>
      <c r="G14" s="86">
        <f t="shared" si="0"/>
        <v>-3183944.1841353104</v>
      </c>
      <c r="H14" s="86">
        <f t="shared" si="0"/>
        <v>-4013462.4295864329</v>
      </c>
      <c r="I14" s="91">
        <f>IF(ISNUMBER(I12),I10-I12,"na")</f>
        <v>-4419404.2194114476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5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5">
      <c r="D16" s="11" t="s">
        <v>184</v>
      </c>
      <c r="E16" s="11"/>
      <c r="F16" s="221">
        <f>LN(F10/F12)</f>
        <v>-9.8981010167422667E-2</v>
      </c>
      <c r="G16" s="221">
        <f t="shared" ref="G16:H16" si="2">LN(G10/G12)</f>
        <v>-7.3242851768386963E-2</v>
      </c>
      <c r="H16" s="221">
        <f t="shared" si="2"/>
        <v>-8.8101069421792341E-2</v>
      </c>
      <c r="I16" s="146">
        <f>IF(ISNUMBER(I14),LN(I10/I12),"na")</f>
        <v>-9.415521662862926E-2</v>
      </c>
      <c r="J16" s="146" t="str">
        <f t="shared" ref="J16:K16" si="3">IF(ISNUMBER(J14),LN(J10/J12),"na")</f>
        <v>na</v>
      </c>
      <c r="K16" s="146" t="str">
        <f t="shared" si="3"/>
        <v>na</v>
      </c>
      <c r="L16" s="26"/>
      <c r="M16" s="26"/>
      <c r="N16" s="26"/>
      <c r="O16" s="26"/>
    </row>
    <row r="17" spans="4:15" ht="18.75" customHeight="1" x14ac:dyDescent="0.25">
      <c r="F17" s="165"/>
      <c r="G17" s="165"/>
      <c r="H17" s="165"/>
      <c r="I17" s="88"/>
      <c r="J17" s="88"/>
      <c r="K17" s="88"/>
      <c r="L17" s="26"/>
      <c r="M17" s="26"/>
      <c r="N17" s="26"/>
      <c r="O17" s="26"/>
    </row>
    <row r="18" spans="4:15" ht="18.75" customHeight="1" x14ac:dyDescent="0.25">
      <c r="D18" t="s">
        <v>181</v>
      </c>
      <c r="F18" s="166"/>
      <c r="G18" s="166"/>
      <c r="H18" s="66">
        <f>AVERAGE(F16:H16)</f>
        <v>-8.6774977119200666E-2</v>
      </c>
      <c r="I18" s="66">
        <f>IF(ISNUMBER(I16),AVERAGE(G16:I16),"na")</f>
        <v>-8.5166379272936188E-2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4.4" x14ac:dyDescent="0.3">
      <c r="E22" t="s">
        <v>182</v>
      </c>
      <c r="F22" s="147">
        <f>IF(F16&lt;-0.25,1,IF(F16&lt;-0.1,2,IF(F16&lt;0.1,3,IF(F16&lt;0.25,4,5))))</f>
        <v>3</v>
      </c>
      <c r="G22" s="147">
        <f t="shared" ref="G22" si="5">IF(G16&lt;-0.25,1,IF(G16&lt;-0.1,2,IF(G16&lt;0.1,3,IF(G16&lt;0.25,4,5))))</f>
        <v>3</v>
      </c>
      <c r="H22" s="147">
        <f>IF($H$16&lt;-0.25,1,IF($H$16&lt;-0.1,2,IF($H$16&lt;0.1,3,IF($H$16&lt;0.25,4,5))))</f>
        <v>3</v>
      </c>
      <c r="I22" s="147">
        <f>IF(ISNUMBER(I16),IF(I16&lt;-0.25,1,IF(I16&lt;-0.1,2,IF(I16&lt;0.1,3,IF(I16&lt;0.25,4,5)))),"na")</f>
        <v>3</v>
      </c>
      <c r="J22" s="147" t="str">
        <f t="shared" ref="J22:K22" si="6">IF(ISNUMBER(J16),IF(J16&lt;-0.25,1,IF(J16&lt;-0.1,2,IF(J16&lt;0.1,3,IF(J16&lt;0.25,4,5)))),"na")</f>
        <v>na</v>
      </c>
      <c r="K22" s="147" t="str">
        <f t="shared" si="6"/>
        <v>na</v>
      </c>
    </row>
    <row r="24" spans="4:15" ht="14.4" x14ac:dyDescent="0.3">
      <c r="E24" t="s">
        <v>155</v>
      </c>
      <c r="H24" s="147">
        <f>IF($H$18&lt;-0.25,1,IF($H$18&lt;-0.1,2,IF($H$18&lt;0.1,3,IF($H$18&lt;0.25,4,5))))</f>
        <v>3</v>
      </c>
      <c r="I24" s="147">
        <f>IF($I$18&lt;-0.25,1,IF($I$18&lt;-0.1,2,IF($I$18&lt;0.1,3,IF($I$18&lt;0.25,4,5))))</f>
        <v>3</v>
      </c>
    </row>
    <row r="27" spans="4:15" x14ac:dyDescent="0.25">
      <c r="D27" s="11"/>
    </row>
    <row r="29" spans="4:15" x14ac:dyDescent="0.25">
      <c r="F29" s="14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Dan Molon</cp:lastModifiedBy>
  <cp:lastPrinted>2016-07-25T18:30:34Z</cp:lastPrinted>
  <dcterms:created xsi:type="dcterms:W3CDTF">2016-07-20T15:58:10Z</dcterms:created>
  <dcterms:modified xsi:type="dcterms:W3CDTF">2018-12-03T14:35:01Z</dcterms:modified>
</cp:coreProperties>
</file>