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wilkinson\Desktop\2019 Interrogatories\"/>
    </mc:Choice>
  </mc:AlternateContent>
  <bookViews>
    <workbookView xWindow="0" yWindow="0" windowWidth="20490" windowHeight="7755" tabRatio="418"/>
  </bookViews>
  <sheets>
    <sheet name="2015" sheetId="1" r:id="rId1"/>
    <sheet name="2016" sheetId="2" r:id="rId2"/>
    <sheet name="2017" sheetId="3" r:id="rId3"/>
    <sheet name="2018" sheetId="4" r:id="rId4"/>
    <sheet name="2019" sheetId="5" r:id="rId5"/>
  </sheets>
  <externalReferences>
    <externalReference r:id="rId6"/>
    <externalReference r:id="rId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6" i="5" l="1"/>
  <c r="J53" i="5"/>
  <c r="R45" i="5"/>
  <c r="R46" i="5"/>
  <c r="R47" i="5"/>
  <c r="R48" i="5"/>
  <c r="R49" i="5"/>
  <c r="R50" i="5"/>
  <c r="R44" i="5"/>
  <c r="R24" i="5"/>
  <c r="R25" i="5"/>
  <c r="H21" i="4"/>
  <c r="G21" i="4"/>
  <c r="F21" i="4"/>
  <c r="E21" i="4"/>
  <c r="D21" i="4"/>
  <c r="C21" i="4"/>
  <c r="V75" i="4" l="1"/>
  <c r="V69" i="3"/>
  <c r="S64" i="2"/>
  <c r="U73" i="1"/>
  <c r="R9" i="5" l="1"/>
  <c r="R10" i="5"/>
  <c r="R11" i="5"/>
  <c r="R12" i="5"/>
  <c r="R13" i="5"/>
  <c r="R14" i="5"/>
  <c r="R15" i="5"/>
  <c r="Q53" i="5" l="1"/>
  <c r="P53" i="5"/>
  <c r="O53" i="5"/>
  <c r="N53" i="5"/>
  <c r="M53" i="5"/>
  <c r="L53" i="5"/>
  <c r="K53" i="5"/>
  <c r="I53" i="5"/>
  <c r="H53" i="5"/>
  <c r="G53" i="5"/>
  <c r="F53" i="5"/>
  <c r="E53" i="5"/>
  <c r="D53" i="5"/>
  <c r="C53" i="5"/>
  <c r="B53" i="5"/>
  <c r="R53" i="5"/>
  <c r="Q40" i="5"/>
  <c r="P40" i="5"/>
  <c r="O40" i="5"/>
  <c r="N40" i="5"/>
  <c r="M40" i="5"/>
  <c r="L40" i="5"/>
  <c r="K40" i="5"/>
  <c r="J40" i="5"/>
  <c r="J55" i="5" s="1"/>
  <c r="I40" i="5"/>
  <c r="H40" i="5"/>
  <c r="F40" i="5"/>
  <c r="E40" i="5"/>
  <c r="B40" i="5"/>
  <c r="R38" i="5"/>
  <c r="R37" i="5"/>
  <c r="C40" i="5"/>
  <c r="G40" i="5"/>
  <c r="R35" i="5"/>
  <c r="R34" i="5"/>
  <c r="R33" i="5"/>
  <c r="P29" i="5"/>
  <c r="O29" i="5"/>
  <c r="N29" i="5"/>
  <c r="M29" i="5"/>
  <c r="L29" i="5"/>
  <c r="K29" i="5"/>
  <c r="I29" i="5"/>
  <c r="H29" i="5"/>
  <c r="G29" i="5"/>
  <c r="E29" i="5"/>
  <c r="C29" i="5"/>
  <c r="B29" i="5"/>
  <c r="F29" i="5"/>
  <c r="D29" i="5"/>
  <c r="R23" i="5"/>
  <c r="R29" i="5" s="1"/>
  <c r="Q19" i="5"/>
  <c r="P19" i="5"/>
  <c r="O19" i="5"/>
  <c r="N19" i="5"/>
  <c r="M19" i="5"/>
  <c r="L19" i="5"/>
  <c r="K19" i="5"/>
  <c r="I19" i="5"/>
  <c r="H19" i="5"/>
  <c r="G19" i="5"/>
  <c r="F19" i="5"/>
  <c r="E19" i="5"/>
  <c r="D19" i="5"/>
  <c r="C19" i="5"/>
  <c r="R8" i="5"/>
  <c r="T69" i="4"/>
  <c r="T57" i="4"/>
  <c r="J60" i="4"/>
  <c r="J75" i="4" s="1"/>
  <c r="E55" i="5" l="1"/>
  <c r="R19" i="5"/>
  <c r="M55" i="5"/>
  <c r="R40" i="5"/>
  <c r="I55" i="5"/>
  <c r="Q55" i="5"/>
  <c r="L55" i="5"/>
  <c r="P55" i="5"/>
  <c r="O55" i="5"/>
  <c r="H55" i="5"/>
  <c r="K55" i="5"/>
  <c r="N55" i="5"/>
  <c r="F55" i="5"/>
  <c r="C55" i="5"/>
  <c r="G55" i="5"/>
  <c r="D40" i="5"/>
  <c r="D55" i="5" s="1"/>
  <c r="G23" i="4"/>
  <c r="F23" i="4"/>
  <c r="D23" i="4"/>
  <c r="C23" i="4"/>
  <c r="T34" i="4"/>
  <c r="T56" i="4"/>
  <c r="T55" i="4"/>
  <c r="T58" i="4"/>
  <c r="G45" i="4"/>
  <c r="G50" i="4"/>
  <c r="G48" i="4"/>
  <c r="D48" i="4"/>
  <c r="C48" i="4"/>
  <c r="R55" i="5" l="1"/>
  <c r="T33" i="4"/>
  <c r="T53" i="4"/>
  <c r="T52" i="4"/>
  <c r="T51" i="4"/>
  <c r="T10" i="4"/>
  <c r="T50" i="4"/>
  <c r="T49" i="4"/>
  <c r="T47" i="4"/>
  <c r="T48" i="4"/>
  <c r="R73" i="4"/>
  <c r="Q73" i="4"/>
  <c r="P73" i="4"/>
  <c r="O73" i="4"/>
  <c r="N73" i="4"/>
  <c r="M73" i="4"/>
  <c r="L73" i="4"/>
  <c r="K73" i="4"/>
  <c r="I73" i="4"/>
  <c r="H73" i="4"/>
  <c r="G73" i="4"/>
  <c r="F73" i="4"/>
  <c r="E73" i="4"/>
  <c r="D73" i="4"/>
  <c r="C73" i="4"/>
  <c r="B73" i="4"/>
  <c r="T70" i="4"/>
  <c r="S73" i="4"/>
  <c r="T68" i="4"/>
  <c r="T67" i="4"/>
  <c r="T66" i="4"/>
  <c r="T65" i="4"/>
  <c r="T64" i="4"/>
  <c r="T73" i="4" s="1"/>
  <c r="S60" i="4"/>
  <c r="R60" i="4"/>
  <c r="Q60" i="4"/>
  <c r="P60" i="4"/>
  <c r="O60" i="4"/>
  <c r="N60" i="4"/>
  <c r="M60" i="4"/>
  <c r="L60" i="4"/>
  <c r="K60" i="4"/>
  <c r="I60" i="4"/>
  <c r="H60" i="4"/>
  <c r="G60" i="4"/>
  <c r="F60" i="4"/>
  <c r="E60" i="4"/>
  <c r="D60" i="4"/>
  <c r="C60" i="4"/>
  <c r="B60" i="4"/>
  <c r="T46" i="4"/>
  <c r="T45" i="4"/>
  <c r="T44" i="4"/>
  <c r="T43" i="4"/>
  <c r="T42" i="4"/>
  <c r="R38" i="4"/>
  <c r="Q38" i="4"/>
  <c r="P38" i="4"/>
  <c r="O38" i="4"/>
  <c r="N38" i="4"/>
  <c r="M38" i="4"/>
  <c r="L38" i="4"/>
  <c r="K38" i="4"/>
  <c r="I38" i="4"/>
  <c r="H38" i="4"/>
  <c r="G38" i="4"/>
  <c r="F38" i="4"/>
  <c r="E38" i="4"/>
  <c r="B38" i="4"/>
  <c r="T54" i="4"/>
  <c r="T32" i="4"/>
  <c r="T31" i="4"/>
  <c r="T30" i="4"/>
  <c r="T29" i="4"/>
  <c r="T28" i="4"/>
  <c r="T27" i="4"/>
  <c r="T26" i="4"/>
  <c r="T25" i="4"/>
  <c r="T24" i="4"/>
  <c r="T12" i="4"/>
  <c r="D38" i="4"/>
  <c r="S19" i="4"/>
  <c r="R19" i="4"/>
  <c r="Q19" i="4"/>
  <c r="P19" i="4"/>
  <c r="O19" i="4"/>
  <c r="N19" i="4"/>
  <c r="M19" i="4"/>
  <c r="L19" i="4"/>
  <c r="I19" i="4"/>
  <c r="H19" i="4"/>
  <c r="F19" i="4"/>
  <c r="E19" i="4"/>
  <c r="D19" i="4"/>
  <c r="C19" i="4"/>
  <c r="T17" i="4"/>
  <c r="T16" i="4"/>
  <c r="K19" i="4"/>
  <c r="G19" i="4"/>
  <c r="T14" i="4"/>
  <c r="T13" i="4"/>
  <c r="T11" i="4"/>
  <c r="T9" i="4"/>
  <c r="T8" i="4"/>
  <c r="D23" i="3"/>
  <c r="T17" i="3"/>
  <c r="T16" i="3"/>
  <c r="D19" i="3"/>
  <c r="E19" i="3"/>
  <c r="F19" i="3"/>
  <c r="H19" i="3"/>
  <c r="I19" i="3"/>
  <c r="J19" i="3"/>
  <c r="K19" i="3"/>
  <c r="L19" i="3"/>
  <c r="M19" i="3"/>
  <c r="N19" i="3"/>
  <c r="O19" i="3"/>
  <c r="P19" i="3"/>
  <c r="Q19" i="3"/>
  <c r="R19" i="3"/>
  <c r="S19" i="3"/>
  <c r="C19" i="3"/>
  <c r="J16" i="3"/>
  <c r="G15" i="3"/>
  <c r="T15" i="3" s="1"/>
  <c r="T19" i="3" s="1"/>
  <c r="S59" i="3"/>
  <c r="K54" i="3"/>
  <c r="G19" i="3" l="1"/>
  <c r="T60" i="4"/>
  <c r="S75" i="4"/>
  <c r="I75" i="4"/>
  <c r="E75" i="4"/>
  <c r="M75" i="4"/>
  <c r="Q75" i="4"/>
  <c r="F75" i="4"/>
  <c r="N75" i="4"/>
  <c r="R75" i="4"/>
  <c r="P75" i="4"/>
  <c r="L75" i="4"/>
  <c r="O75" i="4"/>
  <c r="D75" i="4"/>
  <c r="H75" i="4"/>
  <c r="K75" i="4"/>
  <c r="G75" i="4"/>
  <c r="C38" i="4"/>
  <c r="C75" i="4" s="1"/>
  <c r="T23" i="4"/>
  <c r="T38" i="4" s="1"/>
  <c r="T15" i="4"/>
  <c r="T19" i="4" s="1"/>
  <c r="D28" i="3"/>
  <c r="C28" i="3"/>
  <c r="S67" i="3"/>
  <c r="S69" i="3" s="1"/>
  <c r="S50" i="3"/>
  <c r="T35" i="3"/>
  <c r="T34" i="3"/>
  <c r="T45" i="3"/>
  <c r="T33" i="3"/>
  <c r="D26" i="3"/>
  <c r="C26" i="3"/>
  <c r="T31" i="3"/>
  <c r="T32" i="3"/>
  <c r="T36" i="3"/>
  <c r="E44" i="3"/>
  <c r="T30" i="3"/>
  <c r="T75" i="4" l="1"/>
  <c r="H8" i="3"/>
  <c r="R67" i="3"/>
  <c r="Q67" i="3"/>
  <c r="P67" i="3"/>
  <c r="O67" i="3"/>
  <c r="N67" i="3"/>
  <c r="M67" i="3"/>
  <c r="L67" i="3"/>
  <c r="J67" i="3"/>
  <c r="I67" i="3"/>
  <c r="H67" i="3"/>
  <c r="G67" i="3"/>
  <c r="F67" i="3"/>
  <c r="E67" i="3"/>
  <c r="D67" i="3"/>
  <c r="C67" i="3"/>
  <c r="B67" i="3"/>
  <c r="T63" i="3"/>
  <c r="K67" i="3"/>
  <c r="T62" i="3"/>
  <c r="T61" i="3"/>
  <c r="T60" i="3"/>
  <c r="T59" i="3"/>
  <c r="T58" i="3"/>
  <c r="T57" i="3"/>
  <c r="T56" i="3"/>
  <c r="T55" i="3"/>
  <c r="T54" i="3"/>
  <c r="R50" i="3"/>
  <c r="Q50" i="3"/>
  <c r="P50" i="3"/>
  <c r="O50" i="3"/>
  <c r="N50" i="3"/>
  <c r="M50" i="3"/>
  <c r="L50" i="3"/>
  <c r="K50" i="3"/>
  <c r="J50" i="3"/>
  <c r="H50" i="3"/>
  <c r="G50" i="3"/>
  <c r="F50" i="3"/>
  <c r="C50" i="3"/>
  <c r="B50" i="3"/>
  <c r="T48" i="3"/>
  <c r="T47" i="3"/>
  <c r="I50" i="3"/>
  <c r="T44" i="3"/>
  <c r="E50" i="3"/>
  <c r="T43" i="3"/>
  <c r="R39" i="3"/>
  <c r="Q39" i="3"/>
  <c r="P39" i="3"/>
  <c r="O39" i="3"/>
  <c r="N39" i="3"/>
  <c r="M39" i="3"/>
  <c r="L39" i="3"/>
  <c r="K39" i="3"/>
  <c r="J39" i="3"/>
  <c r="I39" i="3"/>
  <c r="F39" i="3"/>
  <c r="E39" i="3"/>
  <c r="B39" i="3"/>
  <c r="T29" i="3"/>
  <c r="T28" i="3"/>
  <c r="G39" i="3"/>
  <c r="T27" i="3"/>
  <c r="T26" i="3"/>
  <c r="T25" i="3"/>
  <c r="H39" i="3"/>
  <c r="D39" i="3"/>
  <c r="T24" i="3"/>
  <c r="T23" i="3"/>
  <c r="T14" i="3"/>
  <c r="T13" i="3"/>
  <c r="T12" i="3"/>
  <c r="T11" i="3"/>
  <c r="T10" i="3"/>
  <c r="T9" i="3"/>
  <c r="T8" i="3"/>
  <c r="C25" i="2"/>
  <c r="D62" i="2"/>
  <c r="E62" i="2"/>
  <c r="F62" i="2"/>
  <c r="G62" i="2"/>
  <c r="H62" i="2"/>
  <c r="I62" i="2"/>
  <c r="J62" i="2"/>
  <c r="L62" i="2"/>
  <c r="M62" i="2"/>
  <c r="N62" i="2"/>
  <c r="O62" i="2"/>
  <c r="P62" i="2"/>
  <c r="C62" i="2"/>
  <c r="Q42" i="2"/>
  <c r="F45" i="2"/>
  <c r="G45" i="2"/>
  <c r="H45" i="2"/>
  <c r="J45" i="2"/>
  <c r="K45" i="2"/>
  <c r="L45" i="2"/>
  <c r="M45" i="2"/>
  <c r="N45" i="2"/>
  <c r="O45" i="2"/>
  <c r="P45" i="2"/>
  <c r="E30" i="2"/>
  <c r="F30" i="2"/>
  <c r="I30" i="2"/>
  <c r="J30" i="2"/>
  <c r="K30" i="2"/>
  <c r="L30" i="2"/>
  <c r="M30" i="2"/>
  <c r="N30" i="2"/>
  <c r="O30" i="2"/>
  <c r="P30" i="2"/>
  <c r="D17" i="2"/>
  <c r="E17" i="2"/>
  <c r="F17" i="2"/>
  <c r="G17" i="2"/>
  <c r="I17" i="2"/>
  <c r="K17" i="2"/>
  <c r="L17" i="2"/>
  <c r="M17" i="2"/>
  <c r="N17" i="2"/>
  <c r="O17" i="2"/>
  <c r="P17" i="2"/>
  <c r="C17" i="2"/>
  <c r="Q58" i="2"/>
  <c r="Q14" i="2"/>
  <c r="G11" i="2"/>
  <c r="I37" i="2"/>
  <c r="I45" i="2" s="1"/>
  <c r="K58" i="2"/>
  <c r="K62" i="2" s="1"/>
  <c r="L69" i="3" l="1"/>
  <c r="T39" i="3"/>
  <c r="M69" i="3"/>
  <c r="Q69" i="3"/>
  <c r="T67" i="3"/>
  <c r="P69" i="3"/>
  <c r="K69" i="3"/>
  <c r="I69" i="3"/>
  <c r="R69" i="3"/>
  <c r="F69" i="3"/>
  <c r="J69" i="3"/>
  <c r="O69" i="3"/>
  <c r="H69" i="3"/>
  <c r="N69" i="3"/>
  <c r="E69" i="3"/>
  <c r="G69" i="3"/>
  <c r="C39" i="3"/>
  <c r="C69" i="3" s="1"/>
  <c r="T46" i="3"/>
  <c r="T50" i="3" s="1"/>
  <c r="D50" i="3"/>
  <c r="D69" i="3" s="1"/>
  <c r="T69" i="3" l="1"/>
  <c r="J13" i="2"/>
  <c r="J17" i="2" s="1"/>
  <c r="D22" i="2" l="1"/>
  <c r="D30" i="2" s="1"/>
  <c r="C22" i="2"/>
  <c r="C30" i="2" s="1"/>
  <c r="D25" i="2"/>
  <c r="H22" i="2"/>
  <c r="E35" i="2"/>
  <c r="E45" i="2" s="1"/>
  <c r="D34" i="2"/>
  <c r="C34" i="2"/>
  <c r="C45" i="2" s="1"/>
  <c r="H25" i="2"/>
  <c r="G25" i="2"/>
  <c r="G30" i="2" s="1"/>
  <c r="H13" i="2"/>
  <c r="B62" i="2"/>
  <c r="Q57" i="2"/>
  <c r="Q56" i="2"/>
  <c r="Q55" i="2"/>
  <c r="Q54" i="2"/>
  <c r="Q53" i="2"/>
  <c r="Q52" i="2"/>
  <c r="Q51" i="2"/>
  <c r="Q50" i="2"/>
  <c r="Q49" i="2"/>
  <c r="B45" i="2"/>
  <c r="Q41" i="2"/>
  <c r="Q40" i="2"/>
  <c r="Q39" i="2"/>
  <c r="Q38" i="2"/>
  <c r="Q37" i="2"/>
  <c r="Q36" i="2"/>
  <c r="Q35" i="2"/>
  <c r="B30" i="2"/>
  <c r="Q27" i="2"/>
  <c r="Q26" i="2"/>
  <c r="Q24" i="2"/>
  <c r="Q23" i="2"/>
  <c r="Q22" i="2"/>
  <c r="Q21" i="2"/>
  <c r="Q11" i="2"/>
  <c r="Q10" i="2"/>
  <c r="Q9" i="2"/>
  <c r="Q12" i="2"/>
  <c r="Q8" i="2"/>
  <c r="E22" i="1"/>
  <c r="I22" i="1"/>
  <c r="K22" i="1"/>
  <c r="L22" i="1"/>
  <c r="M22" i="1"/>
  <c r="N22" i="1"/>
  <c r="O22" i="1"/>
  <c r="P22" i="1"/>
  <c r="Q22" i="1"/>
  <c r="R22" i="1"/>
  <c r="S33" i="1"/>
  <c r="S27" i="1"/>
  <c r="Q25" i="2" l="1"/>
  <c r="Q45" i="2"/>
  <c r="H17" i="2"/>
  <c r="Q13" i="2"/>
  <c r="Q17" i="2" s="1"/>
  <c r="Q34" i="2"/>
  <c r="D45" i="2"/>
  <c r="H30" i="2"/>
  <c r="H64" i="2" s="1"/>
  <c r="Q30" i="2"/>
  <c r="O64" i="2"/>
  <c r="M64" i="2"/>
  <c r="K64" i="2"/>
  <c r="N64" i="2"/>
  <c r="G64" i="2"/>
  <c r="C64" i="2"/>
  <c r="Q62" i="2"/>
  <c r="P64" i="2"/>
  <c r="F64" i="2"/>
  <c r="J64" i="2"/>
  <c r="E64" i="2"/>
  <c r="I64" i="2"/>
  <c r="D64" i="2"/>
  <c r="L64" i="2"/>
  <c r="E56" i="1"/>
  <c r="G56" i="1"/>
  <c r="H56" i="1"/>
  <c r="J56" i="1"/>
  <c r="K56" i="1"/>
  <c r="L56" i="1"/>
  <c r="M56" i="1"/>
  <c r="N56" i="1"/>
  <c r="O56" i="1"/>
  <c r="P56" i="1"/>
  <c r="Q56" i="1"/>
  <c r="R56" i="1"/>
  <c r="E40" i="1"/>
  <c r="F40" i="1"/>
  <c r="G40" i="1"/>
  <c r="I40" i="1"/>
  <c r="J40" i="1"/>
  <c r="K40" i="1"/>
  <c r="L40" i="1"/>
  <c r="M40" i="1"/>
  <c r="N40" i="1"/>
  <c r="O40" i="1"/>
  <c r="P40" i="1"/>
  <c r="Q40" i="1"/>
  <c r="R40" i="1"/>
  <c r="S37" i="1"/>
  <c r="S46" i="1"/>
  <c r="S28" i="1"/>
  <c r="S18" i="1"/>
  <c r="S51" i="1"/>
  <c r="I56" i="1"/>
  <c r="D22" i="1"/>
  <c r="F22" i="1"/>
  <c r="D40" i="1"/>
  <c r="C40" i="1"/>
  <c r="S13" i="1"/>
  <c r="S8" i="1"/>
  <c r="S15" i="1"/>
  <c r="S10" i="1"/>
  <c r="G22" i="1"/>
  <c r="C56" i="1"/>
  <c r="F56" i="1"/>
  <c r="H40" i="1"/>
  <c r="J22" i="1"/>
  <c r="H22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S67" i="1"/>
  <c r="S62" i="1"/>
  <c r="S66" i="1"/>
  <c r="S60" i="1"/>
  <c r="S63" i="1"/>
  <c r="S64" i="1"/>
  <c r="S68" i="1"/>
  <c r="S61" i="1"/>
  <c r="S65" i="1"/>
  <c r="B56" i="1"/>
  <c r="S47" i="1"/>
  <c r="S49" i="1"/>
  <c r="S50" i="1"/>
  <c r="S52" i="1"/>
  <c r="S53" i="1"/>
  <c r="S48" i="1"/>
  <c r="B40" i="1"/>
  <c r="S32" i="1"/>
  <c r="S30" i="1"/>
  <c r="S29" i="1"/>
  <c r="S34" i="1"/>
  <c r="S35" i="1"/>
  <c r="S36" i="1"/>
  <c r="S11" i="1"/>
  <c r="S16" i="1"/>
  <c r="S17" i="1"/>
  <c r="S9" i="1"/>
  <c r="J73" i="1" l="1"/>
  <c r="N73" i="1"/>
  <c r="M73" i="1"/>
  <c r="Q64" i="2"/>
  <c r="Q73" i="1"/>
  <c r="E73" i="1"/>
  <c r="S45" i="1"/>
  <c r="S14" i="1"/>
  <c r="S31" i="1"/>
  <c r="S26" i="1"/>
  <c r="F73" i="1"/>
  <c r="L73" i="1"/>
  <c r="P73" i="1"/>
  <c r="D56" i="1"/>
  <c r="D73" i="1" s="1"/>
  <c r="I73" i="1"/>
  <c r="H73" i="1"/>
  <c r="S12" i="1"/>
  <c r="S22" i="1" s="1"/>
  <c r="C22" i="1"/>
  <c r="C73" i="1" s="1"/>
  <c r="R73" i="1"/>
  <c r="O73" i="1"/>
  <c r="K73" i="1"/>
  <c r="G73" i="1"/>
  <c r="S44" i="1"/>
  <c r="S56" i="1" s="1"/>
  <c r="S71" i="1"/>
  <c r="S40" i="1" l="1"/>
  <c r="S73" i="1" s="1"/>
</calcChain>
</file>

<file path=xl/sharedStrings.xml><?xml version="1.0" encoding="utf-8"?>
<sst xmlns="http://schemas.openxmlformats.org/spreadsheetml/2006/main" count="396" uniqueCount="169">
  <si>
    <t>Capital Projects Table</t>
  </si>
  <si>
    <t>Reporting Basis</t>
  </si>
  <si>
    <t>Projects</t>
  </si>
  <si>
    <t>Total</t>
  </si>
  <si>
    <t>System Access</t>
  </si>
  <si>
    <t>0012</t>
  </si>
  <si>
    <t>New Services</t>
  </si>
  <si>
    <t>Total System Access</t>
  </si>
  <si>
    <t>System Renewal</t>
  </si>
  <si>
    <t xml:space="preserve"> </t>
  </si>
  <si>
    <t>Sub-Total System Renewal</t>
  </si>
  <si>
    <t>System Service</t>
  </si>
  <si>
    <t>Sub-Total System Service</t>
  </si>
  <si>
    <t>General Plant</t>
  </si>
  <si>
    <t>Sub-Total General Plant</t>
  </si>
  <si>
    <t>Total Capital Expenditures</t>
  </si>
  <si>
    <t xml:space="preserve">Minor Capital Betterments </t>
  </si>
  <si>
    <t>0027</t>
  </si>
  <si>
    <t>Anne St. Townhomes - Almonte</t>
  </si>
  <si>
    <t>Watchorn Drive - Beachburg</t>
  </si>
  <si>
    <t>John St pole replacement - Killaloe</t>
  </si>
  <si>
    <t>Upgrade Conductor Everett St. - Pembroke</t>
  </si>
  <si>
    <t>Substation 5 Pembroke - install new feeder cable</t>
  </si>
  <si>
    <t>Substation 2 Pembroke - rebuild</t>
  </si>
  <si>
    <t>0027 &amp; 1729</t>
  </si>
  <si>
    <t>Install Spun Bus Secondary Ryan St Killaloe</t>
  </si>
  <si>
    <t>Gateway Upgrade</t>
  </si>
  <si>
    <t>Install 44KV Fault Indication Pem 6M1 &amp; 6M2</t>
  </si>
  <si>
    <t>Mill Run Phase 1 C - Almonte</t>
  </si>
  <si>
    <t>1661 &amp; 1721 &amp; 1739</t>
  </si>
  <si>
    <t>M&amp;M Meat Shop Pembroke</t>
  </si>
  <si>
    <t>Murphy Funeral Home Pembroke</t>
  </si>
  <si>
    <t>Replace Defective Transformer Switch</t>
  </si>
  <si>
    <t>Replace Defective Porcelan Switch</t>
  </si>
  <si>
    <t>1497 &amp; 1759</t>
  </si>
  <si>
    <t>Riverfront Phase 3 - Almonte</t>
  </si>
  <si>
    <t>1756 &amp; 1802</t>
  </si>
  <si>
    <t>Replace 44 KV Poles Sub 4 &amp; River Road Pemb</t>
  </si>
  <si>
    <t>Boundary Rd Right of Way 2 pole replacement Pemb</t>
  </si>
  <si>
    <t>Replace 44 KV Pole on Main Feed - Pembroke</t>
  </si>
  <si>
    <t>Ground Grid and Fence @ Sub 3/7 in Pembroke</t>
  </si>
  <si>
    <t>New Services - All Service Areas</t>
  </si>
  <si>
    <t>Orchard View By The Mississippi - Almonte</t>
  </si>
  <si>
    <t>Verheyken Subdivision - Beachburg</t>
  </si>
  <si>
    <t>MicroFit Connections</t>
  </si>
  <si>
    <t>1819&amp;1824&amp;1825&amp;1836</t>
  </si>
  <si>
    <t>Almonte Feeder Electronic Protective Relays</t>
  </si>
  <si>
    <t>Cable Replacement Sub 4 - Pembroke</t>
  </si>
  <si>
    <t>Replace Buss Duct @ Sub 6 - Pembroke</t>
  </si>
  <si>
    <t>New UltraMar - Pembroke</t>
  </si>
  <si>
    <t>Upgrade Conductor Boundary Rd East - Pembroke</t>
  </si>
  <si>
    <t>Wind Storm</t>
  </si>
  <si>
    <t>Roger's Telecommunications Towers</t>
  </si>
  <si>
    <t>Service Area and Board Room Upgrade</t>
  </si>
  <si>
    <t>Transformers</t>
  </si>
  <si>
    <t>Office Equipment</t>
  </si>
  <si>
    <t>Computer Hardware</t>
  </si>
  <si>
    <t>Computer Software</t>
  </si>
  <si>
    <t>Engine Repair on 2 Large Trucks</t>
  </si>
  <si>
    <t>Small Tools</t>
  </si>
  <si>
    <t>Communication Equipment</t>
  </si>
  <si>
    <t>Testing Equipment</t>
  </si>
  <si>
    <t>Pole Condition Assessment</t>
  </si>
  <si>
    <t>Martin St. S.Betterment - Almonte</t>
  </si>
  <si>
    <t>Martin St. N. Betterment - Almonte</t>
  </si>
  <si>
    <t>Almonte Sub 2 Upgrades</t>
  </si>
  <si>
    <t>Lake St. Apts - Pembroke</t>
  </si>
  <si>
    <t>Porecelan Switch Upgrade</t>
  </si>
  <si>
    <t>Paul Martin Drive Pole Replacement</t>
  </si>
  <si>
    <t>Pole Upgrade Boundary Rd East Pembroke</t>
  </si>
  <si>
    <t>0027  &amp; 1874</t>
  </si>
  <si>
    <t>1846 &amp; 1878</t>
  </si>
  <si>
    <t>Replace 3 Transformer Pad with new USI Pad and Base</t>
  </si>
  <si>
    <t>Replace Insulator on Switches at Sub 1 Pembroke</t>
  </si>
  <si>
    <t>Substation 6 Groundgrid - Pembroke</t>
  </si>
  <si>
    <t>Chasis for new Bucket Truck</t>
  </si>
  <si>
    <t>Trailer</t>
  </si>
  <si>
    <t xml:space="preserve">Office Furniture </t>
  </si>
  <si>
    <t>Front Door &amp; Step</t>
  </si>
  <si>
    <t>Safety Handrails on Steps</t>
  </si>
  <si>
    <t>Service &amp; Board Room Completion</t>
  </si>
  <si>
    <t>Front Office Painting and Flooring</t>
  </si>
  <si>
    <t>Agnes St. Upgarde - Pembroke</t>
  </si>
  <si>
    <t>Asset Management</t>
  </si>
  <si>
    <t>Minor Capital Betterments</t>
  </si>
  <si>
    <t>Martin St. South Betterment</t>
  </si>
  <si>
    <t>Almonte MS #2 Upgrades</t>
  </si>
  <si>
    <t xml:space="preserve">Replace Poles on Angus Campbell </t>
  </si>
  <si>
    <t>Bell Pole Replacement Boundary Road</t>
  </si>
  <si>
    <t>Boundary Road 44 KV Upgrade</t>
  </si>
  <si>
    <t>28 Industrial Drive Almonte</t>
  </si>
  <si>
    <t>Beachburg Road Pole &amp; Secondary Upgrade</t>
  </si>
  <si>
    <t>Carrs St. Development Alm</t>
  </si>
  <si>
    <t>Martin St. North Pole Replacement</t>
  </si>
  <si>
    <t>Ottawa St. Upgrade - Alm</t>
  </si>
  <si>
    <t>Riverfront Phase 4 Development - Alm</t>
  </si>
  <si>
    <t>Install Sectionalizer on Ottawa St.</t>
  </si>
  <si>
    <t>Replace Transformer at Pembroke Mall</t>
  </si>
  <si>
    <t>Replace Secondary</t>
  </si>
  <si>
    <t>Tri-Services Holding</t>
  </si>
  <si>
    <t>Underground Upgrades - Upper Valley Drive</t>
  </si>
  <si>
    <t>SRB Technologies</t>
  </si>
  <si>
    <t>MIFRS</t>
  </si>
  <si>
    <t>MS 1 Almonte - Scada</t>
  </si>
  <si>
    <t>Upgrade 10 Spans Secondary</t>
  </si>
  <si>
    <t>Upgrade Poles at Substation 4</t>
  </si>
  <si>
    <t>1920 &amp; 1991</t>
  </si>
  <si>
    <t>Pole Upgrade 542 &amp; 554 Miller St</t>
  </si>
  <si>
    <t>City of Pembroke - New Fire Hall</t>
  </si>
  <si>
    <t>Substation 4 Pembroke - Feeder 4-1 Rebuild</t>
  </si>
  <si>
    <t>Substation 2 - Replace Roof</t>
  </si>
  <si>
    <t>Substation 6 Land</t>
  </si>
  <si>
    <t>Minor Building Upgrades</t>
  </si>
  <si>
    <t>Bucket Truck</t>
  </si>
  <si>
    <t>Backhoe Engine Repair</t>
  </si>
  <si>
    <t>Miscellaneous Tools</t>
  </si>
  <si>
    <t>Meters</t>
  </si>
  <si>
    <t>Substation 2 Almonte - Upgrades</t>
  </si>
  <si>
    <t>Substation 3 Almonte - Upgrades</t>
  </si>
  <si>
    <t>Pembroke Place Condo</t>
  </si>
  <si>
    <t>O'Brien St Pemb-replace direct buried u/g cable</t>
  </si>
  <si>
    <t>Euphemia St. Almonte Upgrade</t>
  </si>
  <si>
    <t>Almonte Substation 4 New Build</t>
  </si>
  <si>
    <t>Shepherd St. Almonte Upgrade</t>
  </si>
  <si>
    <t>Voltage Conversion Feeder 1-3</t>
  </si>
  <si>
    <t>City of Pembroke New Fire Hall</t>
  </si>
  <si>
    <t>Install New Tie Line Horace St</t>
  </si>
  <si>
    <t>Voltage Conversion Feeder 1-4</t>
  </si>
  <si>
    <t>Voltage Conversion Feeder 3-2</t>
  </si>
  <si>
    <t>Orchardview Townhomes</t>
  </si>
  <si>
    <t>Pole Upgrade 415 Pembroke St. E.</t>
  </si>
  <si>
    <t>Patricia St. Townhomes - Pembroke</t>
  </si>
  <si>
    <t>Voltage Conversion Feeder 3-1</t>
  </si>
  <si>
    <t>Pole Replacement 2 Bennett St. Pembroke</t>
  </si>
  <si>
    <t>Industrial Drive</t>
  </si>
  <si>
    <t>Upgrade Primary - 375 Country St. - Almonte</t>
  </si>
  <si>
    <t>Beachburg Road Upgrade</t>
  </si>
  <si>
    <t>Replace U/G Riser @ 315 Pembroke St. E</t>
  </si>
  <si>
    <t>Riverfront Phase 5</t>
  </si>
  <si>
    <t>Upgrade Station Insulators</t>
  </si>
  <si>
    <t>Voltage Conversion Feeder 1-2</t>
  </si>
  <si>
    <t>Replace Pole 272 Pembroke St. E</t>
  </si>
  <si>
    <t>Install Sectionalizer on Ottawa St. Almonte</t>
  </si>
  <si>
    <t>Replace Bank Pole Pembroke St</t>
  </si>
  <si>
    <t>Replace Pole Miller &amp; Munro - Pembroke</t>
  </si>
  <si>
    <t>xxx &amp; 2036</t>
  </si>
  <si>
    <t>City of Pembroke Lift Station</t>
  </si>
  <si>
    <t>xxxx &amp; 2049</t>
  </si>
  <si>
    <t>Voltage Conversion Feeder 3-4</t>
  </si>
  <si>
    <t>xxxx &amp; 2085</t>
  </si>
  <si>
    <t>Almonte Scada</t>
  </si>
  <si>
    <t>Garage Bay Ventional Fan</t>
  </si>
  <si>
    <t>Purchase of Land for Sub 4</t>
  </si>
  <si>
    <t>Transportation Equipment</t>
  </si>
  <si>
    <t>Scada</t>
  </si>
  <si>
    <t>Scattered Residential Pembroke</t>
  </si>
  <si>
    <t>Scattered Residential Almonte</t>
  </si>
  <si>
    <t>Scattered Residential Beachburg</t>
  </si>
  <si>
    <t>Commercial</t>
  </si>
  <si>
    <t>Voltage Conversion - Sub 3</t>
  </si>
  <si>
    <t>Substation 4 Build - Almonte</t>
  </si>
  <si>
    <t>Voltage Conversion - Sub 1</t>
  </si>
  <si>
    <t>Scattered Pole Replacements - Pembroke</t>
  </si>
  <si>
    <t>Scattered Pole Replacements - Almonte</t>
  </si>
  <si>
    <t>Almonte Garage Upgades</t>
  </si>
  <si>
    <t>General Office Equipment</t>
  </si>
  <si>
    <t>RBD Truck</t>
  </si>
  <si>
    <t>Voltage Conversion - Feeder 1-1</t>
  </si>
  <si>
    <t>Voltage Conversion - Feeder 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</si>
</sst>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-\$* #,##0.00_-;&quot;-$&quot;* #,##0.00_-;_-\$* \-??_-;_-@_-"/>
    <numFmt numFmtId="166" formatCode="&quot;$&quot;#,##0"/>
    <numFmt numFmtId="167" formatCode="_(&quot;$&quot;* #,##0_);_(&quot;$&quot;* \(#,##0\);_(&quot;$&quot;* &quot;-&quot;??_);_(@_)"/>
    <numFmt numFmtId="168" formatCode="_(* #,##0_);_(* \(#,##0\);_(* &quot;-&quot;??_);_(@_)"/>
  </numFmts>
  <fonts count="1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  <charset val="1"/>
    </font>
    <font>
      <sz val="10"/>
      <name val="Mang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5" fontId="3" fillId="0" borderId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5" fillId="0" borderId="0" xfId="0" applyFont="1" applyFill="1" applyAlignment="1">
      <alignment horizontal="center"/>
    </xf>
    <xf numFmtId="0" fontId="5" fillId="0" borderId="0" xfId="0" applyFont="1" applyFill="1"/>
    <xf numFmtId="167" fontId="6" fillId="0" borderId="0" xfId="0" applyNumberFormat="1" applyFont="1" applyFill="1"/>
    <xf numFmtId="0" fontId="6" fillId="0" borderId="0" xfId="0" applyFont="1"/>
    <xf numFmtId="0" fontId="7" fillId="0" borderId="4" xfId="3" quotePrefix="1" applyFont="1" applyFill="1" applyBorder="1" applyAlignment="1">
      <alignment horizontal="center"/>
    </xf>
    <xf numFmtId="0" fontId="7" fillId="0" borderId="5" xfId="3" applyFont="1" applyFill="1" applyBorder="1"/>
    <xf numFmtId="167" fontId="8" fillId="0" borderId="5" xfId="3" applyNumberFormat="1" applyFont="1" applyFill="1" applyBorder="1"/>
    <xf numFmtId="167" fontId="8" fillId="0" borderId="5" xfId="4" applyNumberFormat="1" applyFont="1" applyFill="1" applyBorder="1" applyAlignment="1" applyProtection="1"/>
    <xf numFmtId="167" fontId="8" fillId="0" borderId="6" xfId="4" applyNumberFormat="1" applyFont="1" applyFill="1" applyBorder="1" applyAlignment="1" applyProtection="1"/>
    <xf numFmtId="0" fontId="7" fillId="0" borderId="4" xfId="3" applyFont="1" applyFill="1" applyBorder="1" applyAlignment="1">
      <alignment horizontal="center"/>
    </xf>
    <xf numFmtId="167" fontId="7" fillId="0" borderId="5" xfId="3" applyNumberFormat="1" applyFont="1" applyFill="1" applyBorder="1"/>
    <xf numFmtId="0" fontId="9" fillId="0" borderId="7" xfId="3" applyFont="1" applyFill="1" applyBorder="1" applyAlignment="1">
      <alignment horizontal="center"/>
    </xf>
    <xf numFmtId="0" fontId="9" fillId="0" borderId="8" xfId="3" applyFont="1" applyFill="1" applyBorder="1"/>
    <xf numFmtId="167" fontId="10" fillId="0" borderId="8" xfId="3" applyNumberFormat="1" applyFont="1" applyFill="1" applyBorder="1"/>
    <xf numFmtId="0" fontId="9" fillId="0" borderId="0" xfId="3" applyFont="1" applyFill="1" applyBorder="1" applyAlignment="1">
      <alignment horizontal="center"/>
    </xf>
    <xf numFmtId="0" fontId="9" fillId="0" borderId="0" xfId="3" applyFont="1" applyFill="1" applyBorder="1"/>
    <xf numFmtId="3" fontId="10" fillId="0" borderId="0" xfId="3" applyNumberFormat="1" applyFont="1" applyFill="1" applyBorder="1"/>
    <xf numFmtId="0" fontId="7" fillId="0" borderId="0" xfId="3" applyFont="1" applyFill="1" applyBorder="1" applyAlignment="1">
      <alignment horizontal="center"/>
    </xf>
    <xf numFmtId="0" fontId="7" fillId="0" borderId="0" xfId="3" applyFont="1" applyFill="1" applyBorder="1"/>
    <xf numFmtId="0" fontId="9" fillId="0" borderId="1" xfId="3" applyFont="1" applyFill="1" applyBorder="1" applyAlignment="1">
      <alignment horizontal="center" wrapText="1"/>
    </xf>
    <xf numFmtId="0" fontId="9" fillId="0" borderId="2" xfId="3" applyFont="1" applyFill="1" applyBorder="1" applyAlignment="1">
      <alignment wrapText="1"/>
    </xf>
    <xf numFmtId="1" fontId="9" fillId="0" borderId="5" xfId="0" applyNumberFormat="1" applyFont="1" applyFill="1" applyBorder="1" applyAlignment="1">
      <alignment horizontal="center"/>
    </xf>
    <xf numFmtId="1" fontId="9" fillId="0" borderId="6" xfId="0" applyNumberFormat="1" applyFont="1" applyFill="1" applyBorder="1" applyAlignment="1">
      <alignment horizontal="center"/>
    </xf>
    <xf numFmtId="167" fontId="8" fillId="0" borderId="5" xfId="2" applyNumberFormat="1" applyFont="1" applyFill="1" applyBorder="1"/>
    <xf numFmtId="167" fontId="8" fillId="0" borderId="5" xfId="2" applyNumberFormat="1" applyFont="1" applyFill="1" applyBorder="1" applyAlignment="1" applyProtection="1"/>
    <xf numFmtId="3" fontId="8" fillId="0" borderId="5" xfId="4" applyNumberFormat="1" applyFont="1" applyFill="1" applyBorder="1" applyAlignment="1" applyProtection="1"/>
    <xf numFmtId="166" fontId="8" fillId="0" borderId="5" xfId="4" applyNumberFormat="1" applyFont="1" applyFill="1" applyBorder="1" applyAlignment="1" applyProtection="1"/>
    <xf numFmtId="166" fontId="8" fillId="0" borderId="6" xfId="4" applyNumberFormat="1" applyFont="1" applyFill="1" applyBorder="1" applyAlignment="1" applyProtection="1"/>
    <xf numFmtId="166" fontId="8" fillId="0" borderId="5" xfId="4" quotePrefix="1" applyNumberFormat="1" applyFont="1" applyFill="1" applyBorder="1" applyAlignment="1" applyProtection="1"/>
    <xf numFmtId="0" fontId="9" fillId="0" borderId="4" xfId="3" applyFont="1" applyFill="1" applyBorder="1" applyAlignment="1">
      <alignment horizontal="center"/>
    </xf>
    <xf numFmtId="0" fontId="9" fillId="0" borderId="5" xfId="3" applyFont="1" applyFill="1" applyBorder="1"/>
    <xf numFmtId="3" fontId="10" fillId="0" borderId="5" xfId="3" applyNumberFormat="1" applyFont="1" applyFill="1" applyBorder="1"/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/>
    <xf numFmtId="0" fontId="7" fillId="0" borderId="6" xfId="0" applyFont="1" applyFill="1" applyBorder="1"/>
    <xf numFmtId="0" fontId="9" fillId="0" borderId="1" xfId="3" applyFont="1" applyFill="1" applyBorder="1" applyAlignment="1">
      <alignment horizontal="center"/>
    </xf>
    <xf numFmtId="0" fontId="9" fillId="0" borderId="2" xfId="3" applyFont="1" applyFill="1" applyBorder="1"/>
    <xf numFmtId="164" fontId="9" fillId="0" borderId="2" xfId="0" applyNumberFormat="1" applyFon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center"/>
    </xf>
    <xf numFmtId="0" fontId="1" fillId="0" borderId="0" xfId="0" applyFont="1"/>
    <xf numFmtId="167" fontId="9" fillId="0" borderId="5" xfId="3" applyNumberFormat="1" applyFont="1" applyFill="1" applyBorder="1" applyAlignment="1">
      <alignment horizontal="center"/>
    </xf>
    <xf numFmtId="167" fontId="9" fillId="0" borderId="6" xfId="3" applyNumberFormat="1" applyFont="1" applyFill="1" applyBorder="1" applyAlignment="1">
      <alignment horizontal="center"/>
    </xf>
    <xf numFmtId="3" fontId="7" fillId="0" borderId="4" xfId="3" applyNumberFormat="1" applyFont="1" applyFill="1" applyBorder="1" applyAlignment="1">
      <alignment horizontal="center"/>
    </xf>
    <xf numFmtId="167" fontId="8" fillId="2" borderId="6" xfId="4" applyNumberFormat="1" applyFont="1" applyFill="1" applyBorder="1" applyAlignment="1" applyProtection="1"/>
    <xf numFmtId="166" fontId="8" fillId="2" borderId="6" xfId="4" applyNumberFormat="1" applyFont="1" applyFill="1" applyBorder="1" applyAlignment="1" applyProtection="1"/>
    <xf numFmtId="44" fontId="6" fillId="0" borderId="0" xfId="0" applyNumberFormat="1" applyFont="1"/>
    <xf numFmtId="167" fontId="8" fillId="0" borderId="5" xfId="2" quotePrefix="1" applyNumberFormat="1" applyFont="1" applyFill="1" applyBorder="1" applyAlignment="1" applyProtection="1"/>
    <xf numFmtId="3" fontId="6" fillId="0" borderId="0" xfId="0" applyNumberFormat="1" applyFont="1"/>
    <xf numFmtId="3" fontId="10" fillId="2" borderId="8" xfId="3" applyNumberFormat="1" applyFont="1" applyFill="1" applyBorder="1"/>
    <xf numFmtId="168" fontId="6" fillId="0" borderId="0" xfId="1" applyNumberFormat="1" applyFont="1"/>
    <xf numFmtId="3" fontId="0" fillId="0" borderId="0" xfId="0" applyNumberFormat="1"/>
    <xf numFmtId="4" fontId="6" fillId="0" borderId="0" xfId="0" applyNumberFormat="1" applyFont="1"/>
    <xf numFmtId="3" fontId="10" fillId="0" borderId="6" xfId="3" applyNumberFormat="1" applyFont="1" applyFill="1" applyBorder="1"/>
    <xf numFmtId="3" fontId="10" fillId="2" borderId="6" xfId="3" applyNumberFormat="1" applyFont="1" applyFill="1" applyBorder="1"/>
    <xf numFmtId="167" fontId="0" fillId="0" borderId="0" xfId="0" applyNumberFormat="1"/>
    <xf numFmtId="0" fontId="7" fillId="0" borderId="9" xfId="3" applyFont="1" applyFill="1" applyBorder="1"/>
    <xf numFmtId="1" fontId="9" fillId="0" borderId="10" xfId="0" applyNumberFormat="1" applyFont="1" applyFill="1" applyBorder="1" applyAlignment="1">
      <alignment horizontal="center"/>
    </xf>
    <xf numFmtId="167" fontId="9" fillId="0" borderId="10" xfId="3" applyNumberFormat="1" applyFont="1" applyFill="1" applyBorder="1" applyAlignment="1">
      <alignment horizontal="center"/>
    </xf>
    <xf numFmtId="167" fontId="8" fillId="0" borderId="10" xfId="4" applyNumberFormat="1" applyFont="1" applyFill="1" applyBorder="1" applyAlignment="1" applyProtection="1"/>
    <xf numFmtId="166" fontId="8" fillId="0" borderId="10" xfId="4" applyNumberFormat="1" applyFont="1" applyFill="1" applyBorder="1" applyAlignment="1" applyProtection="1"/>
    <xf numFmtId="166" fontId="8" fillId="0" borderId="10" xfId="4" quotePrefix="1" applyNumberFormat="1" applyFont="1" applyFill="1" applyBorder="1" applyAlignment="1" applyProtection="1"/>
    <xf numFmtId="0" fontId="7" fillId="0" borderId="10" xfId="0" applyFont="1" applyFill="1" applyBorder="1"/>
    <xf numFmtId="0" fontId="6" fillId="0" borderId="0" xfId="0" applyFont="1" applyFill="1"/>
    <xf numFmtId="44" fontId="6" fillId="0" borderId="0" xfId="0" applyNumberFormat="1" applyFont="1" applyFill="1"/>
    <xf numFmtId="3" fontId="6" fillId="0" borderId="0" xfId="0" applyNumberFormat="1" applyFont="1" applyFill="1"/>
    <xf numFmtId="0" fontId="0" fillId="0" borderId="0" xfId="0" applyFill="1"/>
    <xf numFmtId="167" fontId="8" fillId="3" borderId="6" xfId="4" applyNumberFormat="1" applyFont="1" applyFill="1" applyBorder="1" applyAlignment="1" applyProtection="1"/>
    <xf numFmtId="166" fontId="8" fillId="3" borderId="6" xfId="4" applyNumberFormat="1" applyFont="1" applyFill="1" applyBorder="1" applyAlignment="1" applyProtection="1"/>
    <xf numFmtId="167" fontId="8" fillId="0" borderId="0" xfId="4" applyNumberFormat="1" applyFont="1" applyFill="1" applyBorder="1" applyAlignment="1" applyProtection="1"/>
    <xf numFmtId="167" fontId="6" fillId="0" borderId="5" xfId="0" applyNumberFormat="1" applyFont="1" applyFill="1" applyBorder="1"/>
    <xf numFmtId="0" fontId="9" fillId="0" borderId="11" xfId="3" applyFont="1" applyFill="1" applyBorder="1" applyAlignment="1">
      <alignment horizontal="center" wrapText="1"/>
    </xf>
    <xf numFmtId="0" fontId="7" fillId="0" borderId="12" xfId="3" quotePrefix="1" applyFont="1" applyFill="1" applyBorder="1" applyAlignment="1">
      <alignment horizontal="center"/>
    </xf>
    <xf numFmtId="0" fontId="7" fillId="0" borderId="12" xfId="3" applyFont="1" applyFill="1" applyBorder="1" applyAlignment="1">
      <alignment horizontal="center"/>
    </xf>
    <xf numFmtId="0" fontId="9" fillId="0" borderId="13" xfId="3" applyFont="1" applyFill="1" applyBorder="1" applyAlignment="1">
      <alignment horizontal="center"/>
    </xf>
    <xf numFmtId="0" fontId="9" fillId="0" borderId="1" xfId="3" applyFont="1" applyFill="1" applyBorder="1" applyAlignment="1">
      <alignment wrapText="1"/>
    </xf>
    <xf numFmtId="1" fontId="9" fillId="0" borderId="2" xfId="0" applyNumberFormat="1" applyFont="1" applyFill="1" applyBorder="1" applyAlignment="1">
      <alignment horizontal="center"/>
    </xf>
    <xf numFmtId="1" fontId="9" fillId="0" borderId="3" xfId="0" applyNumberFormat="1" applyFont="1" applyFill="1" applyBorder="1" applyAlignment="1">
      <alignment horizontal="center"/>
    </xf>
    <xf numFmtId="0" fontId="7" fillId="0" borderId="4" xfId="3" applyFont="1" applyFill="1" applyBorder="1"/>
    <xf numFmtId="0" fontId="9" fillId="0" borderId="7" xfId="3" applyFont="1" applyFill="1" applyBorder="1"/>
    <xf numFmtId="167" fontId="10" fillId="0" borderId="14" xfId="3" applyNumberFormat="1" applyFont="1" applyFill="1" applyBorder="1"/>
    <xf numFmtId="3" fontId="10" fillId="0" borderId="14" xfId="3" applyNumberFormat="1" applyFont="1" applyFill="1" applyBorder="1"/>
    <xf numFmtId="1" fontId="9" fillId="0" borderId="15" xfId="0" applyNumberFormat="1" applyFont="1" applyFill="1" applyBorder="1" applyAlignment="1">
      <alignment horizontal="center"/>
    </xf>
    <xf numFmtId="167" fontId="6" fillId="0" borderId="0" xfId="0" applyNumberFormat="1" applyFont="1" applyFill="1" applyBorder="1"/>
    <xf numFmtId="9" fontId="10" fillId="0" borderId="0" xfId="5" applyFont="1" applyFill="1" applyBorder="1"/>
    <xf numFmtId="167" fontId="10" fillId="0" borderId="6" xfId="2" applyNumberFormat="1" applyFont="1" applyFill="1" applyBorder="1"/>
    <xf numFmtId="0" fontId="4" fillId="0" borderId="0" xfId="3" applyFont="1" applyFill="1" applyBorder="1" applyAlignment="1">
      <alignment horizontal="center" vertical="top"/>
    </xf>
  </cellXfs>
  <cellStyles count="6">
    <cellStyle name="Comma" xfId="1" builtinId="3"/>
    <cellStyle name="Currency" xfId="2" builtinId="4"/>
    <cellStyle name="Currency 5" xfId="4"/>
    <cellStyle name="Normal" xfId="0" builtinId="0"/>
    <cellStyle name="Normal 8" xfId="3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ilkinson/Documents/YearEnd%202017/Copy%20of%202017%20-%20Leadshee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7%20Projects%20from%20InfoExplor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 Entries"/>
      <sheetName val="Journal Entries (2)"/>
      <sheetName val="Journal Entries (3)"/>
      <sheetName val="Journal Entries (4)"/>
      <sheetName val="Journal Entries (5)"/>
      <sheetName val="Journal Entries (6)"/>
      <sheetName val="Journal Entries (7)"/>
      <sheetName val="Journal Entries (8)"/>
      <sheetName val="Journal Entries (9)"/>
      <sheetName val="A"/>
      <sheetName val="A1"/>
      <sheetName val="A2"/>
      <sheetName val="A3"/>
      <sheetName val="A4"/>
      <sheetName val="C"/>
      <sheetName val="C1"/>
      <sheetName val="C2"/>
      <sheetName val="C3"/>
      <sheetName val="C4"/>
      <sheetName val="C5"/>
      <sheetName val="C6"/>
      <sheetName val="C7"/>
      <sheetName val="C8"/>
      <sheetName val="C9"/>
      <sheetName val="QQ"/>
      <sheetName val="QQ1"/>
      <sheetName val="QQ2"/>
      <sheetName val="QQ2-1"/>
      <sheetName val="QQ2-2"/>
      <sheetName val="QQ2-3"/>
      <sheetName val="QQ2-4"/>
      <sheetName val="D"/>
      <sheetName val="D1"/>
      <sheetName val="D1-1"/>
      <sheetName val="D2"/>
      <sheetName val="D2-1"/>
      <sheetName val="D2-2"/>
      <sheetName val="D3"/>
      <sheetName val="D3-1"/>
      <sheetName val="D3-2"/>
      <sheetName val="D4"/>
      <sheetName val="L"/>
      <sheetName val="L1"/>
      <sheetName val="L1-1"/>
      <sheetName val="DD"/>
      <sheetName val="DD1"/>
      <sheetName val="J"/>
      <sheetName val="V"/>
      <sheetName val="V2"/>
      <sheetName val="V3"/>
      <sheetName val="V4"/>
      <sheetName val="V5"/>
      <sheetName val="V6"/>
      <sheetName val="V7"/>
      <sheetName val="V8"/>
      <sheetName val="V9"/>
      <sheetName val="V10"/>
      <sheetName val="V11"/>
      <sheetName val="V12"/>
      <sheetName val="V13"/>
      <sheetName val="U1"/>
      <sheetName val="U1-1"/>
      <sheetName val="U1-2"/>
      <sheetName val="U1-3"/>
      <sheetName val="U1-4"/>
      <sheetName val="U1-5"/>
      <sheetName val="U1-6"/>
      <sheetName val="U1-7"/>
      <sheetName val="U1-8"/>
      <sheetName val="U1-9"/>
      <sheetName val="U1-10"/>
      <sheetName val="U1-11"/>
      <sheetName val="U1-12"/>
      <sheetName val="U1-13"/>
      <sheetName val="U1-14"/>
      <sheetName val="U1-15"/>
      <sheetName val="U1-16"/>
      <sheetName val="U1-17"/>
      <sheetName val="U1-18"/>
      <sheetName val="U1-19"/>
      <sheetName val="U1-20"/>
      <sheetName val="U1-21"/>
      <sheetName val="U1-22"/>
      <sheetName val="U1-23"/>
      <sheetName val="U1-24"/>
      <sheetName val="U1-25"/>
      <sheetName val="U1-26"/>
      <sheetName val="U1-27"/>
      <sheetName val="U1-28"/>
      <sheetName val="U1-29"/>
      <sheetName val="U1-30"/>
      <sheetName val="U1-31"/>
      <sheetName val="U1-32"/>
      <sheetName val="U1-33"/>
      <sheetName val="U1-34"/>
      <sheetName val="U1-35"/>
      <sheetName val="U1-36"/>
      <sheetName val="U1-37"/>
      <sheetName val="CC"/>
      <sheetName val="CC1"/>
      <sheetName val="CC1-1"/>
      <sheetName val="CC1-2"/>
      <sheetName val="CC1-3"/>
      <sheetName val="CC2"/>
      <sheetName val="CC2-1"/>
      <sheetName val="CC3"/>
      <sheetName val="CC4"/>
      <sheetName val="CC4-1"/>
      <sheetName val="CC4-2"/>
      <sheetName val="CC4-3"/>
      <sheetName val="CC5"/>
      <sheetName val="CC5-1"/>
      <sheetName val="CC5-2"/>
      <sheetName val="CC6"/>
      <sheetName val="CC7"/>
      <sheetName val="CC8"/>
      <sheetName val="CC8-1"/>
      <sheetName val="CC9"/>
      <sheetName val="FF"/>
      <sheetName val="FF1"/>
      <sheetName val="KK"/>
      <sheetName val="KK1"/>
      <sheetName val="KK1-1"/>
      <sheetName val="KK2"/>
      <sheetName val="KK2-1"/>
      <sheetName val="NN"/>
      <sheetName val="OO"/>
      <sheetName val="RR"/>
      <sheetName val="SS"/>
      <sheetName val="SS1"/>
      <sheetName val="SS1-1"/>
      <sheetName val="SS1-2"/>
      <sheetName val="SS1-3"/>
      <sheetName val="SS1-4"/>
      <sheetName val="LL"/>
      <sheetName val="LL1"/>
      <sheetName val="LL2"/>
      <sheetName val="LL3"/>
      <sheetName val="LL4"/>
      <sheetName val="PR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39">
          <cell r="F39">
            <v>46986.49</v>
          </cell>
        </row>
        <row r="42">
          <cell r="F42">
            <v>93866.84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1">
          <cell r="C21">
            <v>1699.13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"/>
  <sheetViews>
    <sheetView tabSelected="1" workbookViewId="0">
      <selection activeCell="B24" sqref="B24"/>
    </sheetView>
  </sheetViews>
  <sheetFormatPr defaultRowHeight="15"/>
  <cols>
    <col min="1" max="1" width="26.28515625" bestFit="1" customWidth="1"/>
    <col min="2" max="2" width="50.42578125" customWidth="1"/>
    <col min="3" max="4" width="10.5703125" bestFit="1" customWidth="1"/>
    <col min="5" max="5" width="9.42578125" bestFit="1" customWidth="1"/>
    <col min="6" max="6" width="10.85546875" customWidth="1"/>
    <col min="7" max="7" width="9.42578125" bestFit="1" customWidth="1"/>
    <col min="8" max="8" width="9.5703125" bestFit="1" customWidth="1"/>
    <col min="9" max="9" width="10.7109375" customWidth="1"/>
    <col min="10" max="10" width="9.42578125" bestFit="1" customWidth="1"/>
    <col min="11" max="11" width="11.5703125" bestFit="1" customWidth="1"/>
    <col min="12" max="12" width="10.5703125" bestFit="1" customWidth="1"/>
    <col min="13" max="15" width="11.5703125" bestFit="1" customWidth="1"/>
    <col min="16" max="18" width="9.42578125" bestFit="1" customWidth="1"/>
    <col min="19" max="19" width="12.5703125" bestFit="1" customWidth="1"/>
  </cols>
  <sheetData>
    <row r="1" spans="1:21" ht="18.7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21" ht="18.75">
      <c r="A2" s="86">
        <v>2015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21" ht="15.75" thickBo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1">
      <c r="A4" s="36" t="s">
        <v>1</v>
      </c>
      <c r="B4" s="37" t="s">
        <v>1</v>
      </c>
      <c r="C4" s="38" t="s">
        <v>102</v>
      </c>
      <c r="D4" s="38" t="s">
        <v>102</v>
      </c>
      <c r="E4" s="38" t="s">
        <v>102</v>
      </c>
      <c r="F4" s="38" t="s">
        <v>102</v>
      </c>
      <c r="G4" s="38" t="s">
        <v>102</v>
      </c>
      <c r="H4" s="38" t="s">
        <v>102</v>
      </c>
      <c r="I4" s="38" t="s">
        <v>102</v>
      </c>
      <c r="J4" s="38" t="s">
        <v>102</v>
      </c>
      <c r="K4" s="38" t="s">
        <v>102</v>
      </c>
      <c r="L4" s="38" t="s">
        <v>102</v>
      </c>
      <c r="M4" s="38" t="s">
        <v>102</v>
      </c>
      <c r="N4" s="38" t="s">
        <v>102</v>
      </c>
      <c r="O4" s="38" t="s">
        <v>102</v>
      </c>
      <c r="P4" s="38" t="s">
        <v>102</v>
      </c>
      <c r="Q4" s="38" t="s">
        <v>102</v>
      </c>
      <c r="R4" s="38" t="s">
        <v>102</v>
      </c>
      <c r="S4" s="38" t="s">
        <v>102</v>
      </c>
      <c r="T4" s="40"/>
      <c r="U4" s="40"/>
    </row>
    <row r="5" spans="1:21">
      <c r="A5" s="30" t="s">
        <v>2</v>
      </c>
      <c r="B5" s="31" t="s">
        <v>2</v>
      </c>
      <c r="C5" s="22">
        <v>1830</v>
      </c>
      <c r="D5" s="22">
        <v>1835</v>
      </c>
      <c r="E5" s="22">
        <v>1840</v>
      </c>
      <c r="F5" s="22">
        <v>1845</v>
      </c>
      <c r="G5" s="22">
        <v>1850</v>
      </c>
      <c r="H5" s="22">
        <v>1855</v>
      </c>
      <c r="I5" s="22">
        <v>1820</v>
      </c>
      <c r="J5" s="22">
        <v>1860</v>
      </c>
      <c r="K5" s="22">
        <v>1808</v>
      </c>
      <c r="L5" s="22">
        <v>1915</v>
      </c>
      <c r="M5" s="22">
        <v>1920</v>
      </c>
      <c r="N5" s="22">
        <v>1925</v>
      </c>
      <c r="O5" s="22">
        <v>1930</v>
      </c>
      <c r="P5" s="22">
        <v>1940</v>
      </c>
      <c r="Q5" s="22">
        <v>1955</v>
      </c>
      <c r="R5" s="22">
        <v>1945</v>
      </c>
      <c r="S5" s="23" t="s">
        <v>3</v>
      </c>
      <c r="T5" s="40"/>
      <c r="U5" s="40"/>
    </row>
    <row r="6" spans="1:21">
      <c r="A6" s="10"/>
      <c r="B6" s="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2"/>
      <c r="T6" s="40"/>
      <c r="U6" s="40"/>
    </row>
    <row r="7" spans="1:21">
      <c r="A7" s="30" t="s">
        <v>4</v>
      </c>
      <c r="B7" s="31" t="s">
        <v>4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9"/>
      <c r="T7" s="40"/>
      <c r="U7" s="40"/>
    </row>
    <row r="8" spans="1:21">
      <c r="A8" s="10">
        <v>1800</v>
      </c>
      <c r="B8" s="6" t="s">
        <v>35</v>
      </c>
      <c r="C8" s="7"/>
      <c r="D8" s="8"/>
      <c r="E8" s="8"/>
      <c r="F8" s="8">
        <v>91994.53</v>
      </c>
      <c r="G8" s="8">
        <v>36691.120000000003</v>
      </c>
      <c r="H8" s="8">
        <v>29693.119999999999</v>
      </c>
      <c r="I8" s="8"/>
      <c r="J8" s="8">
        <v>870.53</v>
      </c>
      <c r="K8" s="8"/>
      <c r="L8" s="8"/>
      <c r="M8" s="8"/>
      <c r="N8" s="8"/>
      <c r="O8" s="8"/>
      <c r="P8" s="8"/>
      <c r="Q8" s="8"/>
      <c r="R8" s="8"/>
      <c r="S8" s="44">
        <f t="shared" ref="S8:S18" si="0">SUM(C8:R8)</f>
        <v>159249.29999999999</v>
      </c>
      <c r="T8" s="40"/>
      <c r="U8" s="40"/>
    </row>
    <row r="9" spans="1:21">
      <c r="A9" s="5" t="s">
        <v>5</v>
      </c>
      <c r="B9" s="6" t="s">
        <v>41</v>
      </c>
      <c r="C9" s="7"/>
      <c r="D9" s="8"/>
      <c r="E9" s="8"/>
      <c r="F9" s="8"/>
      <c r="G9" s="8"/>
      <c r="H9" s="8">
        <v>43038</v>
      </c>
      <c r="I9" s="8"/>
      <c r="J9" s="8">
        <v>4372.1400000000003</v>
      </c>
      <c r="K9" s="8"/>
      <c r="L9" s="8"/>
      <c r="M9" s="8"/>
      <c r="N9" s="8"/>
      <c r="O9" s="8"/>
      <c r="P9" s="8"/>
      <c r="Q9" s="8"/>
      <c r="R9" s="8"/>
      <c r="S9" s="44">
        <f t="shared" si="0"/>
        <v>47410.14</v>
      </c>
    </row>
    <row r="10" spans="1:21">
      <c r="A10" s="10">
        <v>1821</v>
      </c>
      <c r="B10" s="6" t="s">
        <v>43</v>
      </c>
      <c r="C10" s="7"/>
      <c r="D10" s="8"/>
      <c r="E10" s="8"/>
      <c r="F10" s="8">
        <v>22113.07</v>
      </c>
      <c r="G10" s="8">
        <v>629.20000000000005</v>
      </c>
      <c r="H10" s="8">
        <v>519.29999999999995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44">
        <f t="shared" si="0"/>
        <v>23261.57</v>
      </c>
    </row>
    <row r="11" spans="1:21">
      <c r="A11" s="10">
        <v>1738</v>
      </c>
      <c r="B11" s="6" t="s">
        <v>28</v>
      </c>
      <c r="C11" s="7"/>
      <c r="D11" s="8"/>
      <c r="E11" s="8">
        <v>750.4</v>
      </c>
      <c r="F11" s="8">
        <v>7948.42</v>
      </c>
      <c r="G11" s="8">
        <v>1225.02</v>
      </c>
      <c r="H11" s="8">
        <v>6977.61</v>
      </c>
      <c r="I11" s="8"/>
      <c r="J11" s="8">
        <v>63.94</v>
      </c>
      <c r="K11" s="8"/>
      <c r="L11" s="8"/>
      <c r="M11" s="8"/>
      <c r="N11" s="8"/>
      <c r="O11" s="8"/>
      <c r="P11" s="8"/>
      <c r="Q11" s="8"/>
      <c r="R11" s="8"/>
      <c r="S11" s="44">
        <f t="shared" si="0"/>
        <v>16965.39</v>
      </c>
    </row>
    <row r="12" spans="1:21">
      <c r="A12" s="10" t="s">
        <v>29</v>
      </c>
      <c r="B12" s="6" t="s">
        <v>19</v>
      </c>
      <c r="C12" s="7">
        <v>3833.48</v>
      </c>
      <c r="D12" s="8">
        <v>7398.55</v>
      </c>
      <c r="E12" s="8"/>
      <c r="F12" s="8"/>
      <c r="G12" s="8">
        <v>3796.79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44">
        <f t="shared" si="0"/>
        <v>15028.82</v>
      </c>
    </row>
    <row r="13" spans="1:21">
      <c r="A13" s="10">
        <v>1740</v>
      </c>
      <c r="B13" s="6" t="s">
        <v>30</v>
      </c>
      <c r="C13" s="7">
        <v>3522.08</v>
      </c>
      <c r="D13" s="8"/>
      <c r="E13" s="8"/>
      <c r="F13" s="8"/>
      <c r="G13" s="8">
        <v>3425.19</v>
      </c>
      <c r="H13" s="8">
        <v>1506.16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44">
        <f t="shared" si="0"/>
        <v>8453.43</v>
      </c>
    </row>
    <row r="14" spans="1:21">
      <c r="A14" s="43" t="s">
        <v>45</v>
      </c>
      <c r="B14" s="6" t="s">
        <v>44</v>
      </c>
      <c r="C14" s="7"/>
      <c r="D14" s="8">
        <v>1299.53</v>
      </c>
      <c r="E14" s="8"/>
      <c r="F14" s="8"/>
      <c r="G14" s="8">
        <v>540.04</v>
      </c>
      <c r="H14" s="8">
        <v>6398.33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44">
        <f t="shared" si="0"/>
        <v>8237.9</v>
      </c>
    </row>
    <row r="15" spans="1:21">
      <c r="A15" s="10">
        <v>1820</v>
      </c>
      <c r="B15" s="6" t="s">
        <v>42</v>
      </c>
      <c r="C15" s="7">
        <v>3840.49</v>
      </c>
      <c r="D15" s="8"/>
      <c r="E15" s="8"/>
      <c r="F15" s="8"/>
      <c r="G15" s="8">
        <v>1030.6600000000001</v>
      </c>
      <c r="H15" s="8"/>
      <c r="I15" s="8"/>
      <c r="J15" s="8">
        <v>1221.74</v>
      </c>
      <c r="K15" s="8"/>
      <c r="L15" s="8"/>
      <c r="M15" s="8"/>
      <c r="N15" s="8"/>
      <c r="O15" s="8"/>
      <c r="P15" s="8"/>
      <c r="Q15" s="8"/>
      <c r="R15" s="8"/>
      <c r="S15" s="44">
        <f t="shared" si="0"/>
        <v>6092.8899999999994</v>
      </c>
    </row>
    <row r="16" spans="1:21">
      <c r="A16" s="10">
        <v>1722</v>
      </c>
      <c r="B16" s="6" t="s">
        <v>31</v>
      </c>
      <c r="C16" s="7"/>
      <c r="D16" s="8"/>
      <c r="E16" s="8"/>
      <c r="F16" s="8"/>
      <c r="G16" s="8">
        <v>4458</v>
      </c>
      <c r="H16" s="8">
        <v>844.67</v>
      </c>
      <c r="I16" s="8"/>
      <c r="J16" s="8">
        <v>87.37</v>
      </c>
      <c r="K16" s="8"/>
      <c r="L16" s="8"/>
      <c r="M16" s="8"/>
      <c r="N16" s="8"/>
      <c r="O16" s="8"/>
      <c r="P16" s="8"/>
      <c r="Q16" s="8"/>
      <c r="R16" s="8"/>
      <c r="S16" s="44">
        <f t="shared" si="0"/>
        <v>5390.04</v>
      </c>
    </row>
    <row r="17" spans="1:21">
      <c r="A17" s="10">
        <v>1402</v>
      </c>
      <c r="B17" s="6" t="s">
        <v>18</v>
      </c>
      <c r="C17" s="7"/>
      <c r="D17" s="8">
        <v>124.36</v>
      </c>
      <c r="E17" s="8"/>
      <c r="F17" s="8"/>
      <c r="G17" s="8"/>
      <c r="H17" s="8">
        <v>4149.6099999999997</v>
      </c>
      <c r="I17" s="8"/>
      <c r="J17" s="8">
        <v>420.84</v>
      </c>
      <c r="K17" s="8"/>
      <c r="L17" s="8"/>
      <c r="M17" s="8"/>
      <c r="N17" s="8"/>
      <c r="O17" s="8"/>
      <c r="P17" s="8"/>
      <c r="Q17" s="8"/>
      <c r="R17" s="8"/>
      <c r="S17" s="44">
        <f t="shared" si="0"/>
        <v>4694.8099999999995</v>
      </c>
    </row>
    <row r="18" spans="1:21">
      <c r="A18" s="43">
        <v>1847</v>
      </c>
      <c r="B18" s="6" t="s">
        <v>49</v>
      </c>
      <c r="C18" s="7"/>
      <c r="D18" s="8"/>
      <c r="E18" s="8"/>
      <c r="F18" s="8"/>
      <c r="G18" s="8">
        <v>3538.94</v>
      </c>
      <c r="H18" s="8">
        <v>474.54</v>
      </c>
      <c r="I18" s="8"/>
      <c r="J18" s="8">
        <v>88</v>
      </c>
      <c r="K18" s="8"/>
      <c r="L18" s="8"/>
      <c r="M18" s="8"/>
      <c r="N18" s="8"/>
      <c r="O18" s="8"/>
      <c r="P18" s="8"/>
      <c r="Q18" s="8"/>
      <c r="R18" s="8"/>
      <c r="S18" s="44">
        <f t="shared" si="0"/>
        <v>4101.4799999999996</v>
      </c>
    </row>
    <row r="19" spans="1:21">
      <c r="A19" s="43"/>
      <c r="B19" s="6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9"/>
    </row>
    <row r="20" spans="1:21">
      <c r="A20" s="43"/>
      <c r="B20" s="6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9"/>
    </row>
    <row r="21" spans="1:21">
      <c r="A21" s="10"/>
      <c r="B21" s="6"/>
      <c r="C21" s="11"/>
      <c r="D21" s="11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9"/>
    </row>
    <row r="22" spans="1:21" ht="15.75" thickBot="1">
      <c r="A22" s="12" t="s">
        <v>7</v>
      </c>
      <c r="B22" s="13" t="s">
        <v>7</v>
      </c>
      <c r="C22" s="14">
        <f>SUM(C7:C19)</f>
        <v>11196.05</v>
      </c>
      <c r="D22" s="14">
        <f t="shared" ref="D22:R22" si="1">SUM(D7:D19)</f>
        <v>8822.44</v>
      </c>
      <c r="E22" s="14">
        <f t="shared" si="1"/>
        <v>750.4</v>
      </c>
      <c r="F22" s="14">
        <f t="shared" si="1"/>
        <v>122056.02</v>
      </c>
      <c r="G22" s="14">
        <f t="shared" si="1"/>
        <v>55334.960000000006</v>
      </c>
      <c r="H22" s="14">
        <f t="shared" si="1"/>
        <v>93601.34</v>
      </c>
      <c r="I22" s="14">
        <f t="shared" si="1"/>
        <v>0</v>
      </c>
      <c r="J22" s="14">
        <f t="shared" si="1"/>
        <v>7124.5599999999995</v>
      </c>
      <c r="K22" s="14">
        <f t="shared" si="1"/>
        <v>0</v>
      </c>
      <c r="L22" s="14">
        <f t="shared" si="1"/>
        <v>0</v>
      </c>
      <c r="M22" s="14">
        <f t="shared" si="1"/>
        <v>0</v>
      </c>
      <c r="N22" s="14">
        <f t="shared" si="1"/>
        <v>0</v>
      </c>
      <c r="O22" s="14">
        <f t="shared" si="1"/>
        <v>0</v>
      </c>
      <c r="P22" s="14">
        <f t="shared" si="1"/>
        <v>0</v>
      </c>
      <c r="Q22" s="14">
        <f t="shared" si="1"/>
        <v>0</v>
      </c>
      <c r="R22" s="14">
        <f t="shared" si="1"/>
        <v>0</v>
      </c>
      <c r="S22" s="14">
        <f>SUM(S7:S21)</f>
        <v>298885.77</v>
      </c>
      <c r="U22">
        <v>500850</v>
      </c>
    </row>
    <row r="23" spans="1:21">
      <c r="A23" s="15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21" ht="15.75" thickBot="1">
      <c r="A24" s="18"/>
      <c r="B24" s="19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21">
      <c r="A25" s="71" t="s">
        <v>8</v>
      </c>
      <c r="B25" s="75" t="s">
        <v>8</v>
      </c>
      <c r="C25" s="76">
        <v>1830</v>
      </c>
      <c r="D25" s="76">
        <v>1835</v>
      </c>
      <c r="E25" s="76">
        <v>1840</v>
      </c>
      <c r="F25" s="76">
        <v>1845</v>
      </c>
      <c r="G25" s="76">
        <v>1850</v>
      </c>
      <c r="H25" s="76">
        <v>1855</v>
      </c>
      <c r="I25" s="76">
        <v>1820</v>
      </c>
      <c r="J25" s="76">
        <v>1860</v>
      </c>
      <c r="K25" s="76">
        <v>1808</v>
      </c>
      <c r="L25" s="76">
        <v>1915</v>
      </c>
      <c r="M25" s="76">
        <v>1920</v>
      </c>
      <c r="N25" s="76">
        <v>1925</v>
      </c>
      <c r="O25" s="76">
        <v>1930</v>
      </c>
      <c r="P25" s="76">
        <v>1940</v>
      </c>
      <c r="Q25" s="76">
        <v>1955</v>
      </c>
      <c r="R25" s="76">
        <v>1945</v>
      </c>
      <c r="S25" s="77" t="s">
        <v>3</v>
      </c>
    </row>
    <row r="26" spans="1:21">
      <c r="A26" s="72" t="s">
        <v>24</v>
      </c>
      <c r="B26" s="78" t="s">
        <v>16</v>
      </c>
      <c r="C26" s="7">
        <v>22260.68</v>
      </c>
      <c r="D26" s="8">
        <v>70980.75</v>
      </c>
      <c r="E26" s="8"/>
      <c r="F26" s="8"/>
      <c r="G26" s="8">
        <v>2393.37</v>
      </c>
      <c r="H26" s="8">
        <v>18401.330000000002</v>
      </c>
      <c r="I26" s="8"/>
      <c r="J26" s="8">
        <v>325.88</v>
      </c>
      <c r="K26" s="8"/>
      <c r="L26" s="8"/>
      <c r="M26" s="8"/>
      <c r="N26" s="8"/>
      <c r="O26" s="8"/>
      <c r="P26" s="8"/>
      <c r="Q26" s="8"/>
      <c r="R26" s="8"/>
      <c r="S26" s="44">
        <f t="shared" ref="S26:S37" si="2">SUM(C26:R26)</f>
        <v>114362.01</v>
      </c>
    </row>
    <row r="27" spans="1:21">
      <c r="A27" s="73"/>
      <c r="B27" s="78" t="s">
        <v>54</v>
      </c>
      <c r="C27" s="8"/>
      <c r="D27" s="8"/>
      <c r="E27" s="8"/>
      <c r="F27" s="8"/>
      <c r="G27" s="8">
        <v>43064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44">
        <f t="shared" si="2"/>
        <v>43064</v>
      </c>
    </row>
    <row r="28" spans="1:21">
      <c r="A28" s="73">
        <v>1747</v>
      </c>
      <c r="B28" s="78" t="s">
        <v>50</v>
      </c>
      <c r="C28" s="8">
        <v>1742.93</v>
      </c>
      <c r="D28" s="8">
        <v>28388.94</v>
      </c>
      <c r="E28" s="8"/>
      <c r="F28" s="8"/>
      <c r="G28" s="8"/>
      <c r="H28" s="8">
        <v>3411.62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44">
        <f t="shared" si="2"/>
        <v>33543.49</v>
      </c>
    </row>
    <row r="29" spans="1:21">
      <c r="A29" s="73">
        <v>1734</v>
      </c>
      <c r="B29" s="78" t="s">
        <v>25</v>
      </c>
      <c r="C29" s="7"/>
      <c r="D29" s="8">
        <v>18963.740000000002</v>
      </c>
      <c r="E29" s="8"/>
      <c r="F29" s="8"/>
      <c r="G29" s="8">
        <v>3194.9</v>
      </c>
      <c r="H29" s="8">
        <v>5065.79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44">
        <f t="shared" si="2"/>
        <v>27224.430000000004</v>
      </c>
    </row>
    <row r="30" spans="1:21">
      <c r="A30" s="73" t="s">
        <v>36</v>
      </c>
      <c r="B30" s="78" t="s">
        <v>37</v>
      </c>
      <c r="C30" s="7">
        <v>11790.77</v>
      </c>
      <c r="D30" s="8">
        <v>9784.48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44">
        <f t="shared" si="2"/>
        <v>21575.25</v>
      </c>
    </row>
    <row r="31" spans="1:21">
      <c r="A31" s="72" t="s">
        <v>34</v>
      </c>
      <c r="B31" s="78" t="s">
        <v>64</v>
      </c>
      <c r="C31" s="24">
        <v>7317.25</v>
      </c>
      <c r="D31" s="25">
        <v>9477.24</v>
      </c>
      <c r="E31" s="25"/>
      <c r="F31" s="25"/>
      <c r="G31" s="25">
        <v>1529.98</v>
      </c>
      <c r="H31" s="25">
        <v>279.42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44">
        <f t="shared" si="2"/>
        <v>18603.889999999996</v>
      </c>
    </row>
    <row r="32" spans="1:21">
      <c r="A32" s="73">
        <v>1815</v>
      </c>
      <c r="B32" s="78" t="s">
        <v>39</v>
      </c>
      <c r="C32" s="7">
        <v>12783.61</v>
      </c>
      <c r="D32" s="8">
        <v>4575.1000000000004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44">
        <f t="shared" si="2"/>
        <v>17358.71</v>
      </c>
    </row>
    <row r="33" spans="1:21">
      <c r="A33" s="73"/>
      <c r="B33" s="78" t="s">
        <v>62</v>
      </c>
      <c r="C33" s="8">
        <v>11245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44">
        <f t="shared" si="2"/>
        <v>11245</v>
      </c>
    </row>
    <row r="34" spans="1:21">
      <c r="A34" s="73">
        <v>1728</v>
      </c>
      <c r="B34" s="78" t="s">
        <v>38</v>
      </c>
      <c r="C34" s="7">
        <v>6929.28</v>
      </c>
      <c r="D34" s="11">
        <v>3019.89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44">
        <f t="shared" si="2"/>
        <v>9949.17</v>
      </c>
    </row>
    <row r="35" spans="1:21">
      <c r="A35" s="73">
        <v>1719</v>
      </c>
      <c r="B35" s="78" t="s">
        <v>21</v>
      </c>
      <c r="C35" s="7"/>
      <c r="D35" s="11">
        <v>3833.99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44">
        <f t="shared" si="2"/>
        <v>3833.99</v>
      </c>
    </row>
    <row r="36" spans="1:21">
      <c r="A36" s="73">
        <v>1715</v>
      </c>
      <c r="B36" s="78" t="s">
        <v>20</v>
      </c>
      <c r="C36" s="7">
        <v>2052.9699999999998</v>
      </c>
      <c r="D36" s="8">
        <v>1672.01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44">
        <f t="shared" si="2"/>
        <v>3724.9799999999996</v>
      </c>
    </row>
    <row r="37" spans="1:21">
      <c r="A37" s="73">
        <v>750</v>
      </c>
      <c r="B37" s="78" t="s">
        <v>52</v>
      </c>
      <c r="C37" s="8">
        <v>1021.57</v>
      </c>
      <c r="D37" s="8">
        <v>591.46</v>
      </c>
      <c r="E37" s="8"/>
      <c r="F37" s="8"/>
      <c r="G37" s="8"/>
      <c r="H37" s="8">
        <v>187.38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44">
        <f t="shared" si="2"/>
        <v>1800.4100000000003</v>
      </c>
    </row>
    <row r="38" spans="1:21">
      <c r="A38" s="73"/>
      <c r="B38" s="7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9"/>
    </row>
    <row r="39" spans="1:21">
      <c r="A39" s="73"/>
      <c r="B39" s="78" t="s">
        <v>9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9"/>
    </row>
    <row r="40" spans="1:21" ht="15.75" thickBot="1">
      <c r="A40" s="74" t="s">
        <v>10</v>
      </c>
      <c r="B40" s="79" t="str">
        <f>A40</f>
        <v>Sub-Total System Renewal</v>
      </c>
      <c r="C40" s="14">
        <f>SUM(C26:C38)</f>
        <v>77144.060000000012</v>
      </c>
      <c r="D40" s="14">
        <f t="shared" ref="D40:S40" si="3">SUM(D26:D38)</f>
        <v>151287.6</v>
      </c>
      <c r="E40" s="14">
        <f t="shared" si="3"/>
        <v>0</v>
      </c>
      <c r="F40" s="14">
        <f t="shared" si="3"/>
        <v>0</v>
      </c>
      <c r="G40" s="14">
        <f t="shared" si="3"/>
        <v>50182.250000000007</v>
      </c>
      <c r="H40" s="14">
        <f t="shared" si="3"/>
        <v>27345.54</v>
      </c>
      <c r="I40" s="14">
        <f t="shared" si="3"/>
        <v>0</v>
      </c>
      <c r="J40" s="14">
        <f t="shared" si="3"/>
        <v>325.88</v>
      </c>
      <c r="K40" s="14">
        <f t="shared" si="3"/>
        <v>0</v>
      </c>
      <c r="L40" s="14">
        <f t="shared" si="3"/>
        <v>0</v>
      </c>
      <c r="M40" s="14">
        <f t="shared" si="3"/>
        <v>0</v>
      </c>
      <c r="N40" s="14">
        <f t="shared" si="3"/>
        <v>0</v>
      </c>
      <c r="O40" s="14">
        <f t="shared" si="3"/>
        <v>0</v>
      </c>
      <c r="P40" s="14">
        <f t="shared" si="3"/>
        <v>0</v>
      </c>
      <c r="Q40" s="14">
        <f t="shared" si="3"/>
        <v>0</v>
      </c>
      <c r="R40" s="14">
        <f t="shared" si="3"/>
        <v>0</v>
      </c>
      <c r="S40" s="80">
        <f t="shared" si="3"/>
        <v>306285.3299999999</v>
      </c>
      <c r="U40">
        <v>449820</v>
      </c>
    </row>
    <row r="41" spans="1:21">
      <c r="A41" s="15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21" ht="15.75" thickBot="1">
      <c r="A42" s="15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21">
      <c r="A43" s="20" t="s">
        <v>11</v>
      </c>
      <c r="B43" s="21" t="s">
        <v>11</v>
      </c>
      <c r="C43" s="76">
        <v>1830</v>
      </c>
      <c r="D43" s="76">
        <v>1835</v>
      </c>
      <c r="E43" s="76">
        <v>1840</v>
      </c>
      <c r="F43" s="76">
        <v>1845</v>
      </c>
      <c r="G43" s="76">
        <v>1850</v>
      </c>
      <c r="H43" s="76">
        <v>1855</v>
      </c>
      <c r="I43" s="76">
        <v>1820</v>
      </c>
      <c r="J43" s="76">
        <v>1860</v>
      </c>
      <c r="K43" s="76">
        <v>1808</v>
      </c>
      <c r="L43" s="76">
        <v>1915</v>
      </c>
      <c r="M43" s="76">
        <v>1920</v>
      </c>
      <c r="N43" s="76">
        <v>1925</v>
      </c>
      <c r="O43" s="76">
        <v>1930</v>
      </c>
      <c r="P43" s="76">
        <v>1940</v>
      </c>
      <c r="Q43" s="76">
        <v>1955</v>
      </c>
      <c r="R43" s="76">
        <v>1945</v>
      </c>
      <c r="S43" s="77" t="s">
        <v>3</v>
      </c>
    </row>
    <row r="44" spans="1:21">
      <c r="A44" s="10">
        <v>1817</v>
      </c>
      <c r="B44" s="6" t="s">
        <v>40</v>
      </c>
      <c r="C44" s="8">
        <v>9281.42</v>
      </c>
      <c r="D44" s="8">
        <v>7752</v>
      </c>
      <c r="E44" s="8"/>
      <c r="F44" s="8">
        <v>10109.48</v>
      </c>
      <c r="G44" s="8"/>
      <c r="H44" s="8"/>
      <c r="I44" s="8">
        <v>87295.21</v>
      </c>
      <c r="J44" s="8"/>
      <c r="K44" s="8"/>
      <c r="L44" s="8"/>
      <c r="M44" s="8"/>
      <c r="N44" s="8"/>
      <c r="O44" s="8"/>
      <c r="P44" s="8"/>
      <c r="Q44" s="8"/>
      <c r="R44" s="8"/>
      <c r="S44" s="44">
        <f t="shared" ref="S44:S53" si="4">SUM(C44:R44)</f>
        <v>114438.11</v>
      </c>
    </row>
    <row r="45" spans="1:21">
      <c r="A45" s="10">
        <v>1709</v>
      </c>
      <c r="B45" s="6" t="s">
        <v>23</v>
      </c>
      <c r="C45" s="25">
        <v>4599.25</v>
      </c>
      <c r="D45" s="8">
        <v>10699.36</v>
      </c>
      <c r="E45" s="8">
        <v>1822.74</v>
      </c>
      <c r="F45" s="8">
        <v>8875.58</v>
      </c>
      <c r="G45" s="8"/>
      <c r="H45" s="8"/>
      <c r="I45" s="8">
        <v>3923.78</v>
      </c>
      <c r="J45" s="8"/>
      <c r="K45" s="8"/>
      <c r="L45" s="8"/>
      <c r="M45" s="8"/>
      <c r="N45" s="8"/>
      <c r="O45" s="8"/>
      <c r="P45" s="8"/>
      <c r="Q45" s="8"/>
      <c r="R45" s="8"/>
      <c r="S45" s="44">
        <f t="shared" si="4"/>
        <v>29920.71</v>
      </c>
    </row>
    <row r="46" spans="1:21">
      <c r="A46" s="10">
        <v>1829</v>
      </c>
      <c r="B46" s="6" t="s">
        <v>51</v>
      </c>
      <c r="C46" s="8">
        <v>14104.46</v>
      </c>
      <c r="D46" s="8">
        <v>6217.75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44">
        <f t="shared" si="4"/>
        <v>20322.21</v>
      </c>
    </row>
    <row r="47" spans="1:21">
      <c r="A47" s="10">
        <v>1844</v>
      </c>
      <c r="B47" s="6" t="s">
        <v>47</v>
      </c>
      <c r="C47" s="8"/>
      <c r="D47" s="8"/>
      <c r="E47" s="8"/>
      <c r="F47" s="8">
        <v>14330.46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69"/>
      <c r="S47" s="44">
        <f t="shared" si="4"/>
        <v>14330.46</v>
      </c>
    </row>
    <row r="48" spans="1:21">
      <c r="A48" s="10">
        <v>1724</v>
      </c>
      <c r="B48" s="6" t="s">
        <v>22</v>
      </c>
      <c r="C48" s="8"/>
      <c r="D48" s="8"/>
      <c r="E48" s="8"/>
      <c r="F48" s="8">
        <v>13922.5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44">
        <f t="shared" si="4"/>
        <v>13922.5</v>
      </c>
    </row>
    <row r="49" spans="1:21">
      <c r="A49" s="10">
        <v>1843</v>
      </c>
      <c r="B49" s="6" t="s">
        <v>46</v>
      </c>
      <c r="C49" s="8"/>
      <c r="D49" s="8"/>
      <c r="E49" s="8"/>
      <c r="F49" s="8"/>
      <c r="G49" s="8"/>
      <c r="H49" s="8"/>
      <c r="I49" s="8">
        <v>10896.6</v>
      </c>
      <c r="J49" s="8"/>
      <c r="K49" s="8"/>
      <c r="L49" s="8"/>
      <c r="M49" s="8"/>
      <c r="N49" s="8"/>
      <c r="O49" s="8"/>
      <c r="P49" s="8"/>
      <c r="Q49" s="8"/>
      <c r="R49" s="8"/>
      <c r="S49" s="44">
        <f t="shared" si="4"/>
        <v>10896.6</v>
      </c>
    </row>
    <row r="50" spans="1:21">
      <c r="A50" s="10">
        <v>1743</v>
      </c>
      <c r="B50" s="6" t="s">
        <v>33</v>
      </c>
      <c r="C50" s="8"/>
      <c r="D50" s="8">
        <v>9045.86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44">
        <f t="shared" si="4"/>
        <v>9045.86</v>
      </c>
    </row>
    <row r="51" spans="1:21">
      <c r="A51" s="10">
        <v>1845</v>
      </c>
      <c r="B51" s="6" t="s">
        <v>48</v>
      </c>
      <c r="C51" s="8"/>
      <c r="D51" s="8"/>
      <c r="E51" s="8"/>
      <c r="F51" s="8"/>
      <c r="G51" s="8"/>
      <c r="H51" s="8"/>
      <c r="I51" s="8">
        <v>4073.6500000000005</v>
      </c>
      <c r="J51" s="8"/>
      <c r="K51" s="8"/>
      <c r="L51" s="8"/>
      <c r="M51" s="8"/>
      <c r="N51" s="8"/>
      <c r="O51" s="8"/>
      <c r="P51" s="8"/>
      <c r="Q51" s="8"/>
      <c r="R51" s="8"/>
      <c r="S51" s="44">
        <f t="shared" si="4"/>
        <v>4073.6500000000005</v>
      </c>
    </row>
    <row r="52" spans="1:21">
      <c r="A52" s="10">
        <v>1742</v>
      </c>
      <c r="B52" s="6" t="s">
        <v>32</v>
      </c>
      <c r="C52" s="8"/>
      <c r="D52" s="8"/>
      <c r="E52" s="8"/>
      <c r="F52" s="8"/>
      <c r="G52" s="8">
        <v>1070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70"/>
      <c r="S52" s="44">
        <f t="shared" si="4"/>
        <v>1070</v>
      </c>
    </row>
    <row r="53" spans="1:21">
      <c r="A53" s="10">
        <v>1737</v>
      </c>
      <c r="B53" s="6" t="s">
        <v>27</v>
      </c>
      <c r="C53" s="8"/>
      <c r="D53" s="8">
        <v>1038.9000000000001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44">
        <f t="shared" si="4"/>
        <v>1038.9000000000001</v>
      </c>
    </row>
    <row r="54" spans="1:21">
      <c r="A54" s="10"/>
      <c r="B54" s="6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9"/>
    </row>
    <row r="55" spans="1:21">
      <c r="A55" s="10"/>
      <c r="B55" s="6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9"/>
    </row>
    <row r="56" spans="1:21" ht="15.75" thickBot="1">
      <c r="A56" s="12" t="s">
        <v>12</v>
      </c>
      <c r="B56" s="13" t="str">
        <f>A56</f>
        <v>Sub-Total System Service</v>
      </c>
      <c r="C56" s="14">
        <f>SUM(C44:C54)</f>
        <v>27985.129999999997</v>
      </c>
      <c r="D56" s="14">
        <f t="shared" ref="D56:S56" si="5">SUM(D44:D54)</f>
        <v>34753.870000000003</v>
      </c>
      <c r="E56" s="14">
        <f t="shared" si="5"/>
        <v>1822.74</v>
      </c>
      <c r="F56" s="14">
        <f t="shared" si="5"/>
        <v>47238.02</v>
      </c>
      <c r="G56" s="14">
        <f t="shared" si="5"/>
        <v>1070</v>
      </c>
      <c r="H56" s="14">
        <f t="shared" si="5"/>
        <v>0</v>
      </c>
      <c r="I56" s="14">
        <f t="shared" si="5"/>
        <v>106189.24</v>
      </c>
      <c r="J56" s="14">
        <f t="shared" si="5"/>
        <v>0</v>
      </c>
      <c r="K56" s="14">
        <f t="shared" si="5"/>
        <v>0</v>
      </c>
      <c r="L56" s="14">
        <f t="shared" si="5"/>
        <v>0</v>
      </c>
      <c r="M56" s="14">
        <f t="shared" si="5"/>
        <v>0</v>
      </c>
      <c r="N56" s="14">
        <f t="shared" si="5"/>
        <v>0</v>
      </c>
      <c r="O56" s="14">
        <f t="shared" si="5"/>
        <v>0</v>
      </c>
      <c r="P56" s="14">
        <f t="shared" si="5"/>
        <v>0</v>
      </c>
      <c r="Q56" s="14">
        <f t="shared" si="5"/>
        <v>0</v>
      </c>
      <c r="R56" s="14">
        <f t="shared" si="5"/>
        <v>0</v>
      </c>
      <c r="S56" s="80">
        <f t="shared" si="5"/>
        <v>219059</v>
      </c>
      <c r="U56">
        <v>270800</v>
      </c>
    </row>
    <row r="57" spans="1:21">
      <c r="A57" s="15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21" ht="15.75" thickBot="1">
      <c r="A58" s="15"/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21">
      <c r="A59" s="20" t="s">
        <v>13</v>
      </c>
      <c r="B59" s="21" t="s">
        <v>13</v>
      </c>
      <c r="C59" s="76">
        <v>1830</v>
      </c>
      <c r="D59" s="76">
        <v>1835</v>
      </c>
      <c r="E59" s="76">
        <v>1840</v>
      </c>
      <c r="F59" s="76">
        <v>1845</v>
      </c>
      <c r="G59" s="76">
        <v>1850</v>
      </c>
      <c r="H59" s="76">
        <v>1855</v>
      </c>
      <c r="I59" s="76">
        <v>1820</v>
      </c>
      <c r="J59" s="76">
        <v>1860</v>
      </c>
      <c r="K59" s="76">
        <v>1810</v>
      </c>
      <c r="L59" s="76">
        <v>1915</v>
      </c>
      <c r="M59" s="76">
        <v>1920</v>
      </c>
      <c r="N59" s="76">
        <v>1925</v>
      </c>
      <c r="O59" s="76">
        <v>1930</v>
      </c>
      <c r="P59" s="76">
        <v>1940</v>
      </c>
      <c r="Q59" s="76">
        <v>1955</v>
      </c>
      <c r="R59" s="76">
        <v>1945</v>
      </c>
      <c r="S59" s="77" t="s">
        <v>3</v>
      </c>
    </row>
    <row r="60" spans="1:21">
      <c r="A60" s="10"/>
      <c r="B60" s="6" t="s">
        <v>58</v>
      </c>
      <c r="C60" s="26"/>
      <c r="D60" s="27"/>
      <c r="E60" s="27"/>
      <c r="F60" s="27"/>
      <c r="G60" s="27"/>
      <c r="H60" s="27"/>
      <c r="I60" s="27"/>
      <c r="J60" s="27"/>
      <c r="K60" s="25"/>
      <c r="L60" s="25"/>
      <c r="M60" s="25"/>
      <c r="N60" s="25"/>
      <c r="O60" s="25">
        <v>34746.46</v>
      </c>
      <c r="P60" s="27"/>
      <c r="Q60" s="27"/>
      <c r="R60" s="27"/>
      <c r="S60" s="45">
        <f t="shared" ref="S60:S68" si="6">SUM(C60:R60)</f>
        <v>34746.46</v>
      </c>
    </row>
    <row r="61" spans="1:21">
      <c r="A61" s="10"/>
      <c r="B61" s="6" t="s">
        <v>53</v>
      </c>
      <c r="C61" s="26"/>
      <c r="D61" s="27"/>
      <c r="E61" s="27"/>
      <c r="F61" s="27"/>
      <c r="G61" s="27"/>
      <c r="H61" s="27"/>
      <c r="I61" s="27"/>
      <c r="J61" s="27"/>
      <c r="K61" s="47">
        <v>21820.66</v>
      </c>
      <c r="L61" s="25"/>
      <c r="M61" s="25"/>
      <c r="N61" s="25"/>
      <c r="O61" s="25"/>
      <c r="P61" s="27"/>
      <c r="Q61" s="27"/>
      <c r="R61" s="27"/>
      <c r="S61" s="45">
        <f t="shared" si="6"/>
        <v>21820.66</v>
      </c>
    </row>
    <row r="62" spans="1:21">
      <c r="A62" s="10"/>
      <c r="B62" s="6" t="s">
        <v>60</v>
      </c>
      <c r="C62" s="2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>
        <v>21223.91</v>
      </c>
      <c r="R62" s="27"/>
      <c r="S62" s="45">
        <f t="shared" si="6"/>
        <v>21223.91</v>
      </c>
    </row>
    <row r="63" spans="1:21">
      <c r="A63" s="10"/>
      <c r="B63" s="6" t="s">
        <v>57</v>
      </c>
      <c r="C63" s="26"/>
      <c r="D63" s="27"/>
      <c r="E63" s="27"/>
      <c r="F63" s="27"/>
      <c r="G63" s="27"/>
      <c r="H63" s="27"/>
      <c r="I63" s="27"/>
      <c r="J63" s="27"/>
      <c r="K63" s="25"/>
      <c r="L63" s="25"/>
      <c r="M63" s="25"/>
      <c r="N63" s="25">
        <v>18666</v>
      </c>
      <c r="O63" s="25"/>
      <c r="P63" s="27"/>
      <c r="Q63" s="27"/>
      <c r="R63" s="27"/>
      <c r="S63" s="45">
        <f t="shared" si="6"/>
        <v>18666</v>
      </c>
    </row>
    <row r="64" spans="1:21">
      <c r="A64" s="10"/>
      <c r="B64" s="6" t="s">
        <v>56</v>
      </c>
      <c r="C64" s="26"/>
      <c r="D64" s="27"/>
      <c r="E64" s="27"/>
      <c r="F64" s="27"/>
      <c r="G64" s="27"/>
      <c r="H64" s="27"/>
      <c r="I64" s="27"/>
      <c r="J64" s="27"/>
      <c r="K64" s="25"/>
      <c r="L64" s="25"/>
      <c r="M64" s="25">
        <v>12181.496000000001</v>
      </c>
      <c r="N64" s="25"/>
      <c r="O64" s="25"/>
      <c r="P64" s="27"/>
      <c r="Q64" s="27"/>
      <c r="R64" s="27"/>
      <c r="S64" s="45">
        <f t="shared" si="6"/>
        <v>12181.496000000001</v>
      </c>
    </row>
    <row r="65" spans="1:21">
      <c r="A65" s="10">
        <v>1735</v>
      </c>
      <c r="B65" s="6" t="s">
        <v>26</v>
      </c>
      <c r="C65" s="26"/>
      <c r="D65" s="27"/>
      <c r="E65" s="27"/>
      <c r="F65" s="27"/>
      <c r="G65" s="27"/>
      <c r="H65" s="27"/>
      <c r="I65" s="27"/>
      <c r="J65" s="27"/>
      <c r="K65" s="25"/>
      <c r="L65" s="25"/>
      <c r="M65" s="25">
        <v>9215.4339999999993</v>
      </c>
      <c r="N65" s="25"/>
      <c r="O65" s="25"/>
      <c r="P65" s="27"/>
      <c r="Q65" s="27"/>
      <c r="R65" s="27"/>
      <c r="S65" s="45">
        <f t="shared" si="6"/>
        <v>9215.4339999999993</v>
      </c>
    </row>
    <row r="66" spans="1:21">
      <c r="A66" s="10"/>
      <c r="B66" s="6" t="s">
        <v>59</v>
      </c>
      <c r="C66" s="26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>
        <v>7648.35</v>
      </c>
      <c r="Q66" s="27"/>
      <c r="R66" s="27"/>
      <c r="S66" s="45">
        <f t="shared" si="6"/>
        <v>7648.35</v>
      </c>
    </row>
    <row r="67" spans="1:21">
      <c r="A67" s="10"/>
      <c r="B67" s="6" t="s">
        <v>61</v>
      </c>
      <c r="C67" s="26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>
        <v>6452.3</v>
      </c>
      <c r="S67" s="45">
        <f t="shared" si="6"/>
        <v>6452.3</v>
      </c>
    </row>
    <row r="68" spans="1:21">
      <c r="A68" s="10"/>
      <c r="B68" s="6" t="s">
        <v>55</v>
      </c>
      <c r="C68" s="26"/>
      <c r="D68" s="27"/>
      <c r="E68" s="27"/>
      <c r="F68" s="27"/>
      <c r="G68" s="27"/>
      <c r="H68" s="27"/>
      <c r="I68" s="27"/>
      <c r="J68" s="27"/>
      <c r="K68" s="25"/>
      <c r="L68" s="25">
        <v>3494.4</v>
      </c>
      <c r="M68" s="25"/>
      <c r="N68" s="25"/>
      <c r="O68" s="25"/>
      <c r="P68" s="27"/>
      <c r="Q68" s="27"/>
      <c r="R68" s="27"/>
      <c r="S68" s="45">
        <f t="shared" si="6"/>
        <v>3494.4</v>
      </c>
    </row>
    <row r="69" spans="1:21">
      <c r="A69" s="10"/>
      <c r="B69" s="6"/>
      <c r="C69" s="2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8"/>
    </row>
    <row r="70" spans="1:21">
      <c r="A70" s="10"/>
      <c r="B70" s="6"/>
      <c r="C70" s="26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9"/>
      <c r="S70" s="28"/>
    </row>
    <row r="71" spans="1:21">
      <c r="A71" s="30" t="s">
        <v>14</v>
      </c>
      <c r="B71" s="31" t="str">
        <f>A71</f>
        <v>Sub-Total General Plant</v>
      </c>
      <c r="C71" s="32">
        <f t="shared" ref="C71:S71" si="7">SUM(C60:C70)</f>
        <v>0</v>
      </c>
      <c r="D71" s="32">
        <f t="shared" si="7"/>
        <v>0</v>
      </c>
      <c r="E71" s="32">
        <f t="shared" si="7"/>
        <v>0</v>
      </c>
      <c r="F71" s="32">
        <f t="shared" si="7"/>
        <v>0</v>
      </c>
      <c r="G71" s="32">
        <f t="shared" si="7"/>
        <v>0</v>
      </c>
      <c r="H71" s="32">
        <f t="shared" si="7"/>
        <v>0</v>
      </c>
      <c r="I71" s="32">
        <f t="shared" si="7"/>
        <v>0</v>
      </c>
      <c r="J71" s="32">
        <f t="shared" si="7"/>
        <v>0</v>
      </c>
      <c r="K71" s="32">
        <f t="shared" si="7"/>
        <v>21820.66</v>
      </c>
      <c r="L71" s="32">
        <f t="shared" si="7"/>
        <v>3494.4</v>
      </c>
      <c r="M71" s="32">
        <f t="shared" si="7"/>
        <v>21396.93</v>
      </c>
      <c r="N71" s="32">
        <f t="shared" si="7"/>
        <v>18666</v>
      </c>
      <c r="O71" s="32">
        <f t="shared" si="7"/>
        <v>34746.46</v>
      </c>
      <c r="P71" s="32">
        <f t="shared" si="7"/>
        <v>7648.35</v>
      </c>
      <c r="Q71" s="32">
        <f t="shared" si="7"/>
        <v>21223.91</v>
      </c>
      <c r="R71" s="32">
        <f t="shared" si="7"/>
        <v>6452.3</v>
      </c>
      <c r="S71" s="53">
        <f t="shared" si="7"/>
        <v>135449.00999999998</v>
      </c>
      <c r="U71">
        <v>212200</v>
      </c>
    </row>
    <row r="72" spans="1:21">
      <c r="A72" s="33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5"/>
    </row>
    <row r="73" spans="1:21" ht="15.75" thickBot="1">
      <c r="A73" s="12" t="s">
        <v>15</v>
      </c>
      <c r="B73" s="13"/>
      <c r="C73" s="49">
        <f t="shared" ref="C73:U73" si="8">+C71+C56+C40+C22</f>
        <v>116325.24</v>
      </c>
      <c r="D73" s="49">
        <f t="shared" si="8"/>
        <v>194863.91</v>
      </c>
      <c r="E73" s="49">
        <f t="shared" si="8"/>
        <v>2573.14</v>
      </c>
      <c r="F73" s="49">
        <f t="shared" si="8"/>
        <v>169294.04</v>
      </c>
      <c r="G73" s="49">
        <f t="shared" si="8"/>
        <v>106587.21000000002</v>
      </c>
      <c r="H73" s="49">
        <f t="shared" si="8"/>
        <v>120946.88</v>
      </c>
      <c r="I73" s="49">
        <f t="shared" si="8"/>
        <v>106189.24</v>
      </c>
      <c r="J73" s="49">
        <f t="shared" si="8"/>
        <v>7450.44</v>
      </c>
      <c r="K73" s="49">
        <f t="shared" si="8"/>
        <v>21820.66</v>
      </c>
      <c r="L73" s="49">
        <f t="shared" si="8"/>
        <v>3494.4</v>
      </c>
      <c r="M73" s="49">
        <f t="shared" si="8"/>
        <v>21396.93</v>
      </c>
      <c r="N73" s="49">
        <f t="shared" si="8"/>
        <v>18666</v>
      </c>
      <c r="O73" s="49">
        <f t="shared" si="8"/>
        <v>34746.46</v>
      </c>
      <c r="P73" s="49">
        <f t="shared" si="8"/>
        <v>7648.35</v>
      </c>
      <c r="Q73" s="49">
        <f t="shared" si="8"/>
        <v>21223.91</v>
      </c>
      <c r="R73" s="49">
        <f t="shared" si="8"/>
        <v>6452.3</v>
      </c>
      <c r="S73" s="81">
        <f t="shared" si="8"/>
        <v>959679.10999999987</v>
      </c>
      <c r="U73">
        <f t="shared" si="8"/>
        <v>1433670</v>
      </c>
    </row>
    <row r="74" spans="1:2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21">
      <c r="A75" s="4"/>
      <c r="B75" s="4"/>
      <c r="C75" s="48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2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6"/>
    </row>
    <row r="77" spans="1:21">
      <c r="A77" s="4"/>
      <c r="B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21">
      <c r="A78" s="4"/>
      <c r="B78" s="4"/>
      <c r="C78" s="48"/>
      <c r="D78" s="4"/>
      <c r="E78" s="4"/>
      <c r="F78" s="48"/>
      <c r="G78" s="48"/>
      <c r="H78" s="48"/>
      <c r="I78" s="4"/>
      <c r="J78" s="48"/>
      <c r="K78" s="4"/>
      <c r="L78" s="4"/>
      <c r="M78" s="4"/>
      <c r="N78" s="4"/>
      <c r="O78" s="4"/>
      <c r="P78" s="4"/>
      <c r="Q78" s="4"/>
      <c r="R78" s="4"/>
      <c r="S78" s="4"/>
    </row>
    <row r="79" spans="1:21">
      <c r="A79" s="4"/>
      <c r="B79" s="4"/>
      <c r="C79" s="4"/>
      <c r="D79" s="4"/>
      <c r="E79" s="4"/>
      <c r="F79" s="4"/>
      <c r="G79" s="4"/>
      <c r="H79" s="4"/>
      <c r="I79" s="4"/>
      <c r="J79" s="48"/>
      <c r="K79" s="4"/>
      <c r="L79" s="4"/>
      <c r="M79" s="4"/>
      <c r="N79" s="4"/>
      <c r="O79" s="4"/>
      <c r="P79" s="4"/>
      <c r="Q79" s="4"/>
      <c r="R79" s="4"/>
      <c r="S79" s="4"/>
    </row>
    <row r="80" spans="1:2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</sheetData>
  <sortState ref="A60:S69">
    <sortCondition descending="1" ref="S60:S69"/>
  </sortState>
  <mergeCells count="2">
    <mergeCell ref="A1:S1"/>
    <mergeCell ref="A2:S2"/>
  </mergeCells>
  <dataValidations count="1">
    <dataValidation type="list" allowBlank="1" showInputMessage="1" showErrorMessage="1" sqref="C4:S4">
      <formula1>"CGAAP,MIFRS,USGAAP,ASPE,NEWGAAP"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topLeftCell="C40" workbookViewId="0">
      <selection activeCell="A21" sqref="A21"/>
    </sheetView>
  </sheetViews>
  <sheetFormatPr defaultRowHeight="15"/>
  <cols>
    <col min="1" max="1" width="26.28515625" bestFit="1" customWidth="1"/>
    <col min="2" max="2" width="50.42578125" customWidth="1"/>
    <col min="3" max="3" width="10.5703125" bestFit="1" customWidth="1"/>
    <col min="4" max="4" width="11.5703125" bestFit="1" customWidth="1"/>
    <col min="5" max="5" width="9.42578125" bestFit="1" customWidth="1"/>
    <col min="6" max="6" width="10.85546875" customWidth="1"/>
    <col min="7" max="7" width="10" bestFit="1" customWidth="1"/>
    <col min="8" max="8" width="9.5703125" bestFit="1" customWidth="1"/>
    <col min="9" max="9" width="10.7109375" customWidth="1"/>
    <col min="10" max="10" width="9.42578125" bestFit="1" customWidth="1"/>
    <col min="11" max="11" width="11.5703125" bestFit="1" customWidth="1"/>
    <col min="12" max="12" width="10.5703125" bestFit="1" customWidth="1"/>
    <col min="13" max="15" width="11.5703125" bestFit="1" customWidth="1"/>
    <col min="16" max="16" width="9.42578125" bestFit="1" customWidth="1"/>
    <col min="17" max="17" width="12.5703125" bestFit="1" customWidth="1"/>
  </cols>
  <sheetData>
    <row r="1" spans="1:19" ht="18.7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9" ht="18.75">
      <c r="A2" s="86">
        <v>2016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spans="1:19" ht="15.75" thickBo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>
      <c r="A4" s="36" t="s">
        <v>1</v>
      </c>
      <c r="B4" s="37" t="s">
        <v>1</v>
      </c>
      <c r="C4" s="38" t="s">
        <v>102</v>
      </c>
      <c r="D4" s="38" t="s">
        <v>102</v>
      </c>
      <c r="E4" s="38" t="s">
        <v>102</v>
      </c>
      <c r="F4" s="38" t="s">
        <v>102</v>
      </c>
      <c r="G4" s="38" t="s">
        <v>102</v>
      </c>
      <c r="H4" s="38" t="s">
        <v>102</v>
      </c>
      <c r="I4" s="38" t="s">
        <v>102</v>
      </c>
      <c r="J4" s="38" t="s">
        <v>102</v>
      </c>
      <c r="K4" s="38" t="s">
        <v>102</v>
      </c>
      <c r="L4" s="38" t="s">
        <v>102</v>
      </c>
      <c r="M4" s="38" t="s">
        <v>102</v>
      </c>
      <c r="N4" s="38" t="s">
        <v>102</v>
      </c>
      <c r="O4" s="38" t="s">
        <v>102</v>
      </c>
      <c r="P4" s="38" t="s">
        <v>102</v>
      </c>
      <c r="Q4" s="38" t="s">
        <v>102</v>
      </c>
      <c r="R4" s="40"/>
      <c r="S4" s="40"/>
    </row>
    <row r="5" spans="1:19">
      <c r="A5" s="30" t="s">
        <v>2</v>
      </c>
      <c r="B5" s="31" t="s">
        <v>2</v>
      </c>
      <c r="C5" s="22">
        <v>1830</v>
      </c>
      <c r="D5" s="22">
        <v>1835</v>
      </c>
      <c r="E5" s="22">
        <v>1840</v>
      </c>
      <c r="F5" s="22">
        <v>1845</v>
      </c>
      <c r="G5" s="22">
        <v>1850</v>
      </c>
      <c r="H5" s="22">
        <v>1855</v>
      </c>
      <c r="I5" s="22">
        <v>1820</v>
      </c>
      <c r="J5" s="22">
        <v>1860</v>
      </c>
      <c r="K5" s="22">
        <v>1808</v>
      </c>
      <c r="L5" s="22">
        <v>1915</v>
      </c>
      <c r="M5" s="22">
        <v>1920</v>
      </c>
      <c r="N5" s="22">
        <v>1925</v>
      </c>
      <c r="O5" s="22">
        <v>1930</v>
      </c>
      <c r="P5" s="22">
        <v>1940</v>
      </c>
      <c r="Q5" s="23" t="s">
        <v>3</v>
      </c>
      <c r="R5" s="40"/>
      <c r="S5" s="40"/>
    </row>
    <row r="6" spans="1:19">
      <c r="A6" s="10"/>
      <c r="B6" s="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2"/>
      <c r="R6" s="40"/>
      <c r="S6" s="40"/>
    </row>
    <row r="7" spans="1:19">
      <c r="A7" s="30" t="s">
        <v>4</v>
      </c>
      <c r="B7" s="31" t="s">
        <v>4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9"/>
      <c r="R7" s="40"/>
      <c r="S7" s="40"/>
    </row>
    <row r="8" spans="1:19">
      <c r="A8" s="10">
        <v>1402</v>
      </c>
      <c r="B8" s="6" t="s">
        <v>18</v>
      </c>
      <c r="C8" s="7"/>
      <c r="D8" s="8"/>
      <c r="E8" s="8"/>
      <c r="F8" s="8"/>
      <c r="G8" s="8"/>
      <c r="H8" s="8">
        <v>1932.62</v>
      </c>
      <c r="I8" s="8"/>
      <c r="J8" s="8">
        <v>357.25</v>
      </c>
      <c r="K8" s="8"/>
      <c r="L8" s="8"/>
      <c r="M8" s="8"/>
      <c r="N8" s="8"/>
      <c r="O8" s="8"/>
      <c r="P8" s="8"/>
      <c r="Q8" s="44">
        <f t="shared" ref="Q8:Q14" si="0">SUM(C8:P8)</f>
        <v>2289.87</v>
      </c>
    </row>
    <row r="9" spans="1:19">
      <c r="A9" s="10">
        <v>1738</v>
      </c>
      <c r="B9" s="6" t="s">
        <v>28</v>
      </c>
      <c r="C9" s="7"/>
      <c r="D9" s="8"/>
      <c r="E9" s="8"/>
      <c r="F9" s="8">
        <v>183.78</v>
      </c>
      <c r="G9" s="8">
        <v>480.23</v>
      </c>
      <c r="H9" s="8">
        <v>7782.07</v>
      </c>
      <c r="I9" s="8"/>
      <c r="J9" s="8">
        <v>762.27</v>
      </c>
      <c r="K9" s="8"/>
      <c r="L9" s="8"/>
      <c r="M9" s="8"/>
      <c r="N9" s="8"/>
      <c r="O9" s="8"/>
      <c r="P9" s="8"/>
      <c r="Q9" s="44">
        <f t="shared" si="0"/>
        <v>9208.35</v>
      </c>
    </row>
    <row r="10" spans="1:19">
      <c r="A10" s="10">
        <v>1800</v>
      </c>
      <c r="B10" s="6" t="s">
        <v>35</v>
      </c>
      <c r="C10" s="7"/>
      <c r="D10" s="8"/>
      <c r="E10" s="8"/>
      <c r="F10" s="8">
        <v>1910.46</v>
      </c>
      <c r="G10" s="8">
        <v>1049.19</v>
      </c>
      <c r="H10" s="8">
        <v>2597.86</v>
      </c>
      <c r="I10" s="8"/>
      <c r="J10" s="8">
        <v>358.55</v>
      </c>
      <c r="K10" s="8"/>
      <c r="L10" s="8"/>
      <c r="M10" s="8"/>
      <c r="N10" s="8"/>
      <c r="O10" s="8"/>
      <c r="P10" s="8"/>
      <c r="Q10" s="44">
        <f t="shared" si="0"/>
        <v>5916.06</v>
      </c>
    </row>
    <row r="11" spans="1:19">
      <c r="A11" s="10">
        <v>1820</v>
      </c>
      <c r="B11" s="6" t="s">
        <v>42</v>
      </c>
      <c r="C11" s="7">
        <v>6511.96</v>
      </c>
      <c r="D11" s="8"/>
      <c r="E11" s="8"/>
      <c r="F11" s="8"/>
      <c r="G11" s="8">
        <f>106647.38-72720</f>
        <v>33927.380000000005</v>
      </c>
      <c r="H11" s="8">
        <v>7377.52</v>
      </c>
      <c r="I11" s="8"/>
      <c r="J11" s="8"/>
      <c r="K11" s="8"/>
      <c r="L11" s="8"/>
      <c r="M11" s="8"/>
      <c r="N11" s="8"/>
      <c r="O11" s="8"/>
      <c r="P11" s="8"/>
      <c r="Q11" s="44">
        <f t="shared" si="0"/>
        <v>47816.86</v>
      </c>
    </row>
    <row r="12" spans="1:19">
      <c r="A12" s="10">
        <v>1859</v>
      </c>
      <c r="B12" s="6" t="s">
        <v>66</v>
      </c>
      <c r="C12" s="7">
        <v>3462.98</v>
      </c>
      <c r="D12" s="8"/>
      <c r="E12" s="8"/>
      <c r="F12" s="8">
        <v>3351.07</v>
      </c>
      <c r="G12" s="8">
        <v>1726.95</v>
      </c>
      <c r="H12" s="8"/>
      <c r="I12" s="8"/>
      <c r="J12" s="8">
        <v>239.27</v>
      </c>
      <c r="K12" s="8"/>
      <c r="L12" s="8"/>
      <c r="M12" s="8"/>
      <c r="N12" s="8"/>
      <c r="O12" s="8"/>
      <c r="P12" s="8"/>
      <c r="Q12" s="44">
        <f t="shared" si="0"/>
        <v>8780.27</v>
      </c>
    </row>
    <row r="13" spans="1:19">
      <c r="A13" s="5" t="s">
        <v>5</v>
      </c>
      <c r="B13" s="6" t="s">
        <v>41</v>
      </c>
      <c r="C13" s="7"/>
      <c r="D13" s="8">
        <v>175</v>
      </c>
      <c r="E13" s="8"/>
      <c r="F13" s="8"/>
      <c r="G13" s="8"/>
      <c r="H13" s="8">
        <f>20355.41+25724.87</f>
        <v>46080.28</v>
      </c>
      <c r="I13" s="8"/>
      <c r="J13" s="8">
        <f>7421.96+23083</f>
        <v>30504.959999999999</v>
      </c>
      <c r="K13" s="8"/>
      <c r="L13" s="8"/>
      <c r="M13" s="8"/>
      <c r="N13" s="8"/>
      <c r="O13" s="8"/>
      <c r="P13" s="8"/>
      <c r="Q13" s="44">
        <f t="shared" si="0"/>
        <v>76760.239999999991</v>
      </c>
      <c r="R13" s="40"/>
      <c r="S13" s="40"/>
    </row>
    <row r="14" spans="1:19">
      <c r="A14" s="43"/>
      <c r="B14" s="6" t="s">
        <v>54</v>
      </c>
      <c r="C14" s="7"/>
      <c r="D14" s="8"/>
      <c r="E14" s="8"/>
      <c r="F14" s="8"/>
      <c r="G14" s="8">
        <v>17857</v>
      </c>
      <c r="H14" s="8"/>
      <c r="I14" s="8"/>
      <c r="J14" s="8"/>
      <c r="K14" s="8"/>
      <c r="L14" s="8"/>
      <c r="M14" s="8"/>
      <c r="N14" s="8"/>
      <c r="O14" s="8"/>
      <c r="P14" s="8"/>
      <c r="Q14" s="44">
        <f t="shared" si="0"/>
        <v>17857</v>
      </c>
    </row>
    <row r="15" spans="1:19">
      <c r="A15" s="43"/>
      <c r="B15" s="6"/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</row>
    <row r="16" spans="1:19">
      <c r="A16" s="10"/>
      <c r="B16" s="6"/>
      <c r="C16" s="11"/>
      <c r="D16" s="11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9"/>
    </row>
    <row r="17" spans="1:19" ht="15.75" thickBot="1">
      <c r="A17" s="12" t="s">
        <v>7</v>
      </c>
      <c r="B17" s="13" t="s">
        <v>7</v>
      </c>
      <c r="C17" s="14">
        <f>SUM(C7:C15)</f>
        <v>9974.94</v>
      </c>
      <c r="D17" s="14">
        <f t="shared" ref="D17:Q17" si="1">SUM(D7:D15)</f>
        <v>175</v>
      </c>
      <c r="E17" s="14">
        <f t="shared" si="1"/>
        <v>0</v>
      </c>
      <c r="F17" s="14">
        <f t="shared" si="1"/>
        <v>5445.31</v>
      </c>
      <c r="G17" s="14">
        <f t="shared" si="1"/>
        <v>55040.75</v>
      </c>
      <c r="H17" s="14">
        <f t="shared" si="1"/>
        <v>65770.350000000006</v>
      </c>
      <c r="I17" s="14">
        <f t="shared" si="1"/>
        <v>0</v>
      </c>
      <c r="J17" s="14">
        <f t="shared" si="1"/>
        <v>32222.3</v>
      </c>
      <c r="K17" s="14">
        <f t="shared" si="1"/>
        <v>0</v>
      </c>
      <c r="L17" s="14">
        <f t="shared" si="1"/>
        <v>0</v>
      </c>
      <c r="M17" s="14">
        <f t="shared" si="1"/>
        <v>0</v>
      </c>
      <c r="N17" s="14">
        <f t="shared" si="1"/>
        <v>0</v>
      </c>
      <c r="O17" s="14">
        <f t="shared" si="1"/>
        <v>0</v>
      </c>
      <c r="P17" s="14">
        <f t="shared" si="1"/>
        <v>0</v>
      </c>
      <c r="Q17" s="14">
        <f t="shared" si="1"/>
        <v>168628.65</v>
      </c>
      <c r="S17">
        <v>500850</v>
      </c>
    </row>
    <row r="18" spans="1:19">
      <c r="A18" s="15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9" ht="15.75" thickBot="1">
      <c r="A19" s="18"/>
      <c r="B19" s="19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9">
      <c r="A20" s="20" t="s">
        <v>8</v>
      </c>
      <c r="B20" s="21" t="s">
        <v>8</v>
      </c>
      <c r="C20" s="22">
        <v>1830</v>
      </c>
      <c r="D20" s="22">
        <v>1835</v>
      </c>
      <c r="E20" s="22">
        <v>1840</v>
      </c>
      <c r="F20" s="22">
        <v>1845</v>
      </c>
      <c r="G20" s="22">
        <v>1850</v>
      </c>
      <c r="H20" s="22">
        <v>1855</v>
      </c>
      <c r="I20" s="22">
        <v>1820</v>
      </c>
      <c r="J20" s="22">
        <v>1860</v>
      </c>
      <c r="K20" s="22">
        <v>1808</v>
      </c>
      <c r="L20" s="22">
        <v>1915</v>
      </c>
      <c r="M20" s="22">
        <v>1920</v>
      </c>
      <c r="N20" s="22">
        <v>1925</v>
      </c>
      <c r="O20" s="22">
        <v>1930</v>
      </c>
      <c r="P20" s="22">
        <v>1940</v>
      </c>
      <c r="Q20" s="23" t="s">
        <v>3</v>
      </c>
    </row>
    <row r="21" spans="1:19">
      <c r="A21" s="5">
        <v>1790</v>
      </c>
      <c r="B21" s="6" t="s">
        <v>63</v>
      </c>
      <c r="C21" s="24">
        <v>44329.25</v>
      </c>
      <c r="D21" s="25">
        <v>75369.97</v>
      </c>
      <c r="E21" s="25"/>
      <c r="F21" s="25"/>
      <c r="G21" s="25">
        <v>4928.96</v>
      </c>
      <c r="H21" s="25"/>
      <c r="I21" s="8"/>
      <c r="J21" s="8"/>
      <c r="K21" s="8"/>
      <c r="L21" s="8"/>
      <c r="M21" s="8"/>
      <c r="N21" s="8"/>
      <c r="O21" s="8"/>
      <c r="P21" s="8"/>
      <c r="Q21" s="44">
        <f t="shared" ref="Q21:Q27" si="2">SUM(C21:P21)</f>
        <v>124628.18000000001</v>
      </c>
    </row>
    <row r="22" spans="1:19">
      <c r="A22" s="10" t="s">
        <v>71</v>
      </c>
      <c r="B22" s="6" t="s">
        <v>68</v>
      </c>
      <c r="C22" s="7">
        <f>45387.83+10872.02</f>
        <v>56259.850000000006</v>
      </c>
      <c r="D22" s="8">
        <f>35740.88+446.1+1676.54</f>
        <v>37863.519999999997</v>
      </c>
      <c r="E22" s="8">
        <v>5464.93</v>
      </c>
      <c r="F22" s="8">
        <v>7517.28</v>
      </c>
      <c r="G22" s="8">
        <v>16941.05</v>
      </c>
      <c r="H22" s="8">
        <f>634.3+7897.47</f>
        <v>8531.77</v>
      </c>
      <c r="I22" s="8"/>
      <c r="J22" s="8">
        <v>3924.39</v>
      </c>
      <c r="K22" s="8"/>
      <c r="L22" s="8"/>
      <c r="M22" s="8"/>
      <c r="N22" s="8"/>
      <c r="O22" s="8"/>
      <c r="P22" s="8"/>
      <c r="Q22" s="44">
        <f t="shared" si="2"/>
        <v>136502.79</v>
      </c>
    </row>
    <row r="23" spans="1:19">
      <c r="A23" s="10">
        <v>1865</v>
      </c>
      <c r="B23" s="6" t="s">
        <v>69</v>
      </c>
      <c r="C23" s="7">
        <v>9356.3700000000008</v>
      </c>
      <c r="D23" s="11">
        <v>6581.91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44">
        <f t="shared" si="2"/>
        <v>15938.28</v>
      </c>
    </row>
    <row r="24" spans="1:19">
      <c r="A24" s="10">
        <v>1892</v>
      </c>
      <c r="B24" s="6" t="s">
        <v>82</v>
      </c>
      <c r="C24" s="7">
        <v>1319.66</v>
      </c>
      <c r="D24" s="11">
        <v>756.55</v>
      </c>
      <c r="E24" s="8"/>
      <c r="F24" s="8">
        <v>17401.11</v>
      </c>
      <c r="G24" s="8">
        <v>29225.88</v>
      </c>
      <c r="H24" s="8">
        <v>4047.84</v>
      </c>
      <c r="I24" s="8"/>
      <c r="J24" s="8"/>
      <c r="K24" s="8"/>
      <c r="L24" s="8"/>
      <c r="M24" s="8"/>
      <c r="N24" s="8"/>
      <c r="O24" s="8"/>
      <c r="P24" s="8"/>
      <c r="Q24" s="44">
        <f t="shared" si="2"/>
        <v>52751.039999999994</v>
      </c>
    </row>
    <row r="25" spans="1:19">
      <c r="A25" s="5" t="s">
        <v>70</v>
      </c>
      <c r="B25" s="6" t="s">
        <v>16</v>
      </c>
      <c r="C25" s="7">
        <f>37353.89+1814.01+8792</f>
        <v>47959.9</v>
      </c>
      <c r="D25" s="8">
        <f>58051.93+1531.99</f>
        <v>59583.92</v>
      </c>
      <c r="E25" s="8"/>
      <c r="F25" s="8"/>
      <c r="G25" s="8">
        <f>2371.37+18013.72+405.64</f>
        <v>20790.73</v>
      </c>
      <c r="H25" s="8">
        <f>16268.89+3265.26</f>
        <v>19534.150000000001</v>
      </c>
      <c r="I25" s="8"/>
      <c r="J25" s="8">
        <v>25</v>
      </c>
      <c r="K25" s="8"/>
      <c r="L25" s="8"/>
      <c r="M25" s="8"/>
      <c r="N25" s="8"/>
      <c r="O25" s="8"/>
      <c r="P25" s="8"/>
      <c r="Q25" s="44">
        <f t="shared" si="2"/>
        <v>147893.70000000001</v>
      </c>
    </row>
    <row r="26" spans="1:19">
      <c r="A26" s="10">
        <v>1879</v>
      </c>
      <c r="B26" s="6" t="s">
        <v>72</v>
      </c>
      <c r="C26" s="7"/>
      <c r="D26" s="8"/>
      <c r="E26" s="8">
        <v>4294.6400000000003</v>
      </c>
      <c r="F26" s="8">
        <v>234.37</v>
      </c>
      <c r="G26" s="8">
        <v>725.25</v>
      </c>
      <c r="H26" s="8">
        <v>398.4</v>
      </c>
      <c r="I26" s="8"/>
      <c r="J26" s="8"/>
      <c r="K26" s="8"/>
      <c r="L26" s="8"/>
      <c r="M26" s="8"/>
      <c r="N26" s="8"/>
      <c r="O26" s="8"/>
      <c r="P26" s="8"/>
      <c r="Q26" s="44">
        <f t="shared" si="2"/>
        <v>5652.66</v>
      </c>
    </row>
    <row r="27" spans="1:19">
      <c r="A27" s="10">
        <v>1747</v>
      </c>
      <c r="B27" s="6" t="s">
        <v>50</v>
      </c>
      <c r="C27" s="8"/>
      <c r="D27" s="8">
        <v>8655.5</v>
      </c>
      <c r="E27" s="8"/>
      <c r="F27" s="8"/>
      <c r="G27" s="8"/>
      <c r="H27" s="8">
        <v>3788.9</v>
      </c>
      <c r="I27" s="8"/>
      <c r="J27" s="8"/>
      <c r="K27" s="8"/>
      <c r="L27" s="8"/>
      <c r="M27" s="8"/>
      <c r="N27" s="8"/>
      <c r="O27" s="8"/>
      <c r="P27" s="8"/>
      <c r="Q27" s="44">
        <f t="shared" si="2"/>
        <v>12444.4</v>
      </c>
    </row>
    <row r="28" spans="1:19">
      <c r="A28" s="10"/>
      <c r="B28" s="6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9"/>
    </row>
    <row r="29" spans="1:19">
      <c r="A29" s="10"/>
      <c r="B29" s="6" t="s">
        <v>9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9"/>
    </row>
    <row r="30" spans="1:19" ht="15.75" thickBot="1">
      <c r="A30" s="12" t="s">
        <v>10</v>
      </c>
      <c r="B30" s="13" t="str">
        <f>A30</f>
        <v>Sub-Total System Renewal</v>
      </c>
      <c r="C30" s="14">
        <f>SUM(C21:C28)</f>
        <v>159225.03</v>
      </c>
      <c r="D30" s="14">
        <f t="shared" ref="D30:Q30" si="3">SUM(D21:D28)</f>
        <v>188811.37</v>
      </c>
      <c r="E30" s="14">
        <f t="shared" si="3"/>
        <v>9759.57</v>
      </c>
      <c r="F30" s="14">
        <f t="shared" si="3"/>
        <v>25152.76</v>
      </c>
      <c r="G30" s="14">
        <f t="shared" si="3"/>
        <v>72611.87</v>
      </c>
      <c r="H30" s="14">
        <f t="shared" si="3"/>
        <v>36301.060000000005</v>
      </c>
      <c r="I30" s="14">
        <f t="shared" si="3"/>
        <v>0</v>
      </c>
      <c r="J30" s="14">
        <f t="shared" si="3"/>
        <v>3949.39</v>
      </c>
      <c r="K30" s="14">
        <f t="shared" si="3"/>
        <v>0</v>
      </c>
      <c r="L30" s="14">
        <f t="shared" si="3"/>
        <v>0</v>
      </c>
      <c r="M30" s="14">
        <f t="shared" si="3"/>
        <v>0</v>
      </c>
      <c r="N30" s="14">
        <f t="shared" si="3"/>
        <v>0</v>
      </c>
      <c r="O30" s="14">
        <f t="shared" si="3"/>
        <v>0</v>
      </c>
      <c r="P30" s="14">
        <f t="shared" si="3"/>
        <v>0</v>
      </c>
      <c r="Q30" s="14">
        <f t="shared" si="3"/>
        <v>495811.05000000005</v>
      </c>
      <c r="S30">
        <v>194100</v>
      </c>
    </row>
    <row r="31" spans="1:19">
      <c r="A31" s="15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9" ht="15.75" thickBot="1">
      <c r="A32" s="15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19">
      <c r="A33" s="20" t="s">
        <v>11</v>
      </c>
      <c r="B33" s="21" t="s">
        <v>11</v>
      </c>
      <c r="C33" s="22">
        <v>1830</v>
      </c>
      <c r="D33" s="22">
        <v>1835</v>
      </c>
      <c r="E33" s="22">
        <v>1840</v>
      </c>
      <c r="F33" s="22">
        <v>1845</v>
      </c>
      <c r="G33" s="22">
        <v>1850</v>
      </c>
      <c r="H33" s="22">
        <v>1855</v>
      </c>
      <c r="I33" s="22">
        <v>1820</v>
      </c>
      <c r="J33" s="22">
        <v>1860</v>
      </c>
      <c r="K33" s="22">
        <v>1808</v>
      </c>
      <c r="L33" s="22">
        <v>1915</v>
      </c>
      <c r="M33" s="22">
        <v>1920</v>
      </c>
      <c r="N33" s="22">
        <v>1925</v>
      </c>
      <c r="O33" s="22">
        <v>1930</v>
      </c>
      <c r="P33" s="22">
        <v>1940</v>
      </c>
      <c r="Q33" s="23" t="s">
        <v>3</v>
      </c>
    </row>
    <row r="34" spans="1:19">
      <c r="A34" s="10">
        <v>1709</v>
      </c>
      <c r="B34" s="6" t="s">
        <v>23</v>
      </c>
      <c r="C34" s="25">
        <f>5831.63+695.76-1866.97</f>
        <v>4660.42</v>
      </c>
      <c r="D34" s="8">
        <f>1753.93+16773.22-1292.29</f>
        <v>17234.86</v>
      </c>
      <c r="E34" s="8"/>
      <c r="F34" s="8"/>
      <c r="G34" s="8"/>
      <c r="H34" s="8"/>
      <c r="I34" s="8">
        <v>33654.53</v>
      </c>
      <c r="J34" s="8"/>
      <c r="K34" s="8"/>
      <c r="L34" s="8"/>
      <c r="M34" s="8"/>
      <c r="N34" s="8"/>
      <c r="O34" s="8"/>
      <c r="P34" s="8"/>
      <c r="Q34" s="44">
        <f t="shared" ref="Q34:Q42" si="4">SUM(C34:P34)</f>
        <v>55549.81</v>
      </c>
    </row>
    <row r="35" spans="1:19">
      <c r="A35" s="10">
        <v>1724</v>
      </c>
      <c r="B35" s="6" t="s">
        <v>65</v>
      </c>
      <c r="C35" s="8">
        <v>2463.9299999999998</v>
      </c>
      <c r="D35" s="8"/>
      <c r="E35" s="8">
        <f>6431.66+123</f>
        <v>6554.66</v>
      </c>
      <c r="F35" s="8"/>
      <c r="G35" s="8"/>
      <c r="H35" s="8"/>
      <c r="I35" s="8">
        <v>16284</v>
      </c>
      <c r="J35" s="8"/>
      <c r="K35" s="8"/>
      <c r="L35" s="8"/>
      <c r="M35" s="8"/>
      <c r="N35" s="8"/>
      <c r="O35" s="8"/>
      <c r="P35" s="8"/>
      <c r="Q35" s="44">
        <f t="shared" si="4"/>
        <v>25302.59</v>
      </c>
    </row>
    <row r="36" spans="1:19">
      <c r="A36" s="10">
        <v>1888</v>
      </c>
      <c r="B36" s="6" t="s">
        <v>73</v>
      </c>
      <c r="C36" s="8"/>
      <c r="D36" s="8"/>
      <c r="E36" s="8"/>
      <c r="F36" s="8"/>
      <c r="G36" s="8"/>
      <c r="H36" s="8"/>
      <c r="I36" s="8">
        <v>60406</v>
      </c>
      <c r="J36" s="8"/>
      <c r="K36" s="8"/>
      <c r="L36" s="8"/>
      <c r="M36" s="8"/>
      <c r="N36" s="8"/>
      <c r="O36" s="8"/>
      <c r="P36" s="8"/>
      <c r="Q36" s="44">
        <f t="shared" si="4"/>
        <v>60406</v>
      </c>
    </row>
    <row r="37" spans="1:19">
      <c r="A37" s="10">
        <v>1894</v>
      </c>
      <c r="B37" s="6" t="s">
        <v>74</v>
      </c>
      <c r="C37" s="8"/>
      <c r="D37" s="8">
        <v>1476.92</v>
      </c>
      <c r="E37" s="8"/>
      <c r="F37" s="8"/>
      <c r="G37" s="8"/>
      <c r="H37" s="8"/>
      <c r="I37" s="8">
        <f>28205.29+42740</f>
        <v>70945.290000000008</v>
      </c>
      <c r="J37" s="8"/>
      <c r="K37" s="8"/>
      <c r="L37" s="8"/>
      <c r="M37" s="8"/>
      <c r="N37" s="8"/>
      <c r="O37" s="8"/>
      <c r="P37" s="8"/>
      <c r="Q37" s="44">
        <f t="shared" si="4"/>
        <v>72422.210000000006</v>
      </c>
    </row>
    <row r="38" spans="1:19">
      <c r="A38" s="10">
        <v>1860</v>
      </c>
      <c r="B38" s="6" t="s">
        <v>67</v>
      </c>
      <c r="C38" s="8"/>
      <c r="D38" s="8">
        <v>4974.3100000000004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44">
        <f t="shared" si="4"/>
        <v>4974.3100000000004</v>
      </c>
    </row>
    <row r="39" spans="1:19">
      <c r="A39" s="10">
        <v>1817</v>
      </c>
      <c r="B39" s="6" t="s">
        <v>40</v>
      </c>
      <c r="C39" s="8">
        <v>1229.8599999999999</v>
      </c>
      <c r="D39" s="8">
        <v>935.68</v>
      </c>
      <c r="E39" s="8"/>
      <c r="F39" s="8">
        <v>345.8</v>
      </c>
      <c r="G39" s="8"/>
      <c r="H39" s="8"/>
      <c r="I39" s="8">
        <v>31500</v>
      </c>
      <c r="J39" s="8"/>
      <c r="K39" s="8"/>
      <c r="L39" s="8"/>
      <c r="M39" s="8"/>
      <c r="N39" s="8"/>
      <c r="O39" s="8"/>
      <c r="P39" s="8"/>
      <c r="Q39" s="44">
        <f t="shared" si="4"/>
        <v>34011.339999999997</v>
      </c>
    </row>
    <row r="40" spans="1:19">
      <c r="A40" s="10">
        <v>1843</v>
      </c>
      <c r="B40" s="6" t="s">
        <v>46</v>
      </c>
      <c r="C40" s="8"/>
      <c r="D40" s="8"/>
      <c r="E40" s="8"/>
      <c r="F40" s="8"/>
      <c r="G40" s="8"/>
      <c r="H40" s="8"/>
      <c r="I40" s="8">
        <v>2795.54</v>
      </c>
      <c r="J40" s="8"/>
      <c r="K40" s="8"/>
      <c r="L40" s="8"/>
      <c r="M40" s="8"/>
      <c r="N40" s="8"/>
      <c r="O40" s="8"/>
      <c r="P40" s="8"/>
      <c r="Q40" s="44">
        <f t="shared" si="4"/>
        <v>2795.54</v>
      </c>
    </row>
    <row r="41" spans="1:19">
      <c r="A41" s="10">
        <v>1844</v>
      </c>
      <c r="B41" s="6" t="s">
        <v>47</v>
      </c>
      <c r="C41" s="8"/>
      <c r="D41" s="8"/>
      <c r="E41" s="8"/>
      <c r="F41" s="8">
        <v>11919.37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44">
        <f t="shared" si="4"/>
        <v>11919.37</v>
      </c>
    </row>
    <row r="42" spans="1:19">
      <c r="A42" s="10"/>
      <c r="B42" s="6" t="s">
        <v>83</v>
      </c>
      <c r="C42" s="8">
        <v>35528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44">
        <f t="shared" si="4"/>
        <v>35528</v>
      </c>
    </row>
    <row r="43" spans="1:19">
      <c r="A43" s="10"/>
      <c r="B43" s="6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44"/>
    </row>
    <row r="44" spans="1:19">
      <c r="A44" s="10"/>
      <c r="B44" s="6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9"/>
    </row>
    <row r="45" spans="1:19" ht="15.75" thickBot="1">
      <c r="A45" s="12" t="s">
        <v>12</v>
      </c>
      <c r="B45" s="13" t="str">
        <f>A45</f>
        <v>Sub-Total System Service</v>
      </c>
      <c r="C45" s="14">
        <f>SUM(C34:C42)</f>
        <v>43882.21</v>
      </c>
      <c r="D45" s="14">
        <f t="shared" ref="D45:Q45" si="5">SUM(D34:D42)</f>
        <v>24621.77</v>
      </c>
      <c r="E45" s="14">
        <f t="shared" si="5"/>
        <v>6554.66</v>
      </c>
      <c r="F45" s="14">
        <f t="shared" si="5"/>
        <v>12265.17</v>
      </c>
      <c r="G45" s="14">
        <f t="shared" si="5"/>
        <v>0</v>
      </c>
      <c r="H45" s="14">
        <f t="shared" si="5"/>
        <v>0</v>
      </c>
      <c r="I45" s="14">
        <f t="shared" si="5"/>
        <v>215585.36000000002</v>
      </c>
      <c r="J45" s="14">
        <f t="shared" si="5"/>
        <v>0</v>
      </c>
      <c r="K45" s="14">
        <f t="shared" si="5"/>
        <v>0</v>
      </c>
      <c r="L45" s="14">
        <f t="shared" si="5"/>
        <v>0</v>
      </c>
      <c r="M45" s="14">
        <f t="shared" si="5"/>
        <v>0</v>
      </c>
      <c r="N45" s="14">
        <f t="shared" si="5"/>
        <v>0</v>
      </c>
      <c r="O45" s="14">
        <f t="shared" si="5"/>
        <v>0</v>
      </c>
      <c r="P45" s="14">
        <f t="shared" si="5"/>
        <v>0</v>
      </c>
      <c r="Q45" s="14">
        <f t="shared" si="5"/>
        <v>302909.17</v>
      </c>
      <c r="S45">
        <v>474800</v>
      </c>
    </row>
    <row r="46" spans="1:19">
      <c r="A46" s="15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1:19" ht="15.75" thickBot="1">
      <c r="A47" s="15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9">
      <c r="A48" s="20" t="s">
        <v>13</v>
      </c>
      <c r="B48" s="21" t="s">
        <v>13</v>
      </c>
      <c r="C48" s="22">
        <v>1830</v>
      </c>
      <c r="D48" s="22">
        <v>1835</v>
      </c>
      <c r="E48" s="22">
        <v>1840</v>
      </c>
      <c r="F48" s="22">
        <v>1845</v>
      </c>
      <c r="G48" s="22">
        <v>1850</v>
      </c>
      <c r="H48" s="22">
        <v>1855</v>
      </c>
      <c r="I48" s="22">
        <v>1820</v>
      </c>
      <c r="J48" s="22">
        <v>1860</v>
      </c>
      <c r="K48" s="22">
        <v>1810</v>
      </c>
      <c r="L48" s="22">
        <v>1915</v>
      </c>
      <c r="M48" s="22">
        <v>1920</v>
      </c>
      <c r="N48" s="22">
        <v>1925</v>
      </c>
      <c r="O48" s="22">
        <v>1930</v>
      </c>
      <c r="P48" s="22">
        <v>1940</v>
      </c>
      <c r="Q48" s="23" t="s">
        <v>3</v>
      </c>
    </row>
    <row r="49" spans="1:19">
      <c r="A49" s="10"/>
      <c r="B49" s="6" t="s">
        <v>75</v>
      </c>
      <c r="C49" s="26"/>
      <c r="D49" s="27"/>
      <c r="E49" s="27"/>
      <c r="F49" s="27"/>
      <c r="G49" s="27"/>
      <c r="H49" s="27"/>
      <c r="I49" s="27"/>
      <c r="J49" s="27"/>
      <c r="K49" s="25"/>
      <c r="L49" s="25"/>
      <c r="M49" s="25"/>
      <c r="N49" s="25"/>
      <c r="O49" s="25">
        <v>113525</v>
      </c>
      <c r="P49" s="27"/>
      <c r="Q49" s="45">
        <f t="shared" ref="Q49:Q58" si="6">SUM(C49:P49)</f>
        <v>113525</v>
      </c>
    </row>
    <row r="50" spans="1:19">
      <c r="A50" s="10"/>
      <c r="B50" s="6" t="s">
        <v>76</v>
      </c>
      <c r="C50" s="26"/>
      <c r="D50" s="27"/>
      <c r="E50" s="27"/>
      <c r="F50" s="27"/>
      <c r="G50" s="27"/>
      <c r="H50" s="27"/>
      <c r="I50" s="27"/>
      <c r="J50" s="27"/>
      <c r="K50" s="47"/>
      <c r="L50" s="25"/>
      <c r="M50" s="25"/>
      <c r="N50" s="25"/>
      <c r="O50" s="25">
        <v>3040</v>
      </c>
      <c r="P50" s="27"/>
      <c r="Q50" s="45">
        <f t="shared" si="6"/>
        <v>3040</v>
      </c>
    </row>
    <row r="51" spans="1:19">
      <c r="A51" s="10"/>
      <c r="B51" s="6" t="s">
        <v>59</v>
      </c>
      <c r="C51" s="26"/>
      <c r="D51" s="27"/>
      <c r="E51" s="27"/>
      <c r="F51" s="27"/>
      <c r="G51" s="27"/>
      <c r="H51" s="27"/>
      <c r="I51" s="27"/>
      <c r="J51" s="27"/>
      <c r="K51" s="25"/>
      <c r="L51" s="25"/>
      <c r="M51" s="25"/>
      <c r="N51" s="25"/>
      <c r="O51" s="25"/>
      <c r="P51" s="27">
        <v>14006.95</v>
      </c>
      <c r="Q51" s="45">
        <f t="shared" si="6"/>
        <v>14006.95</v>
      </c>
    </row>
    <row r="52" spans="1:19">
      <c r="A52" s="10"/>
      <c r="B52" s="6" t="s">
        <v>56</v>
      </c>
      <c r="C52" s="26"/>
      <c r="D52" s="27"/>
      <c r="E52" s="27"/>
      <c r="F52" s="27"/>
      <c r="G52" s="27"/>
      <c r="H52" s="27"/>
      <c r="I52" s="27"/>
      <c r="J52" s="27"/>
      <c r="K52" s="25"/>
      <c r="L52" s="25"/>
      <c r="M52" s="25">
        <v>1669</v>
      </c>
      <c r="N52" s="25"/>
      <c r="O52" s="25"/>
      <c r="P52" s="27"/>
      <c r="Q52" s="45">
        <f t="shared" si="6"/>
        <v>1669</v>
      </c>
    </row>
    <row r="53" spans="1:19">
      <c r="A53" s="10"/>
      <c r="B53" s="6" t="s">
        <v>77</v>
      </c>
      <c r="C53" s="26"/>
      <c r="D53" s="27"/>
      <c r="E53" s="27"/>
      <c r="F53" s="27"/>
      <c r="G53" s="27"/>
      <c r="H53" s="27"/>
      <c r="I53" s="27"/>
      <c r="J53" s="27"/>
      <c r="K53" s="25"/>
      <c r="L53" s="25">
        <v>27072.09</v>
      </c>
      <c r="M53" s="25"/>
      <c r="N53" s="25"/>
      <c r="O53" s="25"/>
      <c r="P53" s="27"/>
      <c r="Q53" s="45">
        <f t="shared" si="6"/>
        <v>27072.09</v>
      </c>
    </row>
    <row r="54" spans="1:19">
      <c r="A54" s="10"/>
      <c r="B54" s="6" t="s">
        <v>57</v>
      </c>
      <c r="C54" s="26"/>
      <c r="D54" s="27"/>
      <c r="E54" s="27"/>
      <c r="F54" s="27"/>
      <c r="G54" s="27"/>
      <c r="H54" s="27"/>
      <c r="I54" s="27"/>
      <c r="J54" s="27"/>
      <c r="K54" s="25"/>
      <c r="L54" s="25"/>
      <c r="M54" s="25"/>
      <c r="N54" s="25">
        <v>21070</v>
      </c>
      <c r="O54" s="25"/>
      <c r="P54" s="27"/>
      <c r="Q54" s="45">
        <f t="shared" si="6"/>
        <v>21070</v>
      </c>
    </row>
    <row r="55" spans="1:19">
      <c r="A55" s="10"/>
      <c r="B55" s="6" t="s">
        <v>80</v>
      </c>
      <c r="C55" s="26"/>
      <c r="D55" s="27"/>
      <c r="E55" s="27"/>
      <c r="F55" s="27"/>
      <c r="G55" s="27"/>
      <c r="H55" s="27"/>
      <c r="I55" s="27"/>
      <c r="J55" s="27"/>
      <c r="K55" s="27">
        <v>8728.84</v>
      </c>
      <c r="L55" s="27"/>
      <c r="M55" s="27"/>
      <c r="N55" s="27"/>
      <c r="O55" s="27"/>
      <c r="P55" s="27"/>
      <c r="Q55" s="45">
        <f t="shared" si="6"/>
        <v>8728.84</v>
      </c>
    </row>
    <row r="56" spans="1:19">
      <c r="A56" s="10"/>
      <c r="B56" s="6" t="s">
        <v>78</v>
      </c>
      <c r="C56" s="26"/>
      <c r="D56" s="27"/>
      <c r="E56" s="27"/>
      <c r="F56" s="27"/>
      <c r="G56" s="27"/>
      <c r="H56" s="27"/>
      <c r="I56" s="27"/>
      <c r="J56" s="27"/>
      <c r="K56" s="27">
        <v>12650</v>
      </c>
      <c r="L56" s="27"/>
      <c r="M56" s="27"/>
      <c r="N56" s="27"/>
      <c r="O56" s="27"/>
      <c r="P56" s="27"/>
      <c r="Q56" s="45">
        <f t="shared" si="6"/>
        <v>12650</v>
      </c>
    </row>
    <row r="57" spans="1:19">
      <c r="A57" s="10"/>
      <c r="B57" s="6" t="s">
        <v>79</v>
      </c>
      <c r="C57" s="26"/>
      <c r="D57" s="27"/>
      <c r="E57" s="27"/>
      <c r="F57" s="27"/>
      <c r="G57" s="27"/>
      <c r="H57" s="27"/>
      <c r="I57" s="27"/>
      <c r="J57" s="27"/>
      <c r="K57" s="27">
        <v>6860</v>
      </c>
      <c r="L57" s="27"/>
      <c r="M57" s="27"/>
      <c r="N57" s="27"/>
      <c r="O57" s="27"/>
      <c r="P57" s="27"/>
      <c r="Q57" s="45">
        <f t="shared" si="6"/>
        <v>6860</v>
      </c>
    </row>
    <row r="58" spans="1:19">
      <c r="A58" s="10"/>
      <c r="B58" s="6" t="s">
        <v>81</v>
      </c>
      <c r="C58" s="26"/>
      <c r="D58" s="27"/>
      <c r="E58" s="27"/>
      <c r="F58" s="27"/>
      <c r="G58" s="27"/>
      <c r="H58" s="27"/>
      <c r="I58" s="27"/>
      <c r="J58" s="27"/>
      <c r="K58" s="27">
        <f>54222.45-28239</f>
        <v>25983.449999999997</v>
      </c>
      <c r="L58" s="27"/>
      <c r="M58" s="27"/>
      <c r="N58" s="27"/>
      <c r="O58" s="27"/>
      <c r="P58" s="27"/>
      <c r="Q58" s="45">
        <f t="shared" si="6"/>
        <v>25983.449999999997</v>
      </c>
    </row>
    <row r="59" spans="1:19">
      <c r="A59" s="10"/>
      <c r="B59" s="6"/>
      <c r="C59" s="26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8"/>
    </row>
    <row r="60" spans="1:19">
      <c r="A60" s="10"/>
      <c r="B60" s="6"/>
      <c r="C60" s="26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8"/>
    </row>
    <row r="61" spans="1:19">
      <c r="A61" s="10"/>
      <c r="B61" s="6"/>
      <c r="C61" s="2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8"/>
    </row>
    <row r="62" spans="1:19">
      <c r="A62" s="30" t="s">
        <v>14</v>
      </c>
      <c r="B62" s="31" t="str">
        <f>A62</f>
        <v>Sub-Total General Plant</v>
      </c>
      <c r="C62" s="32">
        <f>SUM(C49:C61)</f>
        <v>0</v>
      </c>
      <c r="D62" s="32">
        <f t="shared" ref="D62:P62" si="7">SUM(D49:D61)</f>
        <v>0</v>
      </c>
      <c r="E62" s="32">
        <f t="shared" si="7"/>
        <v>0</v>
      </c>
      <c r="F62" s="32">
        <f t="shared" si="7"/>
        <v>0</v>
      </c>
      <c r="G62" s="32">
        <f t="shared" si="7"/>
        <v>0</v>
      </c>
      <c r="H62" s="32">
        <f t="shared" si="7"/>
        <v>0</v>
      </c>
      <c r="I62" s="32">
        <f t="shared" si="7"/>
        <v>0</v>
      </c>
      <c r="J62" s="32">
        <f t="shared" si="7"/>
        <v>0</v>
      </c>
      <c r="K62" s="32">
        <f t="shared" si="7"/>
        <v>54222.289999999994</v>
      </c>
      <c r="L62" s="32">
        <f t="shared" si="7"/>
        <v>27072.09</v>
      </c>
      <c r="M62" s="32">
        <f t="shared" si="7"/>
        <v>1669</v>
      </c>
      <c r="N62" s="32">
        <f t="shared" si="7"/>
        <v>21070</v>
      </c>
      <c r="O62" s="32">
        <f t="shared" si="7"/>
        <v>116565</v>
      </c>
      <c r="P62" s="32">
        <f t="shared" si="7"/>
        <v>14006.95</v>
      </c>
      <c r="Q62" s="53">
        <f>SUM(Q49:Q61)</f>
        <v>234605.33000000002</v>
      </c>
      <c r="S62">
        <v>376200</v>
      </c>
    </row>
    <row r="63" spans="1:19">
      <c r="A63" s="33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5"/>
    </row>
    <row r="64" spans="1:19" ht="15.75" thickBot="1">
      <c r="A64" s="12" t="s">
        <v>15</v>
      </c>
      <c r="B64" s="13"/>
      <c r="C64" s="49">
        <f t="shared" ref="C64:S64" si="8">+C62+C45+C30+C17</f>
        <v>213082.18</v>
      </c>
      <c r="D64" s="49">
        <f t="shared" si="8"/>
        <v>213608.13999999998</v>
      </c>
      <c r="E64" s="49">
        <f t="shared" si="8"/>
        <v>16314.23</v>
      </c>
      <c r="F64" s="49">
        <f t="shared" si="8"/>
        <v>42863.24</v>
      </c>
      <c r="G64" s="49">
        <f t="shared" si="8"/>
        <v>127652.62</v>
      </c>
      <c r="H64" s="49">
        <f t="shared" si="8"/>
        <v>102071.41</v>
      </c>
      <c r="I64" s="49">
        <f t="shared" si="8"/>
        <v>215585.36000000002</v>
      </c>
      <c r="J64" s="49">
        <f t="shared" si="8"/>
        <v>36171.69</v>
      </c>
      <c r="K64" s="49">
        <f t="shared" si="8"/>
        <v>54222.289999999994</v>
      </c>
      <c r="L64" s="49">
        <f t="shared" si="8"/>
        <v>27072.09</v>
      </c>
      <c r="M64" s="49">
        <f t="shared" si="8"/>
        <v>1669</v>
      </c>
      <c r="N64" s="49">
        <f t="shared" si="8"/>
        <v>21070</v>
      </c>
      <c r="O64" s="49">
        <f t="shared" si="8"/>
        <v>116565</v>
      </c>
      <c r="P64" s="49">
        <f t="shared" si="8"/>
        <v>14006.95</v>
      </c>
      <c r="Q64" s="54">
        <f t="shared" si="8"/>
        <v>1201954.2</v>
      </c>
      <c r="S64">
        <f t="shared" si="8"/>
        <v>1545950</v>
      </c>
    </row>
    <row r="65" spans="1:1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>
      <c r="A66" s="4"/>
      <c r="B66" s="4"/>
      <c r="C66" s="48"/>
      <c r="D66" s="50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>
      <c r="A67" s="4"/>
      <c r="B67" s="4"/>
      <c r="C67" s="48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6"/>
    </row>
    <row r="68" spans="1:17">
      <c r="A68" s="4"/>
      <c r="B68" s="4"/>
      <c r="C68" s="51"/>
      <c r="D68" s="52"/>
      <c r="E68" s="52"/>
      <c r="F68" s="52"/>
      <c r="G68" s="52"/>
      <c r="H68" s="52"/>
      <c r="I68" s="4"/>
      <c r="J68" s="4"/>
      <c r="K68" s="4"/>
      <c r="L68" s="4"/>
      <c r="M68" s="4"/>
      <c r="N68" s="4"/>
      <c r="O68" s="4"/>
      <c r="P68" s="4"/>
      <c r="Q68" s="48"/>
    </row>
    <row r="69" spans="1:17">
      <c r="A69" s="4"/>
      <c r="B69" s="4"/>
      <c r="C69" s="48"/>
      <c r="D69" s="4"/>
      <c r="E69" s="4"/>
      <c r="F69" s="48"/>
      <c r="G69" s="48"/>
      <c r="H69" s="48"/>
      <c r="I69" s="4"/>
      <c r="J69" s="48"/>
      <c r="K69" s="4"/>
      <c r="L69" s="4"/>
      <c r="M69" s="4"/>
      <c r="N69" s="4"/>
      <c r="O69" s="4"/>
      <c r="P69" s="4"/>
      <c r="Q69" s="4"/>
    </row>
    <row r="70" spans="1:17">
      <c r="A70" s="4"/>
      <c r="B70" s="4"/>
      <c r="C70" s="4"/>
      <c r="D70" s="4"/>
      <c r="E70" s="4"/>
      <c r="F70" s="4"/>
      <c r="G70" s="4"/>
      <c r="H70" s="4"/>
      <c r="I70" s="4"/>
      <c r="J70" s="48"/>
      <c r="K70" s="4"/>
      <c r="L70" s="4"/>
      <c r="M70" s="4"/>
      <c r="N70" s="4"/>
      <c r="O70" s="4"/>
      <c r="P70" s="4"/>
      <c r="Q70" s="4"/>
    </row>
    <row r="71" spans="1:1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</sheetData>
  <sortState ref="A8:U13">
    <sortCondition ref="A8:A13"/>
  </sortState>
  <mergeCells count="2">
    <mergeCell ref="A1:Q1"/>
    <mergeCell ref="A2:Q2"/>
  </mergeCells>
  <dataValidations count="1">
    <dataValidation type="list" allowBlank="1" showInputMessage="1" showErrorMessage="1" sqref="C4:Q4">
      <formula1>"CGAAP,MIFRS,USGAAP,ASPE,NEWGAAP"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topLeftCell="F46" workbookViewId="0">
      <selection activeCell="T39" sqref="T39"/>
    </sheetView>
  </sheetViews>
  <sheetFormatPr defaultRowHeight="15"/>
  <cols>
    <col min="1" max="1" width="26.28515625" bestFit="1" customWidth="1"/>
    <col min="2" max="2" width="43.7109375" customWidth="1"/>
    <col min="3" max="3" width="10.5703125" bestFit="1" customWidth="1"/>
    <col min="4" max="4" width="11.5703125" bestFit="1" customWidth="1"/>
    <col min="5" max="5" width="9.42578125" bestFit="1" customWidth="1"/>
    <col min="6" max="6" width="10.85546875" customWidth="1"/>
    <col min="7" max="7" width="10" bestFit="1" customWidth="1"/>
    <col min="8" max="8" width="9.5703125" bestFit="1" customWidth="1"/>
    <col min="9" max="9" width="10.7109375" customWidth="1"/>
    <col min="10" max="10" width="9.42578125" bestFit="1" customWidth="1"/>
    <col min="11" max="11" width="11.5703125" bestFit="1" customWidth="1"/>
    <col min="12" max="12" width="10.5703125" bestFit="1" customWidth="1"/>
    <col min="13" max="15" width="11.5703125" bestFit="1" customWidth="1"/>
    <col min="16" max="18" width="9.42578125" bestFit="1" customWidth="1"/>
    <col min="19" max="19" width="9.42578125" customWidth="1"/>
    <col min="20" max="20" width="12.5703125" bestFit="1" customWidth="1"/>
  </cols>
  <sheetData>
    <row r="1" spans="1:22" ht="18.7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2" ht="18.75">
      <c r="A2" s="86">
        <v>2017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22" ht="15.75" thickBo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2">
      <c r="A4" s="36" t="s">
        <v>1</v>
      </c>
      <c r="B4" s="37" t="s">
        <v>1</v>
      </c>
      <c r="C4" s="39" t="s">
        <v>102</v>
      </c>
      <c r="D4" s="39" t="s">
        <v>102</v>
      </c>
      <c r="E4" s="39" t="s">
        <v>102</v>
      </c>
      <c r="F4" s="39" t="s">
        <v>102</v>
      </c>
      <c r="G4" s="39" t="s">
        <v>102</v>
      </c>
      <c r="H4" s="39" t="s">
        <v>102</v>
      </c>
      <c r="I4" s="39" t="s">
        <v>102</v>
      </c>
      <c r="J4" s="39" t="s">
        <v>102</v>
      </c>
      <c r="K4" s="39" t="s">
        <v>102</v>
      </c>
      <c r="L4" s="39" t="s">
        <v>102</v>
      </c>
      <c r="M4" s="39" t="s">
        <v>102</v>
      </c>
      <c r="N4" s="39" t="s">
        <v>102</v>
      </c>
      <c r="O4" s="39" t="s">
        <v>102</v>
      </c>
      <c r="P4" s="39" t="s">
        <v>102</v>
      </c>
      <c r="Q4" s="39" t="s">
        <v>102</v>
      </c>
      <c r="R4" s="39" t="s">
        <v>102</v>
      </c>
      <c r="S4" s="39" t="s">
        <v>102</v>
      </c>
      <c r="T4" s="39" t="s">
        <v>102</v>
      </c>
      <c r="U4" s="40"/>
      <c r="V4" s="40"/>
    </row>
    <row r="5" spans="1:22">
      <c r="A5" s="30" t="s">
        <v>2</v>
      </c>
      <c r="B5" s="31" t="s">
        <v>2</v>
      </c>
      <c r="C5" s="22">
        <v>1830</v>
      </c>
      <c r="D5" s="22">
        <v>1835</v>
      </c>
      <c r="E5" s="22">
        <v>1840</v>
      </c>
      <c r="F5" s="22">
        <v>1845</v>
      </c>
      <c r="G5" s="22">
        <v>1850</v>
      </c>
      <c r="H5" s="22">
        <v>1855</v>
      </c>
      <c r="I5" s="22">
        <v>1820</v>
      </c>
      <c r="J5" s="22">
        <v>1860</v>
      </c>
      <c r="K5" s="22">
        <v>1808</v>
      </c>
      <c r="L5" s="22">
        <v>1915</v>
      </c>
      <c r="M5" s="22">
        <v>1920</v>
      </c>
      <c r="N5" s="22">
        <v>1925</v>
      </c>
      <c r="O5" s="22">
        <v>1930</v>
      </c>
      <c r="P5" s="22">
        <v>1940</v>
      </c>
      <c r="Q5" s="22">
        <v>1955</v>
      </c>
      <c r="R5" s="22">
        <v>1945</v>
      </c>
      <c r="S5" s="57">
        <v>1980</v>
      </c>
      <c r="T5" s="23" t="s">
        <v>3</v>
      </c>
      <c r="U5" s="40"/>
      <c r="V5" s="40"/>
    </row>
    <row r="6" spans="1:22">
      <c r="A6" s="10"/>
      <c r="B6" s="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58"/>
      <c r="T6" s="42"/>
      <c r="U6" s="40"/>
      <c r="V6" s="40"/>
    </row>
    <row r="7" spans="1:22">
      <c r="A7" s="30" t="s">
        <v>4</v>
      </c>
      <c r="B7" s="31" t="s">
        <v>4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59"/>
      <c r="T7" s="9"/>
      <c r="U7" s="40"/>
      <c r="V7" s="40"/>
    </row>
    <row r="8" spans="1:22">
      <c r="A8" s="5" t="s">
        <v>5</v>
      </c>
      <c r="B8" s="6" t="s">
        <v>6</v>
      </c>
      <c r="C8" s="7"/>
      <c r="D8" s="8">
        <v>999.62</v>
      </c>
      <c r="E8" s="8"/>
      <c r="F8" s="8"/>
      <c r="G8" s="8"/>
      <c r="H8" s="8">
        <f>4633.6+24599.76</f>
        <v>29233.360000000001</v>
      </c>
      <c r="I8" s="8"/>
      <c r="J8" s="8">
        <v>4629.38</v>
      </c>
      <c r="K8" s="8"/>
      <c r="L8" s="8"/>
      <c r="M8" s="8"/>
      <c r="N8" s="8"/>
      <c r="O8" s="8"/>
      <c r="P8" s="8"/>
      <c r="Q8" s="8"/>
      <c r="R8" s="8"/>
      <c r="S8" s="59"/>
      <c r="T8" s="44">
        <f t="shared" ref="T8:T17" si="0">SUM(C8:R8)</f>
        <v>34862.36</v>
      </c>
    </row>
    <row r="9" spans="1:22">
      <c r="A9" s="10">
        <v>1918</v>
      </c>
      <c r="B9" s="6" t="s">
        <v>90</v>
      </c>
      <c r="C9" s="7">
        <v>5822.75</v>
      </c>
      <c r="D9" s="8">
        <v>2679.58</v>
      </c>
      <c r="E9" s="8"/>
      <c r="F9" s="8"/>
      <c r="G9" s="8">
        <v>8077.37</v>
      </c>
      <c r="H9" s="8">
        <v>1415.47</v>
      </c>
      <c r="I9" s="8"/>
      <c r="J9" s="8">
        <v>178.51</v>
      </c>
      <c r="K9" s="8"/>
      <c r="L9" s="8"/>
      <c r="M9" s="8"/>
      <c r="N9" s="8"/>
      <c r="O9" s="8"/>
      <c r="P9" s="8"/>
      <c r="Q9" s="8"/>
      <c r="R9" s="8"/>
      <c r="S9" s="59"/>
      <c r="T9" s="44">
        <f t="shared" si="0"/>
        <v>18173.68</v>
      </c>
    </row>
    <row r="10" spans="1:22">
      <c r="A10" s="10">
        <v>1936</v>
      </c>
      <c r="B10" s="6" t="s">
        <v>92</v>
      </c>
      <c r="C10" s="7">
        <v>2224.0100000000002</v>
      </c>
      <c r="D10" s="8">
        <v>440.42</v>
      </c>
      <c r="E10" s="8">
        <v>213.49</v>
      </c>
      <c r="F10" s="8">
        <v>4414.16</v>
      </c>
      <c r="G10" s="8">
        <v>5781.55</v>
      </c>
      <c r="H10" s="8">
        <v>2270.77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59"/>
      <c r="T10" s="44">
        <f t="shared" si="0"/>
        <v>15344.400000000001</v>
      </c>
    </row>
    <row r="11" spans="1:22">
      <c r="A11" s="10">
        <v>1943</v>
      </c>
      <c r="B11" s="6" t="s">
        <v>95</v>
      </c>
      <c r="C11" s="7"/>
      <c r="D11" s="8"/>
      <c r="E11" s="8">
        <v>435</v>
      </c>
      <c r="F11" s="8">
        <v>40596</v>
      </c>
      <c r="G11" s="8">
        <v>3143.33</v>
      </c>
      <c r="H11" s="8">
        <v>42378.51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59"/>
      <c r="T11" s="44">
        <f t="shared" si="0"/>
        <v>86552.84</v>
      </c>
    </row>
    <row r="12" spans="1:22">
      <c r="A12" s="10"/>
      <c r="B12" s="6" t="s">
        <v>99</v>
      </c>
      <c r="C12" s="7">
        <v>1748.22</v>
      </c>
      <c r="D12" s="8">
        <v>2497.5300000000002</v>
      </c>
      <c r="E12" s="8"/>
      <c r="F12" s="8">
        <v>8303.93</v>
      </c>
      <c r="G12" s="8">
        <v>2082.71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59"/>
      <c r="T12" s="44">
        <f t="shared" si="0"/>
        <v>14632.39</v>
      </c>
    </row>
    <row r="13" spans="1:22">
      <c r="A13" s="5"/>
      <c r="B13" s="6" t="s">
        <v>101</v>
      </c>
      <c r="C13" s="7"/>
      <c r="D13" s="8"/>
      <c r="E13" s="8"/>
      <c r="F13" s="8">
        <v>6627.36</v>
      </c>
      <c r="G13" s="8">
        <v>17565.099999999999</v>
      </c>
      <c r="H13" s="8">
        <v>34</v>
      </c>
      <c r="I13" s="8"/>
      <c r="J13" s="8">
        <v>724.3</v>
      </c>
      <c r="K13" s="8"/>
      <c r="L13" s="8"/>
      <c r="M13" s="8"/>
      <c r="N13" s="8"/>
      <c r="O13" s="8"/>
      <c r="P13" s="8"/>
      <c r="Q13" s="8"/>
      <c r="R13" s="8"/>
      <c r="S13" s="59"/>
      <c r="T13" s="44">
        <f t="shared" si="0"/>
        <v>24950.76</v>
      </c>
      <c r="U13" s="40"/>
      <c r="V13" s="40"/>
    </row>
    <row r="14" spans="1:22">
      <c r="A14" s="43"/>
      <c r="B14" s="6" t="s">
        <v>108</v>
      </c>
      <c r="C14" s="7"/>
      <c r="D14" s="8"/>
      <c r="E14" s="8">
        <v>1486.64</v>
      </c>
      <c r="F14" s="8">
        <v>8767.5499999999993</v>
      </c>
      <c r="G14" s="8">
        <v>1043.08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59"/>
      <c r="T14" s="44">
        <f t="shared" si="0"/>
        <v>11297.269999999999</v>
      </c>
    </row>
    <row r="15" spans="1:22">
      <c r="A15" s="43"/>
      <c r="B15" s="6" t="s">
        <v>54</v>
      </c>
      <c r="C15" s="7"/>
      <c r="D15" s="8"/>
      <c r="E15" s="8"/>
      <c r="F15" s="8"/>
      <c r="G15" s="8">
        <f>+[1]U1!$F$39+[1]U1!$F$42-74487</f>
        <v>66366.329999999987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59"/>
      <c r="T15" s="44">
        <f t="shared" si="0"/>
        <v>66366.329999999987</v>
      </c>
    </row>
    <row r="16" spans="1:22">
      <c r="A16" s="43"/>
      <c r="B16" s="6" t="s">
        <v>116</v>
      </c>
      <c r="C16" s="7"/>
      <c r="D16" s="8"/>
      <c r="E16" s="8"/>
      <c r="F16" s="8"/>
      <c r="G16" s="8"/>
      <c r="H16" s="8"/>
      <c r="I16" s="8"/>
      <c r="J16" s="8">
        <f>35397-5532</f>
        <v>29865</v>
      </c>
      <c r="K16" s="8"/>
      <c r="L16" s="8"/>
      <c r="M16" s="8"/>
      <c r="N16" s="8"/>
      <c r="O16" s="8"/>
      <c r="P16" s="8"/>
      <c r="Q16" s="8"/>
      <c r="R16" s="8"/>
      <c r="S16" s="59"/>
      <c r="T16" s="44">
        <f t="shared" si="0"/>
        <v>29865</v>
      </c>
    </row>
    <row r="17" spans="1:23">
      <c r="A17" s="43"/>
      <c r="B17" s="6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59"/>
      <c r="T17" s="44">
        <f t="shared" si="0"/>
        <v>0</v>
      </c>
    </row>
    <row r="18" spans="1:23">
      <c r="A18" s="10"/>
      <c r="B18" s="6"/>
      <c r="C18" s="11"/>
      <c r="D18" s="11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59"/>
      <c r="T18" s="9"/>
    </row>
    <row r="19" spans="1:23" ht="15.75" thickBot="1">
      <c r="A19" s="12" t="s">
        <v>7</v>
      </c>
      <c r="B19" s="13" t="s">
        <v>7</v>
      </c>
      <c r="C19" s="14">
        <f>SUM(C7:C17)</f>
        <v>9794.98</v>
      </c>
      <c r="D19" s="14">
        <f t="shared" ref="D19:T19" si="1">SUM(D7:D17)</f>
        <v>6617.15</v>
      </c>
      <c r="E19" s="14">
        <f t="shared" si="1"/>
        <v>2135.13</v>
      </c>
      <c r="F19" s="14">
        <f t="shared" si="1"/>
        <v>68709</v>
      </c>
      <c r="G19" s="14">
        <f t="shared" si="1"/>
        <v>104059.46999999999</v>
      </c>
      <c r="H19" s="14">
        <f t="shared" si="1"/>
        <v>75332.11</v>
      </c>
      <c r="I19" s="14">
        <f t="shared" si="1"/>
        <v>0</v>
      </c>
      <c r="J19" s="14">
        <f t="shared" si="1"/>
        <v>35397.19</v>
      </c>
      <c r="K19" s="14">
        <f t="shared" si="1"/>
        <v>0</v>
      </c>
      <c r="L19" s="14">
        <f t="shared" si="1"/>
        <v>0</v>
      </c>
      <c r="M19" s="14">
        <f t="shared" si="1"/>
        <v>0</v>
      </c>
      <c r="N19" s="14">
        <f t="shared" si="1"/>
        <v>0</v>
      </c>
      <c r="O19" s="14">
        <f t="shared" si="1"/>
        <v>0</v>
      </c>
      <c r="P19" s="14">
        <f t="shared" si="1"/>
        <v>0</v>
      </c>
      <c r="Q19" s="14">
        <f t="shared" si="1"/>
        <v>0</v>
      </c>
      <c r="R19" s="14">
        <f t="shared" si="1"/>
        <v>0</v>
      </c>
      <c r="S19" s="14">
        <f t="shared" si="1"/>
        <v>0</v>
      </c>
      <c r="T19" s="14">
        <f t="shared" si="1"/>
        <v>302045.02999999997</v>
      </c>
      <c r="V19">
        <v>452200</v>
      </c>
    </row>
    <row r="20" spans="1:23">
      <c r="A20" s="15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3" ht="15.75" thickBot="1">
      <c r="A21" s="18"/>
      <c r="B21" s="19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3">
      <c r="A22" s="20" t="s">
        <v>8</v>
      </c>
      <c r="B22" s="21" t="s">
        <v>8</v>
      </c>
      <c r="C22" s="22">
        <v>1830</v>
      </c>
      <c r="D22" s="22">
        <v>1835</v>
      </c>
      <c r="E22" s="22">
        <v>1840</v>
      </c>
      <c r="F22" s="22">
        <v>1845</v>
      </c>
      <c r="G22" s="22">
        <v>1850</v>
      </c>
      <c r="H22" s="22">
        <v>1855</v>
      </c>
      <c r="I22" s="22">
        <v>1820</v>
      </c>
      <c r="J22" s="22">
        <v>1860</v>
      </c>
      <c r="K22" s="22">
        <v>1808</v>
      </c>
      <c r="L22" s="22">
        <v>1915</v>
      </c>
      <c r="M22" s="22">
        <v>1920</v>
      </c>
      <c r="N22" s="22">
        <v>1925</v>
      </c>
      <c r="O22" s="22">
        <v>1930</v>
      </c>
      <c r="P22" s="22">
        <v>1940</v>
      </c>
      <c r="Q22" s="22">
        <v>1955</v>
      </c>
      <c r="R22" s="22">
        <v>1945</v>
      </c>
      <c r="S22" s="57">
        <v>1980</v>
      </c>
      <c r="T22" s="23" t="s">
        <v>3</v>
      </c>
    </row>
    <row r="23" spans="1:23">
      <c r="A23" s="5" t="s">
        <v>17</v>
      </c>
      <c r="B23" s="6" t="s">
        <v>84</v>
      </c>
      <c r="C23" s="24">
        <v>52945.52</v>
      </c>
      <c r="D23" s="25">
        <f>-369+105852.75-4996</f>
        <v>100487.75</v>
      </c>
      <c r="E23" s="25"/>
      <c r="F23" s="25">
        <v>2924.34</v>
      </c>
      <c r="G23" s="25">
        <v>21176.32</v>
      </c>
      <c r="H23" s="25">
        <v>18526.37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59"/>
      <c r="T23" s="44">
        <f t="shared" ref="T23:T36" si="2">SUM(C23:R23)</f>
        <v>196060.3</v>
      </c>
      <c r="W23" s="55"/>
    </row>
    <row r="24" spans="1:23">
      <c r="A24" s="10">
        <v>1790</v>
      </c>
      <c r="B24" s="6" t="s">
        <v>85</v>
      </c>
      <c r="C24" s="7">
        <v>8965.58</v>
      </c>
      <c r="D24" s="8">
        <v>16882.48</v>
      </c>
      <c r="E24" s="8"/>
      <c r="F24" s="8"/>
      <c r="G24" s="8">
        <v>225.62</v>
      </c>
      <c r="H24" s="8">
        <v>8779.33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59"/>
      <c r="T24" s="44">
        <f t="shared" si="2"/>
        <v>34853.009999999995</v>
      </c>
      <c r="U24" s="55"/>
    </row>
    <row r="25" spans="1:23">
      <c r="A25" s="10">
        <v>1884</v>
      </c>
      <c r="B25" s="6" t="s">
        <v>87</v>
      </c>
      <c r="C25" s="7">
        <v>8648.7199999999993</v>
      </c>
      <c r="D25" s="11">
        <v>6625.73</v>
      </c>
      <c r="E25" s="8">
        <v>559.73</v>
      </c>
      <c r="F25" s="8">
        <v>2393.62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59"/>
      <c r="T25" s="44">
        <f t="shared" si="2"/>
        <v>18227.8</v>
      </c>
    </row>
    <row r="26" spans="1:23">
      <c r="A26" s="10">
        <v>1916</v>
      </c>
      <c r="B26" s="6" t="s">
        <v>88</v>
      </c>
      <c r="C26" s="7">
        <f>8534.16+1159.67</f>
        <v>9693.83</v>
      </c>
      <c r="D26" s="11">
        <f>66342.15+[2]Sheet1!$C$21</f>
        <v>68041.279999999999</v>
      </c>
      <c r="E26" s="8"/>
      <c r="F26" s="8"/>
      <c r="G26" s="8">
        <v>8367</v>
      </c>
      <c r="H26" s="8">
        <v>3448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59"/>
      <c r="T26" s="44">
        <f t="shared" si="2"/>
        <v>89550.11</v>
      </c>
    </row>
    <row r="27" spans="1:23">
      <c r="A27" s="5">
        <v>1915</v>
      </c>
      <c r="B27" s="6" t="s">
        <v>89</v>
      </c>
      <c r="C27" s="7"/>
      <c r="D27" s="8">
        <v>22167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59"/>
      <c r="T27" s="44">
        <f t="shared" si="2"/>
        <v>22167</v>
      </c>
    </row>
    <row r="28" spans="1:23">
      <c r="A28" s="10" t="s">
        <v>106</v>
      </c>
      <c r="B28" s="6" t="s">
        <v>91</v>
      </c>
      <c r="C28" s="7">
        <f>9289.42+2205.11</f>
        <v>11494.53</v>
      </c>
      <c r="D28" s="8">
        <f>31321.03+2370.95</f>
        <v>33691.979999999996</v>
      </c>
      <c r="E28" s="8"/>
      <c r="F28" s="8"/>
      <c r="G28" s="8">
        <v>4860.57</v>
      </c>
      <c r="H28" s="8">
        <v>586.16999999999996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59"/>
      <c r="T28" s="44">
        <f t="shared" si="2"/>
        <v>50633.249999999993</v>
      </c>
    </row>
    <row r="29" spans="1:23">
      <c r="A29" s="10">
        <v>1931</v>
      </c>
      <c r="B29" s="6" t="s">
        <v>93</v>
      </c>
      <c r="C29" s="8">
        <v>11287.07</v>
      </c>
      <c r="D29" s="8">
        <v>4771.67</v>
      </c>
      <c r="E29" s="8"/>
      <c r="F29" s="8"/>
      <c r="G29" s="8">
        <v>2164.2600000000002</v>
      </c>
      <c r="H29" s="8">
        <v>12505.86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59"/>
      <c r="T29" s="44">
        <f t="shared" si="2"/>
        <v>30728.86</v>
      </c>
    </row>
    <row r="30" spans="1:23">
      <c r="A30" s="10">
        <v>1943</v>
      </c>
      <c r="B30" s="6" t="s">
        <v>94</v>
      </c>
      <c r="C30" s="8">
        <v>7378.6</v>
      </c>
      <c r="D30" s="8">
        <v>10967.65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59"/>
      <c r="T30" s="44">
        <f t="shared" si="2"/>
        <v>18346.25</v>
      </c>
    </row>
    <row r="31" spans="1:23">
      <c r="A31" s="10">
        <v>1953</v>
      </c>
      <c r="B31" s="56" t="s">
        <v>98</v>
      </c>
      <c r="C31" s="8"/>
      <c r="D31" s="8">
        <v>10120.299999999999</v>
      </c>
      <c r="E31" s="8"/>
      <c r="F31" s="8"/>
      <c r="G31" s="8"/>
      <c r="H31" s="8">
        <v>3401.47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59"/>
      <c r="T31" s="44">
        <f t="shared" si="2"/>
        <v>13521.769999999999</v>
      </c>
    </row>
    <row r="32" spans="1:23">
      <c r="A32" s="10">
        <v>1955</v>
      </c>
      <c r="B32" s="6" t="s">
        <v>97</v>
      </c>
      <c r="C32" s="8"/>
      <c r="D32" s="8"/>
      <c r="E32" s="8"/>
      <c r="F32" s="8">
        <v>6640.95</v>
      </c>
      <c r="G32" s="8">
        <v>27262.17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59"/>
      <c r="T32" s="44">
        <f t="shared" si="2"/>
        <v>33903.119999999995</v>
      </c>
    </row>
    <row r="33" spans="1:22">
      <c r="A33" s="10"/>
      <c r="B33" s="6" t="s">
        <v>100</v>
      </c>
      <c r="C33" s="8"/>
      <c r="D33" s="8"/>
      <c r="E33" s="8">
        <v>9767.2800000000007</v>
      </c>
      <c r="F33" s="8">
        <v>6094.39</v>
      </c>
      <c r="G33" s="8">
        <v>29037.5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59"/>
      <c r="T33" s="44">
        <f t="shared" si="2"/>
        <v>44899.17</v>
      </c>
    </row>
    <row r="34" spans="1:22">
      <c r="A34" s="10">
        <v>1988</v>
      </c>
      <c r="B34" s="6" t="s">
        <v>104</v>
      </c>
      <c r="C34" s="8"/>
      <c r="D34" s="8">
        <v>13616.4</v>
      </c>
      <c r="E34" s="8"/>
      <c r="F34" s="8"/>
      <c r="G34" s="8"/>
      <c r="H34" s="8">
        <v>2755.53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59"/>
      <c r="T34" s="44">
        <f t="shared" si="2"/>
        <v>16371.93</v>
      </c>
    </row>
    <row r="35" spans="1:22">
      <c r="A35" s="10"/>
      <c r="B35" s="6" t="s">
        <v>105</v>
      </c>
      <c r="C35" s="8">
        <v>8907.09</v>
      </c>
      <c r="D35" s="8">
        <v>12941.11</v>
      </c>
      <c r="E35" s="8">
        <v>772</v>
      </c>
      <c r="F35" s="8">
        <v>8454.91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59"/>
      <c r="T35" s="44">
        <f t="shared" si="2"/>
        <v>31075.11</v>
      </c>
    </row>
    <row r="36" spans="1:22">
      <c r="A36" s="10"/>
      <c r="B36" s="6" t="s">
        <v>107</v>
      </c>
      <c r="C36" s="8">
        <v>4531.4399999999996</v>
      </c>
      <c r="D36" s="8">
        <v>6362.01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59"/>
      <c r="T36" s="44">
        <f t="shared" si="2"/>
        <v>10893.45</v>
      </c>
    </row>
    <row r="37" spans="1:22">
      <c r="A37" s="10"/>
      <c r="B37" s="6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59"/>
      <c r="T37" s="44"/>
    </row>
    <row r="38" spans="1:22">
      <c r="A38" s="10"/>
      <c r="B38" s="6" t="s">
        <v>9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59"/>
      <c r="T38" s="9"/>
    </row>
    <row r="39" spans="1:22" ht="15.75" thickBot="1">
      <c r="A39" s="12" t="s">
        <v>10</v>
      </c>
      <c r="B39" s="13" t="str">
        <f>A39</f>
        <v>Sub-Total System Renewal</v>
      </c>
      <c r="C39" s="14">
        <f t="shared" ref="C39:R39" si="3">SUM(C23:C30)</f>
        <v>110413.85</v>
      </c>
      <c r="D39" s="14">
        <f t="shared" si="3"/>
        <v>263635.53999999998</v>
      </c>
      <c r="E39" s="14">
        <f t="shared" si="3"/>
        <v>559.73</v>
      </c>
      <c r="F39" s="14">
        <f t="shared" si="3"/>
        <v>5317.96</v>
      </c>
      <c r="G39" s="14">
        <f t="shared" si="3"/>
        <v>36793.769999999997</v>
      </c>
      <c r="H39" s="14">
        <f t="shared" si="3"/>
        <v>43845.729999999996</v>
      </c>
      <c r="I39" s="14">
        <f t="shared" si="3"/>
        <v>0</v>
      </c>
      <c r="J39" s="14">
        <f t="shared" si="3"/>
        <v>0</v>
      </c>
      <c r="K39" s="14">
        <f t="shared" si="3"/>
        <v>0</v>
      </c>
      <c r="L39" s="14">
        <f t="shared" si="3"/>
        <v>0</v>
      </c>
      <c r="M39" s="14">
        <f t="shared" si="3"/>
        <v>0</v>
      </c>
      <c r="N39" s="14">
        <f t="shared" si="3"/>
        <v>0</v>
      </c>
      <c r="O39" s="14">
        <f t="shared" si="3"/>
        <v>0</v>
      </c>
      <c r="P39" s="14">
        <f t="shared" si="3"/>
        <v>0</v>
      </c>
      <c r="Q39" s="14">
        <f t="shared" si="3"/>
        <v>0</v>
      </c>
      <c r="R39" s="14">
        <f t="shared" si="3"/>
        <v>0</v>
      </c>
      <c r="S39" s="14"/>
      <c r="T39" s="14">
        <f>SUM(T23:T37)</f>
        <v>611231.13</v>
      </c>
      <c r="V39">
        <v>248750</v>
      </c>
    </row>
    <row r="40" spans="1:22">
      <c r="A40" s="15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22" ht="15.75" thickBot="1">
      <c r="A41" s="15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1:22">
      <c r="A42" s="20" t="s">
        <v>11</v>
      </c>
      <c r="B42" s="21" t="s">
        <v>11</v>
      </c>
      <c r="C42" s="22">
        <v>1830</v>
      </c>
      <c r="D42" s="22">
        <v>1835</v>
      </c>
      <c r="E42" s="22">
        <v>1840</v>
      </c>
      <c r="F42" s="22">
        <v>1845</v>
      </c>
      <c r="G42" s="22">
        <v>1850</v>
      </c>
      <c r="H42" s="22">
        <v>1855</v>
      </c>
      <c r="I42" s="22">
        <v>1820</v>
      </c>
      <c r="J42" s="22">
        <v>1860</v>
      </c>
      <c r="K42" s="22">
        <v>1808</v>
      </c>
      <c r="L42" s="22">
        <v>1915</v>
      </c>
      <c r="M42" s="22">
        <v>1920</v>
      </c>
      <c r="N42" s="22">
        <v>1925</v>
      </c>
      <c r="O42" s="22">
        <v>1930</v>
      </c>
      <c r="P42" s="22">
        <v>1940</v>
      </c>
      <c r="Q42" s="22">
        <v>1955</v>
      </c>
      <c r="R42" s="22">
        <v>1945</v>
      </c>
      <c r="S42" s="57">
        <v>1980</v>
      </c>
      <c r="T42" s="23" t="s">
        <v>3</v>
      </c>
    </row>
    <row r="43" spans="1:22">
      <c r="A43" s="10"/>
      <c r="B43" s="6" t="s">
        <v>86</v>
      </c>
      <c r="C43" s="25">
        <v>318.27</v>
      </c>
      <c r="D43" s="8">
        <v>4001</v>
      </c>
      <c r="E43" s="8">
        <v>14618</v>
      </c>
      <c r="F43" s="8">
        <v>39662.29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59"/>
      <c r="T43" s="44">
        <f>SUM(C43:R43)</f>
        <v>58599.56</v>
      </c>
    </row>
    <row r="44" spans="1:22">
      <c r="A44" s="10"/>
      <c r="B44" s="6" t="s">
        <v>96</v>
      </c>
      <c r="C44" s="8"/>
      <c r="D44" s="8"/>
      <c r="E44" s="8">
        <f>177.75+3920.5</f>
        <v>4098.25</v>
      </c>
      <c r="F44" s="8">
        <v>6089.67</v>
      </c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59"/>
      <c r="T44" s="44">
        <f>SUM(C44:R44)</f>
        <v>10187.92</v>
      </c>
    </row>
    <row r="45" spans="1:22">
      <c r="A45" s="10"/>
      <c r="B45" s="6" t="s">
        <v>103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59">
        <v>15568.87</v>
      </c>
      <c r="T45" s="44">
        <f>SUM(C45:S45)</f>
        <v>15568.87</v>
      </c>
    </row>
    <row r="46" spans="1:22">
      <c r="A46" s="10"/>
      <c r="B46" s="6" t="s">
        <v>109</v>
      </c>
      <c r="C46" s="8"/>
      <c r="D46" s="8"/>
      <c r="E46" s="8"/>
      <c r="F46" s="8"/>
      <c r="G46" s="8"/>
      <c r="H46" s="8"/>
      <c r="I46" s="8">
        <v>12316.2</v>
      </c>
      <c r="J46" s="8"/>
      <c r="K46" s="8"/>
      <c r="L46" s="8"/>
      <c r="M46" s="8"/>
      <c r="N46" s="8"/>
      <c r="O46" s="8"/>
      <c r="P46" s="8"/>
      <c r="Q46" s="8"/>
      <c r="R46" s="8"/>
      <c r="S46" s="3"/>
      <c r="T46" s="44">
        <f>SUM(C46:R46)</f>
        <v>12316.2</v>
      </c>
    </row>
    <row r="47" spans="1:22">
      <c r="A47" s="10"/>
      <c r="B47" s="6" t="s">
        <v>110</v>
      </c>
      <c r="C47" s="8"/>
      <c r="D47" s="8"/>
      <c r="E47" s="8"/>
      <c r="F47" s="8"/>
      <c r="G47" s="8"/>
      <c r="H47" s="8"/>
      <c r="I47" s="8">
        <v>4045.38</v>
      </c>
      <c r="J47" s="8"/>
      <c r="K47" s="8"/>
      <c r="L47" s="8"/>
      <c r="M47" s="8"/>
      <c r="N47" s="8"/>
      <c r="O47" s="8"/>
      <c r="P47" s="8"/>
      <c r="Q47" s="8"/>
      <c r="R47" s="8"/>
      <c r="S47" s="59"/>
      <c r="T47" s="44">
        <f>SUM(C47:R47)</f>
        <v>4045.38</v>
      </c>
    </row>
    <row r="48" spans="1:22">
      <c r="A48" s="10"/>
      <c r="B48" s="6" t="s">
        <v>111</v>
      </c>
      <c r="C48" s="8"/>
      <c r="D48" s="8"/>
      <c r="E48" s="8"/>
      <c r="F48" s="8"/>
      <c r="G48" s="8"/>
      <c r="H48" s="8"/>
      <c r="I48" s="8">
        <v>39130</v>
      </c>
      <c r="J48" s="8"/>
      <c r="K48" s="8"/>
      <c r="L48" s="8"/>
      <c r="M48" s="8"/>
      <c r="N48" s="8"/>
      <c r="O48" s="8"/>
      <c r="P48" s="8"/>
      <c r="Q48" s="8"/>
      <c r="R48" s="8"/>
      <c r="S48" s="59"/>
      <c r="T48" s="44">
        <f>SUM(C48:R48)</f>
        <v>39130</v>
      </c>
    </row>
    <row r="49" spans="1:22">
      <c r="A49" s="10"/>
      <c r="B49" s="6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59"/>
      <c r="T49" s="9"/>
    </row>
    <row r="50" spans="1:22" ht="15.75" thickBot="1">
      <c r="A50" s="12" t="s">
        <v>12</v>
      </c>
      <c r="B50" s="13" t="str">
        <f>A50</f>
        <v>Sub-Total System Service</v>
      </c>
      <c r="C50" s="14">
        <f t="shared" ref="C50:T50" si="4">SUM(C43:C48)</f>
        <v>318.27</v>
      </c>
      <c r="D50" s="14">
        <f t="shared" si="4"/>
        <v>4001</v>
      </c>
      <c r="E50" s="14">
        <f t="shared" si="4"/>
        <v>18716.25</v>
      </c>
      <c r="F50" s="14">
        <f t="shared" si="4"/>
        <v>45751.96</v>
      </c>
      <c r="G50" s="14">
        <f t="shared" si="4"/>
        <v>0</v>
      </c>
      <c r="H50" s="14">
        <f t="shared" si="4"/>
        <v>0</v>
      </c>
      <c r="I50" s="14">
        <f t="shared" si="4"/>
        <v>55491.58</v>
      </c>
      <c r="J50" s="14">
        <f t="shared" si="4"/>
        <v>0</v>
      </c>
      <c r="K50" s="14">
        <f t="shared" si="4"/>
        <v>0</v>
      </c>
      <c r="L50" s="14">
        <f t="shared" si="4"/>
        <v>0</v>
      </c>
      <c r="M50" s="14">
        <f t="shared" si="4"/>
        <v>0</v>
      </c>
      <c r="N50" s="14">
        <f t="shared" si="4"/>
        <v>0</v>
      </c>
      <c r="O50" s="14">
        <f t="shared" si="4"/>
        <v>0</v>
      </c>
      <c r="P50" s="14">
        <f t="shared" si="4"/>
        <v>0</v>
      </c>
      <c r="Q50" s="14">
        <f t="shared" si="4"/>
        <v>0</v>
      </c>
      <c r="R50" s="14">
        <f t="shared" si="4"/>
        <v>0</v>
      </c>
      <c r="S50" s="14">
        <f t="shared" si="4"/>
        <v>15568.87</v>
      </c>
      <c r="T50" s="14">
        <f t="shared" si="4"/>
        <v>139847.93</v>
      </c>
      <c r="V50">
        <v>345849</v>
      </c>
    </row>
    <row r="51" spans="1:22">
      <c r="A51" s="15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1:22" ht="15.75" thickBot="1">
      <c r="A52" s="15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1:22">
      <c r="A53" s="20" t="s">
        <v>13</v>
      </c>
      <c r="B53" s="21" t="s">
        <v>13</v>
      </c>
      <c r="C53" s="22">
        <v>1830</v>
      </c>
      <c r="D53" s="22">
        <v>1835</v>
      </c>
      <c r="E53" s="22">
        <v>1840</v>
      </c>
      <c r="F53" s="22">
        <v>1845</v>
      </c>
      <c r="G53" s="22">
        <v>1850</v>
      </c>
      <c r="H53" s="22">
        <v>1855</v>
      </c>
      <c r="I53" s="22">
        <v>1820</v>
      </c>
      <c r="J53" s="22">
        <v>1860</v>
      </c>
      <c r="K53" s="22">
        <v>1810</v>
      </c>
      <c r="L53" s="22">
        <v>1915</v>
      </c>
      <c r="M53" s="22">
        <v>1920</v>
      </c>
      <c r="N53" s="22">
        <v>1925</v>
      </c>
      <c r="O53" s="22">
        <v>1930</v>
      </c>
      <c r="P53" s="22">
        <v>1940</v>
      </c>
      <c r="Q53" s="22">
        <v>1955</v>
      </c>
      <c r="R53" s="22">
        <v>1945</v>
      </c>
      <c r="S53" s="57">
        <v>1980</v>
      </c>
      <c r="T53" s="23" t="s">
        <v>3</v>
      </c>
    </row>
    <row r="54" spans="1:22">
      <c r="A54" s="10"/>
      <c r="B54" s="6" t="s">
        <v>112</v>
      </c>
      <c r="C54" s="26"/>
      <c r="D54" s="27"/>
      <c r="E54" s="27"/>
      <c r="F54" s="27"/>
      <c r="G54" s="27"/>
      <c r="H54" s="27"/>
      <c r="I54" s="27"/>
      <c r="J54" s="27"/>
      <c r="K54" s="25">
        <f>731.25+3278.27</f>
        <v>4009.52</v>
      </c>
      <c r="L54" s="25"/>
      <c r="M54" s="25"/>
      <c r="N54" s="25"/>
      <c r="O54" s="25"/>
      <c r="P54" s="27"/>
      <c r="Q54" s="27"/>
      <c r="R54" s="27"/>
      <c r="S54" s="60"/>
      <c r="T54" s="45">
        <f t="shared" ref="T54:T63" si="5">SUM(C54:R54)</f>
        <v>4009.52</v>
      </c>
    </row>
    <row r="55" spans="1:22">
      <c r="A55" s="10"/>
      <c r="B55" s="6" t="s">
        <v>55</v>
      </c>
      <c r="C55" s="26"/>
      <c r="D55" s="27"/>
      <c r="E55" s="27"/>
      <c r="F55" s="27"/>
      <c r="G55" s="27"/>
      <c r="H55" s="27"/>
      <c r="I55" s="27"/>
      <c r="J55" s="27"/>
      <c r="K55" s="47"/>
      <c r="L55" s="25">
        <v>4397.75</v>
      </c>
      <c r="M55" s="25"/>
      <c r="N55" s="25"/>
      <c r="O55" s="25"/>
      <c r="P55" s="27"/>
      <c r="Q55" s="27"/>
      <c r="R55" s="27"/>
      <c r="S55" s="60"/>
      <c r="T55" s="45">
        <f t="shared" si="5"/>
        <v>4397.75</v>
      </c>
    </row>
    <row r="56" spans="1:22">
      <c r="A56" s="10"/>
      <c r="B56" s="6" t="s">
        <v>56</v>
      </c>
      <c r="C56" s="26"/>
      <c r="D56" s="27"/>
      <c r="E56" s="27"/>
      <c r="F56" s="27"/>
      <c r="G56" s="27"/>
      <c r="H56" s="27"/>
      <c r="I56" s="27"/>
      <c r="J56" s="27"/>
      <c r="K56" s="25"/>
      <c r="L56" s="25"/>
      <c r="M56" s="25">
        <v>6396.75</v>
      </c>
      <c r="N56" s="25"/>
      <c r="O56" s="25"/>
      <c r="P56" s="27"/>
      <c r="Q56" s="27"/>
      <c r="R56" s="27"/>
      <c r="S56" s="60"/>
      <c r="T56" s="45">
        <f t="shared" si="5"/>
        <v>6396.75</v>
      </c>
    </row>
    <row r="57" spans="1:22">
      <c r="A57" s="10"/>
      <c r="B57" s="6" t="s">
        <v>113</v>
      </c>
      <c r="C57" s="26"/>
      <c r="D57" s="27"/>
      <c r="E57" s="27"/>
      <c r="F57" s="27"/>
      <c r="G57" s="27"/>
      <c r="H57" s="27"/>
      <c r="I57" s="27"/>
      <c r="J57" s="27"/>
      <c r="K57" s="25"/>
      <c r="L57" s="25"/>
      <c r="M57" s="25"/>
      <c r="N57" s="25"/>
      <c r="O57" s="25">
        <v>319920</v>
      </c>
      <c r="P57" s="27"/>
      <c r="Q57" s="27"/>
      <c r="R57" s="27"/>
      <c r="S57" s="60"/>
      <c r="T57" s="45">
        <f t="shared" si="5"/>
        <v>319920</v>
      </c>
    </row>
    <row r="58" spans="1:22">
      <c r="A58" s="10"/>
      <c r="B58" s="6" t="s">
        <v>114</v>
      </c>
      <c r="C58" s="26"/>
      <c r="D58" s="27"/>
      <c r="E58" s="27"/>
      <c r="F58" s="27"/>
      <c r="G58" s="27"/>
      <c r="H58" s="27"/>
      <c r="I58" s="27"/>
      <c r="J58" s="27"/>
      <c r="K58" s="25"/>
      <c r="L58" s="25"/>
      <c r="M58" s="25"/>
      <c r="N58" s="25"/>
      <c r="O58" s="25">
        <v>2508.2399999999998</v>
      </c>
      <c r="P58" s="27"/>
      <c r="Q58" s="27"/>
      <c r="R58" s="27"/>
      <c r="S58" s="60"/>
      <c r="T58" s="45">
        <f t="shared" si="5"/>
        <v>2508.2399999999998</v>
      </c>
    </row>
    <row r="59" spans="1:22">
      <c r="A59" s="10"/>
      <c r="B59" s="6" t="s">
        <v>115</v>
      </c>
      <c r="C59" s="26"/>
      <c r="D59" s="27"/>
      <c r="E59" s="27"/>
      <c r="F59" s="27"/>
      <c r="G59" s="27"/>
      <c r="H59" s="27"/>
      <c r="I59" s="27"/>
      <c r="J59" s="27"/>
      <c r="K59" s="25"/>
      <c r="L59" s="25"/>
      <c r="M59" s="25"/>
      <c r="N59" s="25"/>
      <c r="O59" s="25"/>
      <c r="P59" s="27">
        <v>3354.34</v>
      </c>
      <c r="Q59" s="27"/>
      <c r="R59" s="27">
        <v>999</v>
      </c>
      <c r="S59" s="60">
        <f>35234.31-S45</f>
        <v>19665.439999999995</v>
      </c>
      <c r="T59" s="45">
        <f t="shared" si="5"/>
        <v>4353.34</v>
      </c>
    </row>
    <row r="60" spans="1:22">
      <c r="A60" s="10"/>
      <c r="B60" s="6" t="s">
        <v>57</v>
      </c>
      <c r="C60" s="26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>
        <v>33880.61</v>
      </c>
      <c r="O60" s="27"/>
      <c r="P60" s="27"/>
      <c r="Q60" s="27"/>
      <c r="R60" s="27"/>
      <c r="S60" s="60"/>
      <c r="T60" s="45">
        <f t="shared" si="5"/>
        <v>33880.61</v>
      </c>
    </row>
    <row r="61" spans="1:22">
      <c r="A61" s="10"/>
      <c r="B61" s="6"/>
      <c r="C61" s="2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60"/>
      <c r="T61" s="45">
        <f t="shared" si="5"/>
        <v>0</v>
      </c>
    </row>
    <row r="62" spans="1:22">
      <c r="A62" s="10"/>
      <c r="B62" s="6"/>
      <c r="C62" s="2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60"/>
      <c r="T62" s="45">
        <f t="shared" si="5"/>
        <v>0</v>
      </c>
    </row>
    <row r="63" spans="1:22">
      <c r="A63" s="10"/>
      <c r="B63" s="6"/>
      <c r="C63" s="26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60"/>
      <c r="T63" s="45">
        <f t="shared" si="5"/>
        <v>0</v>
      </c>
    </row>
    <row r="64" spans="1:22">
      <c r="A64" s="10"/>
      <c r="B64" s="6"/>
      <c r="C64" s="2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60"/>
      <c r="T64" s="28"/>
    </row>
    <row r="65" spans="1:22">
      <c r="A65" s="10"/>
      <c r="B65" s="6"/>
      <c r="C65" s="26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60"/>
      <c r="T65" s="28"/>
    </row>
    <row r="66" spans="1:22">
      <c r="A66" s="10"/>
      <c r="B66" s="6"/>
      <c r="C66" s="26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9"/>
      <c r="S66" s="61"/>
      <c r="T66" s="28"/>
    </row>
    <row r="67" spans="1:22">
      <c r="A67" s="30" t="s">
        <v>14</v>
      </c>
      <c r="B67" s="31" t="str">
        <f>A67</f>
        <v>Sub-Total General Plant</v>
      </c>
      <c r="C67" s="32">
        <f>SUM(C54:C66)</f>
        <v>0</v>
      </c>
      <c r="D67" s="32">
        <f t="shared" ref="D67:S67" si="6">SUM(D54:D66)</f>
        <v>0</v>
      </c>
      <c r="E67" s="32">
        <f t="shared" si="6"/>
        <v>0</v>
      </c>
      <c r="F67" s="32">
        <f t="shared" si="6"/>
        <v>0</v>
      </c>
      <c r="G67" s="32">
        <f t="shared" si="6"/>
        <v>0</v>
      </c>
      <c r="H67" s="32">
        <f t="shared" si="6"/>
        <v>0</v>
      </c>
      <c r="I67" s="32">
        <f t="shared" si="6"/>
        <v>0</v>
      </c>
      <c r="J67" s="32">
        <f t="shared" si="6"/>
        <v>0</v>
      </c>
      <c r="K67" s="32">
        <f t="shared" si="6"/>
        <v>4009.52</v>
      </c>
      <c r="L67" s="32">
        <f t="shared" si="6"/>
        <v>4397.75</v>
      </c>
      <c r="M67" s="32">
        <f t="shared" si="6"/>
        <v>6396.75</v>
      </c>
      <c r="N67" s="32">
        <f t="shared" si="6"/>
        <v>33880.61</v>
      </c>
      <c r="O67" s="32">
        <f t="shared" si="6"/>
        <v>322428.24</v>
      </c>
      <c r="P67" s="32">
        <f t="shared" si="6"/>
        <v>3354.34</v>
      </c>
      <c r="Q67" s="32">
        <f t="shared" si="6"/>
        <v>0</v>
      </c>
      <c r="R67" s="32">
        <f t="shared" si="6"/>
        <v>999</v>
      </c>
      <c r="S67" s="32">
        <f t="shared" si="6"/>
        <v>19665.439999999995</v>
      </c>
      <c r="T67" s="53">
        <f>SUM(T54:T66)</f>
        <v>375466.21</v>
      </c>
      <c r="V67">
        <v>255200</v>
      </c>
    </row>
    <row r="68" spans="1:22">
      <c r="A68" s="33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62"/>
      <c r="T68" s="35"/>
    </row>
    <row r="69" spans="1:22" ht="15.75" thickBot="1">
      <c r="A69" s="12" t="s">
        <v>15</v>
      </c>
      <c r="B69" s="13"/>
      <c r="C69" s="49">
        <f t="shared" ref="C69:V69" si="7">+C67+C50+C39+C19</f>
        <v>120527.1</v>
      </c>
      <c r="D69" s="49">
        <f t="shared" si="7"/>
        <v>274253.69</v>
      </c>
      <c r="E69" s="49">
        <f t="shared" si="7"/>
        <v>21411.11</v>
      </c>
      <c r="F69" s="49">
        <f t="shared" si="7"/>
        <v>119778.92</v>
      </c>
      <c r="G69" s="49">
        <f t="shared" si="7"/>
        <v>140853.24</v>
      </c>
      <c r="H69" s="49">
        <f t="shared" si="7"/>
        <v>119177.84</v>
      </c>
      <c r="I69" s="49">
        <f t="shared" si="7"/>
        <v>55491.58</v>
      </c>
      <c r="J69" s="49">
        <f t="shared" si="7"/>
        <v>35397.19</v>
      </c>
      <c r="K69" s="49">
        <f t="shared" si="7"/>
        <v>4009.52</v>
      </c>
      <c r="L69" s="49">
        <f t="shared" si="7"/>
        <v>4397.75</v>
      </c>
      <c r="M69" s="49">
        <f t="shared" si="7"/>
        <v>6396.75</v>
      </c>
      <c r="N69" s="49">
        <f t="shared" si="7"/>
        <v>33880.61</v>
      </c>
      <c r="O69" s="49">
        <f t="shared" si="7"/>
        <v>322428.24</v>
      </c>
      <c r="P69" s="49">
        <f t="shared" si="7"/>
        <v>3354.34</v>
      </c>
      <c r="Q69" s="49">
        <f t="shared" si="7"/>
        <v>0</v>
      </c>
      <c r="R69" s="49">
        <f t="shared" si="7"/>
        <v>999</v>
      </c>
      <c r="S69" s="49">
        <f t="shared" si="7"/>
        <v>35234.31</v>
      </c>
      <c r="T69" s="54">
        <f t="shared" si="7"/>
        <v>1428590.3</v>
      </c>
      <c r="V69">
        <f t="shared" si="7"/>
        <v>1301999</v>
      </c>
    </row>
    <row r="70" spans="1:2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2">
      <c r="A71" s="4"/>
      <c r="B71" s="4"/>
      <c r="C71" s="48"/>
      <c r="D71" s="50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2">
      <c r="A72" s="4"/>
      <c r="B72" s="4"/>
      <c r="C72" s="4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6"/>
    </row>
    <row r="73" spans="1:22">
      <c r="A73" s="4"/>
      <c r="B73" s="4"/>
      <c r="C73" s="51"/>
      <c r="D73" s="52"/>
      <c r="E73" s="52"/>
      <c r="F73" s="52"/>
      <c r="G73" s="52"/>
      <c r="H73" s="52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8"/>
    </row>
    <row r="74" spans="1:22">
      <c r="A74" s="4"/>
      <c r="B74" s="4"/>
      <c r="C74" s="48"/>
      <c r="D74" s="4"/>
      <c r="E74" s="4"/>
      <c r="F74" s="48"/>
      <c r="G74" s="48"/>
      <c r="H74" s="48"/>
      <c r="I74" s="4"/>
      <c r="J74" s="48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2">
      <c r="A75" s="4"/>
      <c r="B75" s="4"/>
      <c r="C75" s="4"/>
      <c r="D75" s="4"/>
      <c r="E75" s="4"/>
      <c r="F75" s="4"/>
      <c r="G75" s="4"/>
      <c r="H75" s="4"/>
      <c r="I75" s="4"/>
      <c r="J75" s="48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</sheetData>
  <mergeCells count="2">
    <mergeCell ref="A1:T1"/>
    <mergeCell ref="A2:T2"/>
  </mergeCells>
  <dataValidations count="1">
    <dataValidation type="list" allowBlank="1" showInputMessage="1" showErrorMessage="1" sqref="C4:T4">
      <formula1>"CGAAP,MIFRS,USGAAP,ASPE,NEWGAAP"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topLeftCell="A19" workbookViewId="0">
      <selection activeCell="B54" sqref="B54"/>
    </sheetView>
  </sheetViews>
  <sheetFormatPr defaultRowHeight="15"/>
  <cols>
    <col min="1" max="1" width="26.28515625" bestFit="1" customWidth="1"/>
    <col min="2" max="2" width="43.7109375" customWidth="1"/>
    <col min="3" max="3" width="10.5703125" bestFit="1" customWidth="1"/>
    <col min="4" max="4" width="11.5703125" bestFit="1" customWidth="1"/>
    <col min="5" max="5" width="9.42578125" bestFit="1" customWidth="1"/>
    <col min="6" max="6" width="10.85546875" customWidth="1"/>
    <col min="7" max="7" width="10" bestFit="1" customWidth="1"/>
    <col min="8" max="8" width="9.5703125" bestFit="1" customWidth="1"/>
    <col min="9" max="10" width="10.7109375" customWidth="1"/>
    <col min="11" max="11" width="9.42578125" bestFit="1" customWidth="1"/>
    <col min="12" max="15" width="11.5703125" bestFit="1" customWidth="1"/>
    <col min="16" max="18" width="9.42578125" bestFit="1" customWidth="1"/>
    <col min="19" max="19" width="9.42578125" customWidth="1"/>
    <col min="20" max="20" width="12.5703125" style="66" bestFit="1" customWidth="1"/>
  </cols>
  <sheetData>
    <row r="1" spans="1:22" ht="18.7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2" ht="18.75">
      <c r="A2" s="86">
        <v>2017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22" ht="15.75" thickBo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2">
      <c r="A4" s="36" t="s">
        <v>1</v>
      </c>
      <c r="B4" s="37" t="s">
        <v>1</v>
      </c>
      <c r="C4" s="39" t="s">
        <v>102</v>
      </c>
      <c r="D4" s="39" t="s">
        <v>102</v>
      </c>
      <c r="E4" s="39" t="s">
        <v>102</v>
      </c>
      <c r="F4" s="39" t="s">
        <v>102</v>
      </c>
      <c r="G4" s="39" t="s">
        <v>102</v>
      </c>
      <c r="H4" s="39" t="s">
        <v>102</v>
      </c>
      <c r="I4" s="39" t="s">
        <v>102</v>
      </c>
      <c r="J4" s="39" t="s">
        <v>102</v>
      </c>
      <c r="K4" s="39" t="s">
        <v>102</v>
      </c>
      <c r="L4" s="39" t="s">
        <v>102</v>
      </c>
      <c r="M4" s="39" t="s">
        <v>102</v>
      </c>
      <c r="N4" s="39" t="s">
        <v>102</v>
      </c>
      <c r="O4" s="39" t="s">
        <v>102</v>
      </c>
      <c r="P4" s="39" t="s">
        <v>102</v>
      </c>
      <c r="Q4" s="39" t="s">
        <v>102</v>
      </c>
      <c r="R4" s="39" t="s">
        <v>102</v>
      </c>
      <c r="S4" s="39" t="s">
        <v>102</v>
      </c>
      <c r="T4" s="39" t="s">
        <v>102</v>
      </c>
      <c r="U4" s="40"/>
      <c r="V4" s="40"/>
    </row>
    <row r="5" spans="1:22">
      <c r="A5" s="30" t="s">
        <v>2</v>
      </c>
      <c r="B5" s="31" t="s">
        <v>2</v>
      </c>
      <c r="C5" s="22">
        <v>1830</v>
      </c>
      <c r="D5" s="22">
        <v>1835</v>
      </c>
      <c r="E5" s="22">
        <v>1840</v>
      </c>
      <c r="F5" s="22">
        <v>1845</v>
      </c>
      <c r="G5" s="22">
        <v>1850</v>
      </c>
      <c r="H5" s="22">
        <v>1855</v>
      </c>
      <c r="I5" s="22">
        <v>1820</v>
      </c>
      <c r="J5" s="22">
        <v>1808</v>
      </c>
      <c r="K5" s="22">
        <v>1860</v>
      </c>
      <c r="L5" s="22">
        <v>1808</v>
      </c>
      <c r="M5" s="22">
        <v>1920</v>
      </c>
      <c r="N5" s="22">
        <v>1925</v>
      </c>
      <c r="O5" s="22">
        <v>1930</v>
      </c>
      <c r="P5" s="22">
        <v>1940</v>
      </c>
      <c r="Q5" s="22">
        <v>1955</v>
      </c>
      <c r="R5" s="22">
        <v>1945</v>
      </c>
      <c r="S5" s="57">
        <v>1980</v>
      </c>
      <c r="T5" s="23" t="s">
        <v>3</v>
      </c>
      <c r="U5" s="40"/>
      <c r="V5" s="40"/>
    </row>
    <row r="6" spans="1:22">
      <c r="A6" s="10"/>
      <c r="B6" s="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58"/>
      <c r="T6" s="42"/>
      <c r="U6" s="40"/>
      <c r="V6" s="40"/>
    </row>
    <row r="7" spans="1:22">
      <c r="A7" s="30" t="s">
        <v>4</v>
      </c>
      <c r="B7" s="31" t="s">
        <v>4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59"/>
      <c r="T7" s="9"/>
      <c r="U7" s="40"/>
      <c r="V7" s="40"/>
    </row>
    <row r="8" spans="1:22">
      <c r="A8" s="5" t="s">
        <v>5</v>
      </c>
      <c r="B8" s="6" t="s">
        <v>6</v>
      </c>
      <c r="C8" s="7"/>
      <c r="D8" s="8"/>
      <c r="E8" s="8"/>
      <c r="F8" s="8"/>
      <c r="G8" s="8"/>
      <c r="H8" s="8">
        <v>36501.83</v>
      </c>
      <c r="I8" s="8"/>
      <c r="J8" s="8"/>
      <c r="K8" s="8">
        <v>5456.69</v>
      </c>
      <c r="L8" s="8"/>
      <c r="M8" s="8"/>
      <c r="N8" s="8"/>
      <c r="O8" s="8"/>
      <c r="P8" s="8"/>
      <c r="Q8" s="8"/>
      <c r="R8" s="8"/>
      <c r="S8" s="59"/>
      <c r="T8" s="67">
        <f t="shared" ref="T8:T17" si="0">SUM(C8:R8)</f>
        <v>41958.520000000004</v>
      </c>
    </row>
    <row r="9" spans="1:22">
      <c r="A9" s="10"/>
      <c r="B9" s="6" t="s">
        <v>131</v>
      </c>
      <c r="C9" s="7"/>
      <c r="D9" s="8"/>
      <c r="E9" s="8">
        <v>1150.18</v>
      </c>
      <c r="F9" s="8">
        <v>1739.35</v>
      </c>
      <c r="G9" s="8">
        <v>5907.51</v>
      </c>
      <c r="H9" s="8">
        <v>6010.44</v>
      </c>
      <c r="I9" s="8"/>
      <c r="J9" s="8"/>
      <c r="K9" s="8"/>
      <c r="L9" s="8"/>
      <c r="M9" s="8"/>
      <c r="N9" s="8"/>
      <c r="O9" s="8"/>
      <c r="P9" s="8"/>
      <c r="Q9" s="8"/>
      <c r="R9" s="8"/>
      <c r="S9" s="59"/>
      <c r="T9" s="67">
        <f t="shared" si="0"/>
        <v>14807.48</v>
      </c>
    </row>
    <row r="10" spans="1:22">
      <c r="A10" s="10"/>
      <c r="B10" s="6" t="s">
        <v>129</v>
      </c>
      <c r="C10" s="8"/>
      <c r="D10" s="8"/>
      <c r="E10" s="8">
        <v>298</v>
      </c>
      <c r="F10" s="8">
        <v>11136.78</v>
      </c>
      <c r="G10" s="8">
        <v>1645.38</v>
      </c>
      <c r="H10" s="8">
        <v>4333.1099999999997</v>
      </c>
      <c r="I10" s="8"/>
      <c r="J10" s="8"/>
      <c r="K10" s="8">
        <v>670.1</v>
      </c>
      <c r="L10" s="8"/>
      <c r="M10" s="8"/>
      <c r="N10" s="8"/>
      <c r="O10" s="8"/>
      <c r="P10" s="8"/>
      <c r="Q10" s="8"/>
      <c r="R10" s="8"/>
      <c r="S10" s="59"/>
      <c r="T10" s="67">
        <f t="shared" si="0"/>
        <v>18083.37</v>
      </c>
    </row>
    <row r="11" spans="1:22">
      <c r="A11" s="10"/>
      <c r="B11" s="6" t="s">
        <v>125</v>
      </c>
      <c r="C11" s="7"/>
      <c r="D11" s="8"/>
      <c r="E11" s="8"/>
      <c r="F11" s="8">
        <v>9314.7199999999993</v>
      </c>
      <c r="G11" s="8">
        <v>24574.67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59"/>
      <c r="T11" s="67">
        <f t="shared" si="0"/>
        <v>33889.39</v>
      </c>
    </row>
    <row r="12" spans="1:22">
      <c r="A12" s="10"/>
      <c r="B12" s="6" t="s">
        <v>119</v>
      </c>
      <c r="C12" s="7">
        <v>1917.31</v>
      </c>
      <c r="D12" s="8">
        <v>3050.99</v>
      </c>
      <c r="E12" s="8">
        <v>303.72000000000003</v>
      </c>
      <c r="F12" s="8">
        <v>21748.97</v>
      </c>
      <c r="G12" s="8">
        <v>27586.69</v>
      </c>
      <c r="H12" s="8"/>
      <c r="I12" s="8"/>
      <c r="J12" s="8"/>
      <c r="K12" s="8">
        <v>455.6</v>
      </c>
      <c r="L12" s="8"/>
      <c r="M12" s="8"/>
      <c r="N12" s="8"/>
      <c r="O12" s="8"/>
      <c r="P12" s="8"/>
      <c r="Q12" s="8"/>
      <c r="R12" s="8"/>
      <c r="S12" s="59"/>
      <c r="T12" s="67">
        <f t="shared" si="0"/>
        <v>55063.28</v>
      </c>
      <c r="U12" s="55"/>
    </row>
    <row r="13" spans="1:22">
      <c r="A13" s="5"/>
      <c r="B13" s="6" t="s">
        <v>134</v>
      </c>
      <c r="C13" s="7">
        <v>4454.91</v>
      </c>
      <c r="D13" s="8">
        <v>7631.55</v>
      </c>
      <c r="E13" s="8"/>
      <c r="F13" s="8"/>
      <c r="G13" s="8"/>
      <c r="H13" s="8">
        <v>307.47000000000003</v>
      </c>
      <c r="I13" s="8">
        <v>33.47</v>
      </c>
      <c r="J13" s="8"/>
      <c r="K13" s="8"/>
      <c r="L13" s="8"/>
      <c r="M13" s="8"/>
      <c r="N13" s="8"/>
      <c r="O13" s="8"/>
      <c r="P13" s="8"/>
      <c r="Q13" s="8"/>
      <c r="R13" s="8"/>
      <c r="S13" s="59"/>
      <c r="T13" s="67">
        <f t="shared" si="0"/>
        <v>12427.399999999998</v>
      </c>
      <c r="U13" s="40"/>
      <c r="V13" s="40"/>
    </row>
    <row r="14" spans="1:22">
      <c r="A14" s="43"/>
      <c r="B14" s="6" t="s">
        <v>138</v>
      </c>
      <c r="C14" s="7"/>
      <c r="D14" s="8"/>
      <c r="E14" s="8">
        <v>1320</v>
      </c>
      <c r="F14" s="8">
        <v>8119.8</v>
      </c>
      <c r="G14" s="8"/>
      <c r="H14" s="8">
        <v>69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59"/>
      <c r="T14" s="67">
        <f t="shared" si="0"/>
        <v>9508.7999999999993</v>
      </c>
    </row>
    <row r="15" spans="1:22">
      <c r="A15" s="43"/>
      <c r="B15" s="6" t="s">
        <v>146</v>
      </c>
      <c r="C15" s="7"/>
      <c r="D15" s="8"/>
      <c r="E15" s="8"/>
      <c r="F15" s="8"/>
      <c r="G15" s="8">
        <v>5529.16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59"/>
      <c r="T15" s="67">
        <f t="shared" si="0"/>
        <v>5529.16</v>
      </c>
    </row>
    <row r="16" spans="1:22">
      <c r="A16" s="43"/>
      <c r="B16" s="6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59"/>
      <c r="T16" s="9">
        <f t="shared" si="0"/>
        <v>0</v>
      </c>
    </row>
    <row r="17" spans="1:23">
      <c r="A17" s="43"/>
      <c r="B17" s="6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59"/>
      <c r="T17" s="9">
        <f t="shared" si="0"/>
        <v>0</v>
      </c>
    </row>
    <row r="18" spans="1:23">
      <c r="A18" s="10"/>
      <c r="B18" s="6"/>
      <c r="C18" s="11"/>
      <c r="D18" s="11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59"/>
      <c r="T18" s="9"/>
    </row>
    <row r="19" spans="1:23" ht="15.75" thickBot="1">
      <c r="A19" s="12" t="s">
        <v>7</v>
      </c>
      <c r="B19" s="13" t="s">
        <v>7</v>
      </c>
      <c r="C19" s="14">
        <f>SUM(C7:C17)</f>
        <v>6372.2199999999993</v>
      </c>
      <c r="D19" s="14">
        <f t="shared" ref="D19:T19" si="1">SUM(D7:D17)</f>
        <v>10682.54</v>
      </c>
      <c r="E19" s="14">
        <f t="shared" si="1"/>
        <v>3071.9</v>
      </c>
      <c r="F19" s="14">
        <f t="shared" si="1"/>
        <v>52059.62</v>
      </c>
      <c r="G19" s="14">
        <f t="shared" si="1"/>
        <v>65243.41</v>
      </c>
      <c r="H19" s="14">
        <f t="shared" si="1"/>
        <v>47221.850000000006</v>
      </c>
      <c r="I19" s="14">
        <f t="shared" si="1"/>
        <v>33.47</v>
      </c>
      <c r="J19" s="14"/>
      <c r="K19" s="14">
        <f t="shared" si="1"/>
        <v>6582.39</v>
      </c>
      <c r="L19" s="14">
        <f t="shared" si="1"/>
        <v>0</v>
      </c>
      <c r="M19" s="14">
        <f t="shared" si="1"/>
        <v>0</v>
      </c>
      <c r="N19" s="14">
        <f t="shared" si="1"/>
        <v>0</v>
      </c>
      <c r="O19" s="14">
        <f t="shared" si="1"/>
        <v>0</v>
      </c>
      <c r="P19" s="14">
        <f t="shared" si="1"/>
        <v>0</v>
      </c>
      <c r="Q19" s="14">
        <f t="shared" si="1"/>
        <v>0</v>
      </c>
      <c r="R19" s="14">
        <f t="shared" si="1"/>
        <v>0</v>
      </c>
      <c r="S19" s="14">
        <f t="shared" si="1"/>
        <v>0</v>
      </c>
      <c r="T19" s="14">
        <f t="shared" si="1"/>
        <v>191267.39999999997</v>
      </c>
      <c r="V19">
        <v>392700</v>
      </c>
    </row>
    <row r="20" spans="1:23">
      <c r="A20" s="15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3" ht="15.75" thickBot="1">
      <c r="A21" s="18"/>
      <c r="B21" s="19"/>
      <c r="C21" s="84">
        <f>+C23/T23</f>
        <v>0.30982981824470024</v>
      </c>
      <c r="D21" s="84">
        <f>+D23/T23</f>
        <v>0.53378731337565455</v>
      </c>
      <c r="E21" s="84">
        <f>+E23/T23</f>
        <v>6.402067106877898E-3</v>
      </c>
      <c r="F21" s="84">
        <f>+F23/T23</f>
        <v>2.0216224825295882E-2</v>
      </c>
      <c r="G21" s="84">
        <f>+G23/T23</f>
        <v>5.7619034125233559E-2</v>
      </c>
      <c r="H21" s="84">
        <f>+H23/T23</f>
        <v>7.1440504620303699E-2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3">
      <c r="A22" s="20" t="s">
        <v>8</v>
      </c>
      <c r="B22" s="21" t="s">
        <v>8</v>
      </c>
      <c r="C22" s="22">
        <v>1830</v>
      </c>
      <c r="D22" s="22">
        <v>1835</v>
      </c>
      <c r="E22" s="22">
        <v>1840</v>
      </c>
      <c r="F22" s="22">
        <v>1845</v>
      </c>
      <c r="G22" s="22">
        <v>1850</v>
      </c>
      <c r="H22" s="22">
        <v>1855</v>
      </c>
      <c r="I22" s="22">
        <v>1820</v>
      </c>
      <c r="J22" s="22">
        <v>1808</v>
      </c>
      <c r="K22" s="22">
        <v>1860</v>
      </c>
      <c r="L22" s="22">
        <v>1808</v>
      </c>
      <c r="M22" s="22">
        <v>1920</v>
      </c>
      <c r="N22" s="22">
        <v>1925</v>
      </c>
      <c r="O22" s="22">
        <v>1930</v>
      </c>
      <c r="P22" s="22">
        <v>1940</v>
      </c>
      <c r="Q22" s="22">
        <v>1955</v>
      </c>
      <c r="R22" s="22">
        <v>1945</v>
      </c>
      <c r="S22" s="57">
        <v>1980</v>
      </c>
      <c r="T22" s="23" t="s">
        <v>3</v>
      </c>
    </row>
    <row r="23" spans="1:23">
      <c r="A23" s="5" t="s">
        <v>17</v>
      </c>
      <c r="B23" s="6" t="s">
        <v>84</v>
      </c>
      <c r="C23" s="24">
        <f>44342.78+13278.09</f>
        <v>57620.869999999995</v>
      </c>
      <c r="D23" s="25">
        <f>81975.55+17296.01</f>
        <v>99271.56</v>
      </c>
      <c r="E23" s="25">
        <v>1190.6300000000001</v>
      </c>
      <c r="F23" s="25">
        <f>923.55+2836.18</f>
        <v>3759.7299999999996</v>
      </c>
      <c r="G23" s="25">
        <f>5670.83+5044.92</f>
        <v>10715.75</v>
      </c>
      <c r="H23" s="25">
        <v>13286.21</v>
      </c>
      <c r="I23" s="8"/>
      <c r="J23" s="8"/>
      <c r="K23" s="8">
        <v>131.12</v>
      </c>
      <c r="L23" s="8"/>
      <c r="M23" s="8"/>
      <c r="N23" s="8"/>
      <c r="O23" s="8"/>
      <c r="P23" s="8"/>
      <c r="Q23" s="8"/>
      <c r="R23" s="8"/>
      <c r="S23" s="59"/>
      <c r="T23" s="67">
        <f t="shared" ref="T23:T34" si="2">SUM(C23:R23)</f>
        <v>185975.87</v>
      </c>
      <c r="W23" s="55"/>
    </row>
    <row r="24" spans="1:23">
      <c r="A24" s="10"/>
      <c r="B24" s="6" t="s">
        <v>120</v>
      </c>
      <c r="C24" s="7">
        <v>202.5</v>
      </c>
      <c r="D24" s="11">
        <v>666.83</v>
      </c>
      <c r="E24" s="8">
        <v>20689.310000000001</v>
      </c>
      <c r="F24" s="8">
        <v>21381.56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59"/>
      <c r="T24" s="67">
        <f t="shared" si="2"/>
        <v>42940.200000000004</v>
      </c>
    </row>
    <row r="25" spans="1:23">
      <c r="A25" s="10"/>
      <c r="B25" s="6" t="s">
        <v>121</v>
      </c>
      <c r="C25" s="7">
        <v>10909.56</v>
      </c>
      <c r="D25" s="11">
        <v>29126.720000000001</v>
      </c>
      <c r="E25" s="8"/>
      <c r="F25" s="8"/>
      <c r="G25" s="8">
        <v>1208.26</v>
      </c>
      <c r="H25" s="8">
        <v>997.08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59"/>
      <c r="T25" s="67">
        <f t="shared" si="2"/>
        <v>42241.62</v>
      </c>
    </row>
    <row r="26" spans="1:23">
      <c r="A26" s="5"/>
      <c r="B26" s="6" t="s">
        <v>123</v>
      </c>
      <c r="C26" s="7">
        <v>17219.55</v>
      </c>
      <c r="D26" s="8">
        <v>14742.94</v>
      </c>
      <c r="E26" s="8"/>
      <c r="F26" s="8">
        <v>2666.12</v>
      </c>
      <c r="G26" s="8"/>
      <c r="H26" s="8">
        <v>4582.49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59"/>
      <c r="T26" s="67">
        <f t="shared" si="2"/>
        <v>39211.1</v>
      </c>
    </row>
    <row r="27" spans="1:23">
      <c r="A27" s="10"/>
      <c r="B27" s="6" t="s">
        <v>130</v>
      </c>
      <c r="C27" s="8">
        <v>9154.1299999999992</v>
      </c>
      <c r="D27" s="8">
        <v>4596.72</v>
      </c>
      <c r="E27" s="8"/>
      <c r="F27" s="8"/>
      <c r="G27" s="8">
        <v>3267.29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59"/>
      <c r="T27" s="67">
        <f t="shared" si="2"/>
        <v>17018.14</v>
      </c>
    </row>
    <row r="28" spans="1:23">
      <c r="A28" s="10"/>
      <c r="B28" s="56" t="s">
        <v>133</v>
      </c>
      <c r="C28" s="8">
        <v>4483.16</v>
      </c>
      <c r="D28" s="8">
        <v>8512.64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59"/>
      <c r="T28" s="67">
        <f t="shared" si="2"/>
        <v>12995.8</v>
      </c>
    </row>
    <row r="29" spans="1:23">
      <c r="A29" s="10"/>
      <c r="B29" s="6" t="s">
        <v>135</v>
      </c>
      <c r="C29" s="8"/>
      <c r="D29" s="8"/>
      <c r="E29" s="8">
        <v>1214.53</v>
      </c>
      <c r="F29" s="8">
        <v>10683.21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59"/>
      <c r="T29" s="67">
        <f t="shared" si="2"/>
        <v>11897.74</v>
      </c>
    </row>
    <row r="30" spans="1:23">
      <c r="A30" s="10"/>
      <c r="B30" s="6" t="s">
        <v>136</v>
      </c>
      <c r="C30" s="8">
        <v>6549.75</v>
      </c>
      <c r="D30" s="8">
        <v>4951.2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59"/>
      <c r="T30" s="67">
        <f t="shared" si="2"/>
        <v>11500.95</v>
      </c>
    </row>
    <row r="31" spans="1:23">
      <c r="A31" s="10"/>
      <c r="B31" s="6" t="s">
        <v>137</v>
      </c>
      <c r="C31" s="8">
        <v>3456.79</v>
      </c>
      <c r="D31" s="8">
        <v>4090.41</v>
      </c>
      <c r="E31" s="8"/>
      <c r="F31" s="8">
        <v>3903.74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59"/>
      <c r="T31" s="67">
        <f t="shared" si="2"/>
        <v>11450.939999999999</v>
      </c>
    </row>
    <row r="32" spans="1:23">
      <c r="A32" s="10"/>
      <c r="B32" s="6" t="s">
        <v>141</v>
      </c>
      <c r="C32" s="8">
        <v>3444.58</v>
      </c>
      <c r="D32" s="8">
        <v>2745.47</v>
      </c>
      <c r="E32" s="8"/>
      <c r="F32" s="8"/>
      <c r="G32" s="8">
        <v>1991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59"/>
      <c r="T32" s="67">
        <f t="shared" si="2"/>
        <v>8181.0499999999993</v>
      </c>
    </row>
    <row r="33" spans="1:22">
      <c r="A33" s="10"/>
      <c r="B33" s="6" t="s">
        <v>143</v>
      </c>
      <c r="C33" s="8">
        <v>3137.29</v>
      </c>
      <c r="D33" s="8">
        <v>3529.68</v>
      </c>
      <c r="E33" s="8"/>
      <c r="F33" s="8"/>
      <c r="G33" s="8">
        <v>1267.31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59"/>
      <c r="T33" s="67">
        <f t="shared" si="2"/>
        <v>7934.2799999999988</v>
      </c>
    </row>
    <row r="34" spans="1:22">
      <c r="A34" s="10"/>
      <c r="B34" s="6" t="s">
        <v>144</v>
      </c>
      <c r="C34" s="8">
        <v>3367.75</v>
      </c>
      <c r="D34" s="8">
        <v>4089.56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59"/>
      <c r="T34" s="67">
        <f t="shared" si="2"/>
        <v>7457.3099999999995</v>
      </c>
    </row>
    <row r="35" spans="1:22">
      <c r="A35" s="10"/>
      <c r="B35" s="6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59"/>
      <c r="T35" s="9"/>
    </row>
    <row r="36" spans="1:22">
      <c r="A36" s="10"/>
      <c r="B36" s="6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59"/>
      <c r="T36" s="9"/>
    </row>
    <row r="37" spans="1:22">
      <c r="A37" s="10"/>
      <c r="B37" s="6" t="s">
        <v>9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59"/>
      <c r="T37" s="9"/>
    </row>
    <row r="38" spans="1:22" ht="15.75" thickBot="1">
      <c r="A38" s="12" t="s">
        <v>10</v>
      </c>
      <c r="B38" s="13" t="str">
        <f>A38</f>
        <v>Sub-Total System Renewal</v>
      </c>
      <c r="C38" s="14">
        <f t="shared" ref="C38:R38" si="3">SUM(C23:C27)</f>
        <v>95106.61</v>
      </c>
      <c r="D38" s="14">
        <f t="shared" si="3"/>
        <v>148404.76999999999</v>
      </c>
      <c r="E38" s="14">
        <f t="shared" si="3"/>
        <v>21879.940000000002</v>
      </c>
      <c r="F38" s="14">
        <f t="shared" si="3"/>
        <v>27807.41</v>
      </c>
      <c r="G38" s="14">
        <f t="shared" si="3"/>
        <v>15191.3</v>
      </c>
      <c r="H38" s="14">
        <f t="shared" si="3"/>
        <v>18865.78</v>
      </c>
      <c r="I38" s="14">
        <f t="shared" si="3"/>
        <v>0</v>
      </c>
      <c r="J38" s="14"/>
      <c r="K38" s="14">
        <f t="shared" si="3"/>
        <v>131.12</v>
      </c>
      <c r="L38" s="14">
        <f t="shared" si="3"/>
        <v>0</v>
      </c>
      <c r="M38" s="14">
        <f t="shared" si="3"/>
        <v>0</v>
      </c>
      <c r="N38" s="14">
        <f t="shared" si="3"/>
        <v>0</v>
      </c>
      <c r="O38" s="14">
        <f t="shared" si="3"/>
        <v>0</v>
      </c>
      <c r="P38" s="14">
        <f t="shared" si="3"/>
        <v>0</v>
      </c>
      <c r="Q38" s="14">
        <f t="shared" si="3"/>
        <v>0</v>
      </c>
      <c r="R38" s="14">
        <f t="shared" si="3"/>
        <v>0</v>
      </c>
      <c r="S38" s="14"/>
      <c r="T38" s="14">
        <f>SUM(T23:T36)</f>
        <v>398804.99999999994</v>
      </c>
      <c r="V38">
        <v>193200</v>
      </c>
    </row>
    <row r="39" spans="1:22">
      <c r="A39" s="15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2" ht="15.75" thickBot="1">
      <c r="A40" s="15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22">
      <c r="A41" s="20" t="s">
        <v>11</v>
      </c>
      <c r="B41" s="21" t="s">
        <v>11</v>
      </c>
      <c r="C41" s="22">
        <v>1830</v>
      </c>
      <c r="D41" s="22">
        <v>1835</v>
      </c>
      <c r="E41" s="22">
        <v>1840</v>
      </c>
      <c r="F41" s="22">
        <v>1845</v>
      </c>
      <c r="G41" s="22">
        <v>1850</v>
      </c>
      <c r="H41" s="22">
        <v>1855</v>
      </c>
      <c r="I41" s="22">
        <v>1820</v>
      </c>
      <c r="J41" s="22">
        <v>1808</v>
      </c>
      <c r="K41" s="22">
        <v>1860</v>
      </c>
      <c r="L41" s="22">
        <v>1808</v>
      </c>
      <c r="M41" s="22">
        <v>1920</v>
      </c>
      <c r="N41" s="22">
        <v>1925</v>
      </c>
      <c r="O41" s="22">
        <v>1930</v>
      </c>
      <c r="P41" s="22">
        <v>1940</v>
      </c>
      <c r="Q41" s="22">
        <v>1955</v>
      </c>
      <c r="R41" s="22">
        <v>1945</v>
      </c>
      <c r="S41" s="57">
        <v>1980</v>
      </c>
      <c r="T41" s="23" t="s">
        <v>3</v>
      </c>
    </row>
    <row r="42" spans="1:22">
      <c r="A42" s="10"/>
      <c r="B42" s="6" t="s">
        <v>168</v>
      </c>
      <c r="C42" s="25">
        <v>87.95</v>
      </c>
      <c r="D42" s="8">
        <v>12800.2</v>
      </c>
      <c r="E42" s="8"/>
      <c r="F42" s="8"/>
      <c r="G42" s="8">
        <v>82161.259999999995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59"/>
      <c r="T42" s="67">
        <f>SUM(C42:R42)</f>
        <v>95049.41</v>
      </c>
    </row>
    <row r="43" spans="1:22">
      <c r="A43" s="10"/>
      <c r="B43" s="6" t="s">
        <v>117</v>
      </c>
      <c r="C43" s="8">
        <v>9123.6</v>
      </c>
      <c r="D43" s="8">
        <v>18875.07</v>
      </c>
      <c r="E43" s="8">
        <v>6143.5</v>
      </c>
      <c r="F43" s="8">
        <v>20473.79</v>
      </c>
      <c r="G43" s="8"/>
      <c r="H43" s="8"/>
      <c r="I43" s="8">
        <v>8586.6200000000008</v>
      </c>
      <c r="J43" s="8"/>
      <c r="K43" s="8"/>
      <c r="L43" s="8"/>
      <c r="M43" s="8"/>
      <c r="N43" s="8"/>
      <c r="O43" s="8"/>
      <c r="P43" s="8"/>
      <c r="Q43" s="8"/>
      <c r="R43" s="8"/>
      <c r="S43" s="59"/>
      <c r="T43" s="67">
        <f>SUM(C43:R43)</f>
        <v>63202.58</v>
      </c>
    </row>
    <row r="44" spans="1:22">
      <c r="A44" s="10"/>
      <c r="B44" s="6" t="s">
        <v>118</v>
      </c>
      <c r="C44" s="8">
        <v>11402.29</v>
      </c>
      <c r="D44" s="8">
        <v>17799.490000000002</v>
      </c>
      <c r="E44" s="8">
        <v>5307.34</v>
      </c>
      <c r="F44" s="8">
        <v>18537.439999999999</v>
      </c>
      <c r="G44" s="8"/>
      <c r="H44" s="8"/>
      <c r="I44" s="8">
        <v>2029.07</v>
      </c>
      <c r="J44" s="8"/>
      <c r="K44" s="8"/>
      <c r="L44" s="8"/>
      <c r="M44" s="8"/>
      <c r="N44" s="8"/>
      <c r="O44" s="8"/>
      <c r="P44" s="8"/>
      <c r="Q44" s="8"/>
      <c r="R44" s="8"/>
      <c r="S44" s="59"/>
      <c r="T44" s="67">
        <f>SUM(C44:S44)</f>
        <v>55075.63</v>
      </c>
    </row>
    <row r="45" spans="1:22">
      <c r="A45" s="10" t="s">
        <v>149</v>
      </c>
      <c r="B45" s="6" t="s">
        <v>167</v>
      </c>
      <c r="C45" s="8">
        <v>1715.43</v>
      </c>
      <c r="D45" s="8">
        <v>4767.67</v>
      </c>
      <c r="E45" s="8"/>
      <c r="F45" s="8"/>
      <c r="G45" s="8">
        <f>44550.52+1319.53</f>
        <v>45870.049999999996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3"/>
      <c r="T45" s="67">
        <f t="shared" ref="T45:T55" si="4">SUM(C45:R45)</f>
        <v>52353.149999999994</v>
      </c>
    </row>
    <row r="46" spans="1:22">
      <c r="A46" s="10"/>
      <c r="B46" s="6" t="s">
        <v>122</v>
      </c>
      <c r="C46" s="8"/>
      <c r="D46" s="8"/>
      <c r="E46" s="8"/>
      <c r="F46" s="8"/>
      <c r="G46" s="8"/>
      <c r="H46" s="8"/>
      <c r="I46" s="8">
        <v>40036.980000000003</v>
      </c>
      <c r="J46" s="8"/>
      <c r="K46" s="8"/>
      <c r="L46" s="8"/>
      <c r="M46" s="8"/>
      <c r="N46" s="8"/>
      <c r="O46" s="8"/>
      <c r="P46" s="8"/>
      <c r="Q46" s="8"/>
      <c r="R46" s="8"/>
      <c r="S46" s="59"/>
      <c r="T46" s="67">
        <f t="shared" si="4"/>
        <v>40036.980000000003</v>
      </c>
    </row>
    <row r="47" spans="1:22">
      <c r="A47" s="10"/>
      <c r="B47" s="6" t="s">
        <v>124</v>
      </c>
      <c r="C47" s="8"/>
      <c r="D47" s="8">
        <v>3867.86</v>
      </c>
      <c r="E47" s="8"/>
      <c r="F47" s="8"/>
      <c r="G47" s="8">
        <v>33784.58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59"/>
      <c r="T47" s="67">
        <f t="shared" si="4"/>
        <v>37652.44</v>
      </c>
    </row>
    <row r="48" spans="1:22">
      <c r="A48" s="10" t="s">
        <v>145</v>
      </c>
      <c r="B48" s="6" t="s">
        <v>126</v>
      </c>
      <c r="C48" s="8">
        <f>1624+2469.05</f>
        <v>4093.05</v>
      </c>
      <c r="D48" s="8">
        <f>28320.02+1994.04</f>
        <v>30314.06</v>
      </c>
      <c r="E48" s="8"/>
      <c r="F48" s="8"/>
      <c r="G48" s="8">
        <f>612.94+1265.75</f>
        <v>1878.69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59"/>
      <c r="T48" s="67">
        <f t="shared" si="4"/>
        <v>36285.800000000003</v>
      </c>
    </row>
    <row r="49" spans="1:22">
      <c r="A49" s="10"/>
      <c r="B49" s="6" t="s">
        <v>127</v>
      </c>
      <c r="C49" s="8"/>
      <c r="D49" s="8">
        <v>5552</v>
      </c>
      <c r="E49" s="8"/>
      <c r="F49" s="8"/>
      <c r="G49" s="8">
        <v>21640.97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59"/>
      <c r="T49" s="67">
        <f t="shared" si="4"/>
        <v>27192.97</v>
      </c>
    </row>
    <row r="50" spans="1:22" s="66" customFormat="1">
      <c r="A50" s="10" t="s">
        <v>147</v>
      </c>
      <c r="B50" s="6" t="s">
        <v>128</v>
      </c>
      <c r="C50" s="8"/>
      <c r="D50" s="8">
        <v>2686.33</v>
      </c>
      <c r="E50" s="8"/>
      <c r="F50" s="8"/>
      <c r="G50" s="8">
        <f>17790.71+4403.76</f>
        <v>22194.47</v>
      </c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59"/>
      <c r="T50" s="9">
        <f t="shared" si="4"/>
        <v>24880.800000000003</v>
      </c>
    </row>
    <row r="51" spans="1:22" s="66" customFormat="1">
      <c r="A51" s="10"/>
      <c r="B51" s="6" t="s">
        <v>132</v>
      </c>
      <c r="C51" s="8"/>
      <c r="D51" s="8">
        <v>117.61</v>
      </c>
      <c r="E51" s="8"/>
      <c r="F51" s="8"/>
      <c r="G51" s="8">
        <v>12896.42</v>
      </c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59"/>
      <c r="T51" s="9">
        <f t="shared" si="4"/>
        <v>13014.03</v>
      </c>
    </row>
    <row r="52" spans="1:22" s="66" customFormat="1">
      <c r="A52" s="10"/>
      <c r="B52" s="6" t="s">
        <v>139</v>
      </c>
      <c r="C52" s="8">
        <v>2572.86</v>
      </c>
      <c r="D52" s="8">
        <v>2824.45</v>
      </c>
      <c r="E52" s="8"/>
      <c r="F52" s="8"/>
      <c r="G52" s="8"/>
      <c r="H52" s="8"/>
      <c r="I52" s="8">
        <v>3369.15</v>
      </c>
      <c r="J52" s="8"/>
      <c r="K52" s="8"/>
      <c r="L52" s="8"/>
      <c r="M52" s="8"/>
      <c r="N52" s="8"/>
      <c r="O52" s="8"/>
      <c r="P52" s="8"/>
      <c r="Q52" s="8"/>
      <c r="R52" s="8"/>
      <c r="S52" s="59"/>
      <c r="T52" s="9">
        <f t="shared" si="4"/>
        <v>8766.4599999999991</v>
      </c>
    </row>
    <row r="53" spans="1:22" s="66" customFormat="1">
      <c r="A53" s="10"/>
      <c r="B53" s="6" t="s">
        <v>140</v>
      </c>
      <c r="C53" s="8"/>
      <c r="D53" s="8">
        <v>335.87</v>
      </c>
      <c r="E53" s="8"/>
      <c r="F53" s="8"/>
      <c r="G53" s="8">
        <v>7970.61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59"/>
      <c r="T53" s="9">
        <f t="shared" si="4"/>
        <v>8306.48</v>
      </c>
    </row>
    <row r="54" spans="1:22" s="66" customFormat="1">
      <c r="A54" s="10"/>
      <c r="B54" s="6" t="s">
        <v>142</v>
      </c>
      <c r="C54" s="8"/>
      <c r="D54" s="8"/>
      <c r="E54" s="8">
        <v>6710</v>
      </c>
      <c r="F54" s="8">
        <v>940.51</v>
      </c>
      <c r="G54" s="8"/>
      <c r="H54" s="8">
        <v>263.14</v>
      </c>
      <c r="I54" s="8"/>
      <c r="J54" s="8"/>
      <c r="K54" s="8">
        <v>52</v>
      </c>
      <c r="L54" s="8"/>
      <c r="M54" s="8"/>
      <c r="N54" s="8"/>
      <c r="O54" s="8"/>
      <c r="P54" s="8"/>
      <c r="Q54" s="8"/>
      <c r="R54" s="8"/>
      <c r="S54" s="59"/>
      <c r="T54" s="9">
        <f t="shared" si="4"/>
        <v>7965.6500000000005</v>
      </c>
    </row>
    <row r="55" spans="1:22" s="66" customFormat="1">
      <c r="A55" s="10"/>
      <c r="B55" s="6" t="s">
        <v>148</v>
      </c>
      <c r="C55" s="8">
        <v>800.65</v>
      </c>
      <c r="D55" s="8"/>
      <c r="E55" s="8"/>
      <c r="F55" s="8"/>
      <c r="G55" s="8">
        <v>4322.5600000000004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59"/>
      <c r="T55" s="9">
        <f t="shared" si="4"/>
        <v>5123.21</v>
      </c>
    </row>
    <row r="56" spans="1:22">
      <c r="A56" s="10"/>
      <c r="B56" s="6" t="s">
        <v>150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59">
        <v>4645.97</v>
      </c>
      <c r="T56" s="67">
        <f>SUM(C56:S56)</f>
        <v>4645.97</v>
      </c>
    </row>
    <row r="57" spans="1:22">
      <c r="A57" s="10"/>
      <c r="B57" s="6" t="s">
        <v>152</v>
      </c>
      <c r="C57" s="8"/>
      <c r="D57" s="8"/>
      <c r="E57" s="8"/>
      <c r="F57" s="8"/>
      <c r="G57" s="8"/>
      <c r="H57" s="8"/>
      <c r="I57" s="8"/>
      <c r="J57" s="8">
        <v>88721</v>
      </c>
      <c r="K57" s="8"/>
      <c r="L57" s="8"/>
      <c r="M57" s="8"/>
      <c r="N57" s="8"/>
      <c r="O57" s="8"/>
      <c r="P57" s="8"/>
      <c r="Q57" s="8"/>
      <c r="R57" s="8"/>
      <c r="S57" s="59"/>
      <c r="T57" s="67">
        <f>SUM(C57:S57)</f>
        <v>88721</v>
      </c>
    </row>
    <row r="58" spans="1:22">
      <c r="A58" s="10"/>
      <c r="B58" s="6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59"/>
      <c r="T58" s="9">
        <f>SUM(C58:R58)</f>
        <v>0</v>
      </c>
    </row>
    <row r="59" spans="1:22">
      <c r="A59" s="10"/>
      <c r="B59" s="6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59"/>
      <c r="T59" s="9"/>
    </row>
    <row r="60" spans="1:22" ht="15.75" thickBot="1">
      <c r="A60" s="12" t="s">
        <v>12</v>
      </c>
      <c r="B60" s="13" t="str">
        <f>A60</f>
        <v>Sub-Total System Service</v>
      </c>
      <c r="C60" s="14">
        <f t="shared" ref="C60:T60" si="5">SUM(C42:C58)</f>
        <v>29795.830000000005</v>
      </c>
      <c r="D60" s="14">
        <f t="shared" si="5"/>
        <v>99940.61</v>
      </c>
      <c r="E60" s="14">
        <f t="shared" si="5"/>
        <v>18160.84</v>
      </c>
      <c r="F60" s="14">
        <f t="shared" si="5"/>
        <v>39951.74</v>
      </c>
      <c r="G60" s="14">
        <f t="shared" si="5"/>
        <v>232719.61000000002</v>
      </c>
      <c r="H60" s="14">
        <f t="shared" si="5"/>
        <v>263.14</v>
      </c>
      <c r="I60" s="14">
        <f t="shared" si="5"/>
        <v>54021.820000000007</v>
      </c>
      <c r="J60" s="14">
        <f t="shared" si="5"/>
        <v>88721</v>
      </c>
      <c r="K60" s="14">
        <f t="shared" si="5"/>
        <v>52</v>
      </c>
      <c r="L60" s="14">
        <f t="shared" si="5"/>
        <v>0</v>
      </c>
      <c r="M60" s="14">
        <f t="shared" si="5"/>
        <v>0</v>
      </c>
      <c r="N60" s="14">
        <f t="shared" si="5"/>
        <v>0</v>
      </c>
      <c r="O60" s="14">
        <f t="shared" si="5"/>
        <v>0</v>
      </c>
      <c r="P60" s="14">
        <f t="shared" si="5"/>
        <v>0</v>
      </c>
      <c r="Q60" s="14">
        <f t="shared" si="5"/>
        <v>0</v>
      </c>
      <c r="R60" s="14">
        <f t="shared" si="5"/>
        <v>0</v>
      </c>
      <c r="S60" s="14">
        <f t="shared" si="5"/>
        <v>4645.97</v>
      </c>
      <c r="T60" s="14">
        <f t="shared" si="5"/>
        <v>568272.56000000006</v>
      </c>
      <c r="V60">
        <v>573650</v>
      </c>
    </row>
    <row r="61" spans="1:22">
      <c r="A61" s="15"/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1:22" ht="15.75" thickBot="1">
      <c r="A62" s="15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1:22">
      <c r="A63" s="20" t="s">
        <v>13</v>
      </c>
      <c r="B63" s="21" t="s">
        <v>13</v>
      </c>
      <c r="C63" s="22">
        <v>1830</v>
      </c>
      <c r="D63" s="22">
        <v>1835</v>
      </c>
      <c r="E63" s="22">
        <v>1840</v>
      </c>
      <c r="F63" s="22">
        <v>1845</v>
      </c>
      <c r="G63" s="22">
        <v>1850</v>
      </c>
      <c r="H63" s="22">
        <v>1855</v>
      </c>
      <c r="I63" s="22">
        <v>1820</v>
      </c>
      <c r="J63" s="22">
        <v>1808</v>
      </c>
      <c r="K63" s="22">
        <v>1860</v>
      </c>
      <c r="L63" s="22">
        <v>1810</v>
      </c>
      <c r="M63" s="22">
        <v>1920</v>
      </c>
      <c r="N63" s="22">
        <v>1925</v>
      </c>
      <c r="O63" s="22">
        <v>1930</v>
      </c>
      <c r="P63" s="22">
        <v>1940</v>
      </c>
      <c r="Q63" s="22">
        <v>1955</v>
      </c>
      <c r="R63" s="22">
        <v>1945</v>
      </c>
      <c r="S63" s="57">
        <v>1980</v>
      </c>
      <c r="T63" s="23" t="s">
        <v>3</v>
      </c>
    </row>
    <row r="64" spans="1:22">
      <c r="A64" s="10"/>
      <c r="B64" s="6" t="s">
        <v>151</v>
      </c>
      <c r="C64" s="26"/>
      <c r="D64" s="27"/>
      <c r="E64" s="27"/>
      <c r="F64" s="27"/>
      <c r="G64" s="27"/>
      <c r="H64" s="27"/>
      <c r="I64" s="27"/>
      <c r="J64" s="27"/>
      <c r="K64" s="27"/>
      <c r="L64" s="25">
        <v>1572.78</v>
      </c>
      <c r="M64" s="25"/>
      <c r="N64" s="25"/>
      <c r="O64" s="25"/>
      <c r="P64" s="27"/>
      <c r="Q64" s="27"/>
      <c r="R64" s="27"/>
      <c r="S64" s="60"/>
      <c r="T64" s="68">
        <f>SUM(C64:R64)</f>
        <v>1572.78</v>
      </c>
    </row>
    <row r="65" spans="1:22">
      <c r="A65" s="10"/>
      <c r="B65" s="6" t="s">
        <v>56</v>
      </c>
      <c r="C65" s="26"/>
      <c r="D65" s="27"/>
      <c r="E65" s="27"/>
      <c r="F65" s="27"/>
      <c r="G65" s="27"/>
      <c r="H65" s="27"/>
      <c r="I65" s="27"/>
      <c r="J65" s="27"/>
      <c r="K65" s="27"/>
      <c r="L65" s="47"/>
      <c r="M65" s="25">
        <v>1083</v>
      </c>
      <c r="N65" s="25"/>
      <c r="O65" s="25"/>
      <c r="P65" s="27"/>
      <c r="Q65" s="27"/>
      <c r="R65" s="27"/>
      <c r="S65" s="60"/>
      <c r="T65" s="68">
        <f>SUM(C65:R65)</f>
        <v>1083</v>
      </c>
    </row>
    <row r="66" spans="1:22">
      <c r="A66" s="10"/>
      <c r="B66" s="6" t="s">
        <v>57</v>
      </c>
      <c r="C66" s="26"/>
      <c r="D66" s="27"/>
      <c r="E66" s="27"/>
      <c r="F66" s="27"/>
      <c r="G66" s="27"/>
      <c r="H66" s="27"/>
      <c r="I66" s="27"/>
      <c r="J66" s="27"/>
      <c r="K66" s="27"/>
      <c r="L66" s="25"/>
      <c r="M66" s="25"/>
      <c r="N66" s="25">
        <v>10652</v>
      </c>
      <c r="O66" s="25"/>
      <c r="P66" s="27"/>
      <c r="Q66" s="27"/>
      <c r="R66" s="27"/>
      <c r="S66" s="60"/>
      <c r="T66" s="68">
        <f>SUM(C66:R66)</f>
        <v>10652</v>
      </c>
    </row>
    <row r="67" spans="1:22">
      <c r="A67" s="10"/>
      <c r="B67" s="6" t="s">
        <v>153</v>
      </c>
      <c r="C67" s="26"/>
      <c r="D67" s="27"/>
      <c r="E67" s="27"/>
      <c r="F67" s="27"/>
      <c r="G67" s="27"/>
      <c r="H67" s="27"/>
      <c r="I67" s="27"/>
      <c r="J67" s="27"/>
      <c r="K67" s="27"/>
      <c r="L67" s="25"/>
      <c r="M67" s="25"/>
      <c r="N67" s="25"/>
      <c r="O67" s="25">
        <v>30997</v>
      </c>
      <c r="P67" s="27"/>
      <c r="Q67" s="27"/>
      <c r="R67" s="27"/>
      <c r="S67" s="60"/>
      <c r="T67" s="68">
        <f>SUM(C67:R67)</f>
        <v>30997</v>
      </c>
    </row>
    <row r="68" spans="1:22">
      <c r="A68" s="10"/>
      <c r="B68" s="6" t="s">
        <v>115</v>
      </c>
      <c r="C68" s="26"/>
      <c r="D68" s="27"/>
      <c r="E68" s="27"/>
      <c r="F68" s="27"/>
      <c r="G68" s="27"/>
      <c r="H68" s="27"/>
      <c r="I68" s="27"/>
      <c r="J68" s="27"/>
      <c r="K68" s="27"/>
      <c r="L68" s="25"/>
      <c r="M68" s="25"/>
      <c r="N68" s="25"/>
      <c r="O68" s="25"/>
      <c r="P68" s="27">
        <v>3542</v>
      </c>
      <c r="Q68" s="27"/>
      <c r="R68" s="27"/>
      <c r="S68" s="60"/>
      <c r="T68" s="68">
        <f>SUM(C68:R68)</f>
        <v>3542</v>
      </c>
    </row>
    <row r="69" spans="1:22">
      <c r="A69" s="10"/>
      <c r="B69" s="6" t="s">
        <v>154</v>
      </c>
      <c r="C69" s="26"/>
      <c r="D69" s="27"/>
      <c r="E69" s="27"/>
      <c r="F69" s="27"/>
      <c r="G69" s="27"/>
      <c r="H69" s="27"/>
      <c r="I69" s="27"/>
      <c r="J69" s="27"/>
      <c r="K69" s="27"/>
      <c r="L69" s="25"/>
      <c r="M69" s="25"/>
      <c r="N69" s="25"/>
      <c r="O69" s="25"/>
      <c r="P69" s="27"/>
      <c r="Q69" s="27"/>
      <c r="R69" s="27"/>
      <c r="S69" s="60">
        <v>12648</v>
      </c>
      <c r="T69" s="68">
        <f>SUM(C69:S69)</f>
        <v>12648</v>
      </c>
    </row>
    <row r="70" spans="1:22">
      <c r="A70" s="10"/>
      <c r="B70" s="6"/>
      <c r="C70" s="26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60"/>
      <c r="T70" s="28">
        <f>SUM(C70:R70)</f>
        <v>0</v>
      </c>
    </row>
    <row r="71" spans="1:22">
      <c r="A71" s="10"/>
      <c r="B71" s="6"/>
      <c r="C71" s="2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60"/>
      <c r="T71" s="28"/>
    </row>
    <row r="72" spans="1:22">
      <c r="A72" s="10"/>
      <c r="B72" s="6"/>
      <c r="C72" s="26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9"/>
      <c r="S72" s="61"/>
      <c r="T72" s="28"/>
    </row>
    <row r="73" spans="1:22">
      <c r="A73" s="30" t="s">
        <v>14</v>
      </c>
      <c r="B73" s="31" t="str">
        <f>A73</f>
        <v>Sub-Total General Plant</v>
      </c>
      <c r="C73" s="32">
        <f t="shared" ref="C73:I73" si="6">SUM(C64:C72)</f>
        <v>0</v>
      </c>
      <c r="D73" s="32">
        <f t="shared" si="6"/>
        <v>0</v>
      </c>
      <c r="E73" s="32">
        <f t="shared" si="6"/>
        <v>0</v>
      </c>
      <c r="F73" s="32">
        <f t="shared" si="6"/>
        <v>0</v>
      </c>
      <c r="G73" s="32">
        <f t="shared" si="6"/>
        <v>0</v>
      </c>
      <c r="H73" s="32">
        <f t="shared" si="6"/>
        <v>0</v>
      </c>
      <c r="I73" s="32">
        <f t="shared" si="6"/>
        <v>0</v>
      </c>
      <c r="J73" s="32"/>
      <c r="K73" s="32">
        <f t="shared" ref="K73:T73" si="7">SUM(K64:K72)</f>
        <v>0</v>
      </c>
      <c r="L73" s="32">
        <f t="shared" si="7"/>
        <v>1572.78</v>
      </c>
      <c r="M73" s="32">
        <f t="shared" si="7"/>
        <v>1083</v>
      </c>
      <c r="N73" s="32">
        <f t="shared" si="7"/>
        <v>10652</v>
      </c>
      <c r="O73" s="32">
        <f t="shared" si="7"/>
        <v>30997</v>
      </c>
      <c r="P73" s="32">
        <f t="shared" si="7"/>
        <v>3542</v>
      </c>
      <c r="Q73" s="32">
        <f t="shared" si="7"/>
        <v>0</v>
      </c>
      <c r="R73" s="32">
        <f t="shared" si="7"/>
        <v>0</v>
      </c>
      <c r="S73" s="32">
        <f t="shared" si="7"/>
        <v>12648</v>
      </c>
      <c r="T73" s="53">
        <f t="shared" si="7"/>
        <v>60494.78</v>
      </c>
      <c r="V73">
        <v>116200</v>
      </c>
    </row>
    <row r="74" spans="1:22">
      <c r="A74" s="33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62"/>
      <c r="T74" s="35"/>
    </row>
    <row r="75" spans="1:22" ht="15.75" thickBot="1">
      <c r="A75" s="12" t="s">
        <v>15</v>
      </c>
      <c r="B75" s="13"/>
      <c r="C75" s="49">
        <f t="shared" ref="C75:T75" si="8">+C73+C60+C38+C19</f>
        <v>131274.66</v>
      </c>
      <c r="D75" s="49">
        <f t="shared" si="8"/>
        <v>259027.92</v>
      </c>
      <c r="E75" s="49">
        <f t="shared" si="8"/>
        <v>43112.68</v>
      </c>
      <c r="F75" s="49">
        <f t="shared" si="8"/>
        <v>119818.76999999999</v>
      </c>
      <c r="G75" s="49">
        <f t="shared" si="8"/>
        <v>313154.32</v>
      </c>
      <c r="H75" s="49">
        <f t="shared" si="8"/>
        <v>66350.77</v>
      </c>
      <c r="I75" s="49">
        <f t="shared" si="8"/>
        <v>54055.290000000008</v>
      </c>
      <c r="J75" s="49">
        <f t="shared" si="8"/>
        <v>88721</v>
      </c>
      <c r="K75" s="49">
        <f t="shared" si="8"/>
        <v>6765.51</v>
      </c>
      <c r="L75" s="49">
        <f t="shared" si="8"/>
        <v>1572.78</v>
      </c>
      <c r="M75" s="49">
        <f t="shared" si="8"/>
        <v>1083</v>
      </c>
      <c r="N75" s="49">
        <f t="shared" si="8"/>
        <v>10652</v>
      </c>
      <c r="O75" s="49">
        <f t="shared" si="8"/>
        <v>30997</v>
      </c>
      <c r="P75" s="49">
        <f t="shared" si="8"/>
        <v>3542</v>
      </c>
      <c r="Q75" s="49">
        <f t="shared" si="8"/>
        <v>0</v>
      </c>
      <c r="R75" s="49">
        <f t="shared" si="8"/>
        <v>0</v>
      </c>
      <c r="S75" s="49">
        <f t="shared" si="8"/>
        <v>17293.97</v>
      </c>
      <c r="T75" s="53">
        <f t="shared" si="8"/>
        <v>1218839.74</v>
      </c>
      <c r="V75">
        <f>+V73+V60+V38+V19</f>
        <v>1275750</v>
      </c>
    </row>
    <row r="76" spans="1:2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63"/>
    </row>
    <row r="77" spans="1:22">
      <c r="A77" s="4"/>
      <c r="B77" s="4"/>
      <c r="C77" s="48"/>
      <c r="D77" s="50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63"/>
    </row>
    <row r="78" spans="1:22">
      <c r="A78" s="4"/>
      <c r="B78" s="4"/>
      <c r="C78" s="48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64"/>
    </row>
    <row r="79" spans="1:22">
      <c r="A79" s="4"/>
      <c r="B79" s="4"/>
      <c r="C79" s="51"/>
      <c r="D79" s="52"/>
      <c r="E79" s="52"/>
      <c r="F79" s="52"/>
      <c r="G79" s="52"/>
      <c r="H79" s="52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65"/>
    </row>
    <row r="80" spans="1:22">
      <c r="A80" s="4"/>
      <c r="B80" s="4"/>
      <c r="C80" s="48"/>
      <c r="D80" s="4"/>
      <c r="E80" s="4"/>
      <c r="F80" s="48"/>
      <c r="G80" s="48"/>
      <c r="H80" s="48"/>
      <c r="I80" s="4"/>
      <c r="J80" s="4"/>
      <c r="K80" s="48"/>
      <c r="L80" s="4"/>
      <c r="M80" s="4"/>
      <c r="N80" s="4"/>
      <c r="O80" s="4"/>
      <c r="P80" s="4"/>
      <c r="Q80" s="4"/>
      <c r="R80" s="4"/>
      <c r="S80" s="4"/>
      <c r="T80" s="63"/>
    </row>
    <row r="81" spans="1:20">
      <c r="A81" s="4"/>
      <c r="B81" s="4"/>
      <c r="C81" s="4"/>
      <c r="D81" s="4"/>
      <c r="E81" s="4"/>
      <c r="F81" s="4"/>
      <c r="G81" s="4"/>
      <c r="H81" s="4"/>
      <c r="I81" s="4"/>
      <c r="J81" s="4"/>
      <c r="K81" s="48"/>
      <c r="L81" s="4"/>
      <c r="M81" s="4"/>
      <c r="N81" s="4"/>
      <c r="O81" s="4"/>
      <c r="P81" s="4"/>
      <c r="Q81" s="4"/>
      <c r="R81" s="4"/>
      <c r="S81" s="4"/>
      <c r="T81" s="63"/>
    </row>
    <row r="82" spans="1:20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63"/>
    </row>
    <row r="83" spans="1:20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63"/>
    </row>
    <row r="84" spans="1:20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63"/>
    </row>
    <row r="85" spans="1:20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63"/>
    </row>
    <row r="86" spans="1:2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63"/>
    </row>
    <row r="87" spans="1:2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63"/>
    </row>
    <row r="88" spans="1:2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63"/>
    </row>
    <row r="89" spans="1:2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63"/>
    </row>
    <row r="90" spans="1:2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63"/>
    </row>
    <row r="91" spans="1:20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63"/>
    </row>
    <row r="92" spans="1:20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63"/>
    </row>
    <row r="93" spans="1:20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63"/>
    </row>
    <row r="94" spans="1:20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63"/>
    </row>
    <row r="95" spans="1:20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63"/>
    </row>
    <row r="96" spans="1:20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63"/>
    </row>
    <row r="97" spans="1:20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63"/>
    </row>
    <row r="98" spans="1:20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63"/>
    </row>
    <row r="99" spans="1:20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63"/>
    </row>
    <row r="100" spans="1:2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63"/>
    </row>
    <row r="101" spans="1:20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63"/>
    </row>
  </sheetData>
  <mergeCells count="2">
    <mergeCell ref="A1:T1"/>
    <mergeCell ref="A2:T2"/>
  </mergeCells>
  <dataValidations disablePrompts="1" count="1">
    <dataValidation type="list" allowBlank="1" showInputMessage="1" showErrorMessage="1" sqref="C4:T4">
      <formula1>"CGAAP,MIFRS,USGAAP,ASPE,NEWGAAP"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workbookViewId="0">
      <selection activeCell="A36" sqref="A36"/>
    </sheetView>
  </sheetViews>
  <sheetFormatPr defaultRowHeight="15"/>
  <cols>
    <col min="1" max="1" width="26.28515625" bestFit="1" customWidth="1"/>
    <col min="2" max="2" width="43.7109375" customWidth="1"/>
    <col min="3" max="3" width="10.5703125" bestFit="1" customWidth="1"/>
    <col min="4" max="4" width="11.5703125" bestFit="1" customWidth="1"/>
    <col min="5" max="5" width="9.42578125" bestFit="1" customWidth="1"/>
    <col min="6" max="6" width="10.85546875" customWidth="1"/>
    <col min="7" max="7" width="10" bestFit="1" customWidth="1"/>
    <col min="8" max="8" width="9.5703125" bestFit="1" customWidth="1"/>
    <col min="9" max="9" width="13.5703125" customWidth="1"/>
    <col min="10" max="10" width="10.7109375" customWidth="1"/>
    <col min="11" max="11" width="9.42578125" bestFit="1" customWidth="1"/>
    <col min="12" max="15" width="11.5703125" bestFit="1" customWidth="1"/>
    <col min="16" max="16" width="9.42578125" bestFit="1" customWidth="1"/>
    <col min="17" max="17" width="9.42578125" customWidth="1"/>
    <col min="18" max="18" width="12.5703125" style="66" bestFit="1" customWidth="1"/>
  </cols>
  <sheetData>
    <row r="1" spans="1:20" ht="18.7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20" ht="18.75">
      <c r="A2" s="86">
        <v>2019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20" ht="15.75" thickBo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0">
      <c r="A4" s="36" t="s">
        <v>1</v>
      </c>
      <c r="B4" s="37" t="s">
        <v>1</v>
      </c>
      <c r="C4" s="39" t="s">
        <v>102</v>
      </c>
      <c r="D4" s="39" t="s">
        <v>102</v>
      </c>
      <c r="E4" s="39" t="s">
        <v>102</v>
      </c>
      <c r="F4" s="39" t="s">
        <v>102</v>
      </c>
      <c r="G4" s="39" t="s">
        <v>102</v>
      </c>
      <c r="H4" s="39" t="s">
        <v>102</v>
      </c>
      <c r="I4" s="39" t="s">
        <v>102</v>
      </c>
      <c r="J4" s="39" t="s">
        <v>102</v>
      </c>
      <c r="K4" s="39" t="s">
        <v>102</v>
      </c>
      <c r="L4" s="39" t="s">
        <v>102</v>
      </c>
      <c r="M4" s="39" t="s">
        <v>102</v>
      </c>
      <c r="N4" s="39" t="s">
        <v>102</v>
      </c>
      <c r="O4" s="39" t="s">
        <v>102</v>
      </c>
      <c r="P4" s="39" t="s">
        <v>102</v>
      </c>
      <c r="Q4" s="39" t="s">
        <v>102</v>
      </c>
      <c r="R4" s="39" t="s">
        <v>102</v>
      </c>
      <c r="S4" s="40"/>
      <c r="T4" s="40"/>
    </row>
    <row r="5" spans="1:20">
      <c r="A5" s="30" t="s">
        <v>2</v>
      </c>
      <c r="B5" s="31" t="s">
        <v>2</v>
      </c>
      <c r="C5" s="22">
        <v>1830</v>
      </c>
      <c r="D5" s="22">
        <v>1835</v>
      </c>
      <c r="E5" s="22">
        <v>1840</v>
      </c>
      <c r="F5" s="22">
        <v>1845</v>
      </c>
      <c r="G5" s="22">
        <v>1850</v>
      </c>
      <c r="H5" s="22">
        <v>1855</v>
      </c>
      <c r="I5" s="22">
        <v>1820</v>
      </c>
      <c r="J5" s="22">
        <v>1915</v>
      </c>
      <c r="K5" s="22">
        <v>1860</v>
      </c>
      <c r="L5" s="22">
        <v>1808</v>
      </c>
      <c r="M5" s="22">
        <v>1920</v>
      </c>
      <c r="N5" s="22">
        <v>1925</v>
      </c>
      <c r="O5" s="22">
        <v>1930</v>
      </c>
      <c r="P5" s="22">
        <v>1940</v>
      </c>
      <c r="Q5" s="57">
        <v>1980</v>
      </c>
      <c r="R5" s="23" t="s">
        <v>3</v>
      </c>
      <c r="S5" s="40"/>
      <c r="T5" s="40"/>
    </row>
    <row r="6" spans="1:20">
      <c r="A6" s="10"/>
      <c r="B6" s="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58"/>
      <c r="R6" s="42"/>
      <c r="S6" s="40"/>
      <c r="T6" s="40"/>
    </row>
    <row r="7" spans="1:20">
      <c r="A7" s="30" t="s">
        <v>4</v>
      </c>
      <c r="B7" s="31" t="s">
        <v>4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59"/>
      <c r="R7" s="9"/>
      <c r="S7" s="40"/>
      <c r="T7" s="40"/>
    </row>
    <row r="8" spans="1:20">
      <c r="A8" s="5" t="s">
        <v>5</v>
      </c>
      <c r="B8" s="6" t="s">
        <v>6</v>
      </c>
      <c r="C8" s="7"/>
      <c r="D8" s="8"/>
      <c r="E8" s="8"/>
      <c r="F8" s="8"/>
      <c r="G8" s="8"/>
      <c r="H8" s="8">
        <v>40000</v>
      </c>
      <c r="I8" s="8"/>
      <c r="J8" s="8"/>
      <c r="K8" s="8"/>
      <c r="L8" s="8"/>
      <c r="M8" s="8"/>
      <c r="N8" s="8"/>
      <c r="O8" s="8"/>
      <c r="P8" s="8"/>
      <c r="Q8" s="59"/>
      <c r="R8" s="67">
        <f t="shared" ref="R8:R15" si="0">SUM(C8:P8)</f>
        <v>40000</v>
      </c>
    </row>
    <row r="9" spans="1:20">
      <c r="A9" s="10"/>
      <c r="B9" s="6" t="s">
        <v>155</v>
      </c>
      <c r="C9" s="7">
        <v>2500</v>
      </c>
      <c r="D9" s="8">
        <v>7000</v>
      </c>
      <c r="E9" s="8">
        <v>500</v>
      </c>
      <c r="F9" s="8">
        <v>10000</v>
      </c>
      <c r="G9" s="8"/>
      <c r="H9" s="8">
        <v>12000</v>
      </c>
      <c r="I9" s="8"/>
      <c r="J9" s="8"/>
      <c r="K9" s="8"/>
      <c r="L9" s="8"/>
      <c r="M9" s="8"/>
      <c r="N9" s="8"/>
      <c r="O9" s="8"/>
      <c r="P9" s="8"/>
      <c r="Q9" s="59"/>
      <c r="R9" s="67">
        <f t="shared" si="0"/>
        <v>32000</v>
      </c>
    </row>
    <row r="10" spans="1:20">
      <c r="A10" s="10"/>
      <c r="B10" s="6" t="s">
        <v>156</v>
      </c>
      <c r="C10" s="8">
        <v>5000</v>
      </c>
      <c r="D10" s="8">
        <v>10000</v>
      </c>
      <c r="E10" s="8">
        <v>1000</v>
      </c>
      <c r="F10" s="8">
        <v>30000</v>
      </c>
      <c r="G10" s="8"/>
      <c r="H10" s="8">
        <v>20000</v>
      </c>
      <c r="I10" s="8"/>
      <c r="J10" s="8"/>
      <c r="K10" s="8"/>
      <c r="L10" s="8"/>
      <c r="M10" s="8"/>
      <c r="N10" s="8"/>
      <c r="O10" s="8"/>
      <c r="P10" s="8"/>
      <c r="Q10" s="59"/>
      <c r="R10" s="67">
        <f t="shared" si="0"/>
        <v>66000</v>
      </c>
    </row>
    <row r="11" spans="1:20">
      <c r="A11" s="10"/>
      <c r="B11" s="6" t="s">
        <v>157</v>
      </c>
      <c r="C11" s="7">
        <v>2500</v>
      </c>
      <c r="D11" s="8"/>
      <c r="E11" s="8">
        <v>500</v>
      </c>
      <c r="F11" s="8">
        <v>3000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59"/>
      <c r="R11" s="67">
        <f t="shared" si="0"/>
        <v>6000</v>
      </c>
    </row>
    <row r="12" spans="1:20">
      <c r="A12" s="10"/>
      <c r="B12" s="6" t="s">
        <v>158</v>
      </c>
      <c r="C12" s="7"/>
      <c r="D12" s="8"/>
      <c r="E12" s="8">
        <v>500</v>
      </c>
      <c r="F12" s="8">
        <v>5000</v>
      </c>
      <c r="G12" s="8"/>
      <c r="H12" s="8">
        <v>8000</v>
      </c>
      <c r="I12" s="8"/>
      <c r="J12" s="8"/>
      <c r="K12" s="8"/>
      <c r="L12" s="8"/>
      <c r="M12" s="8"/>
      <c r="N12" s="8"/>
      <c r="O12" s="8"/>
      <c r="P12" s="8"/>
      <c r="Q12" s="59"/>
      <c r="R12" s="67">
        <f t="shared" si="0"/>
        <v>13500</v>
      </c>
      <c r="S12" s="55"/>
    </row>
    <row r="13" spans="1:20">
      <c r="A13" s="5"/>
      <c r="B13" s="6" t="s">
        <v>54</v>
      </c>
      <c r="C13" s="7"/>
      <c r="D13" s="8"/>
      <c r="E13" s="8"/>
      <c r="F13" s="8"/>
      <c r="G13" s="8">
        <v>60000</v>
      </c>
      <c r="H13" s="8"/>
      <c r="I13" s="8"/>
      <c r="J13" s="8"/>
      <c r="K13" s="8"/>
      <c r="L13" s="8"/>
      <c r="M13" s="8"/>
      <c r="N13" s="8"/>
      <c r="O13" s="8"/>
      <c r="P13" s="8"/>
      <c r="Q13" s="59"/>
      <c r="R13" s="67">
        <f t="shared" si="0"/>
        <v>60000</v>
      </c>
      <c r="S13" s="40"/>
      <c r="T13" s="40"/>
    </row>
    <row r="14" spans="1:20">
      <c r="A14" s="43"/>
      <c r="B14" s="6" t="s">
        <v>116</v>
      </c>
      <c r="C14" s="7"/>
      <c r="D14" s="8"/>
      <c r="E14" s="8"/>
      <c r="F14" s="8"/>
      <c r="G14" s="8"/>
      <c r="H14" s="8"/>
      <c r="I14" s="8"/>
      <c r="J14" s="8"/>
      <c r="K14" s="8">
        <v>33000</v>
      </c>
      <c r="L14" s="8"/>
      <c r="M14" s="8"/>
      <c r="N14" s="8"/>
      <c r="O14" s="8"/>
      <c r="P14" s="8"/>
      <c r="Q14" s="59"/>
      <c r="R14" s="67">
        <f t="shared" si="0"/>
        <v>33000</v>
      </c>
    </row>
    <row r="15" spans="1:20">
      <c r="A15" s="43"/>
      <c r="B15" s="6"/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59"/>
      <c r="R15" s="67">
        <f t="shared" si="0"/>
        <v>0</v>
      </c>
    </row>
    <row r="16" spans="1:20">
      <c r="A16" s="43"/>
      <c r="B16" s="6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59"/>
      <c r="R16" s="9"/>
    </row>
    <row r="17" spans="1:21">
      <c r="A17" s="43"/>
      <c r="B17" s="6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59"/>
      <c r="R17" s="9"/>
    </row>
    <row r="18" spans="1:21">
      <c r="A18" s="10"/>
      <c r="B18" s="6"/>
      <c r="C18" s="11"/>
      <c r="D18" s="11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59"/>
      <c r="R18" s="9"/>
    </row>
    <row r="19" spans="1:21" ht="15.75" thickBot="1">
      <c r="A19" s="12" t="s">
        <v>7</v>
      </c>
      <c r="B19" s="13" t="s">
        <v>7</v>
      </c>
      <c r="C19" s="14">
        <f>SUM(C7:C17)</f>
        <v>10000</v>
      </c>
      <c r="D19" s="14">
        <f t="shared" ref="D19:R19" si="1">SUM(D7:D17)</f>
        <v>17000</v>
      </c>
      <c r="E19" s="14">
        <f t="shared" si="1"/>
        <v>2500</v>
      </c>
      <c r="F19" s="14">
        <f t="shared" si="1"/>
        <v>48000</v>
      </c>
      <c r="G19" s="14">
        <f t="shared" si="1"/>
        <v>60000</v>
      </c>
      <c r="H19" s="14">
        <f t="shared" si="1"/>
        <v>80000</v>
      </c>
      <c r="I19" s="14">
        <f t="shared" si="1"/>
        <v>0</v>
      </c>
      <c r="J19" s="14"/>
      <c r="K19" s="14">
        <f t="shared" si="1"/>
        <v>33000</v>
      </c>
      <c r="L19" s="14">
        <f t="shared" si="1"/>
        <v>0</v>
      </c>
      <c r="M19" s="14">
        <f t="shared" si="1"/>
        <v>0</v>
      </c>
      <c r="N19" s="14">
        <f t="shared" si="1"/>
        <v>0</v>
      </c>
      <c r="O19" s="14">
        <f t="shared" si="1"/>
        <v>0</v>
      </c>
      <c r="P19" s="14">
        <f t="shared" si="1"/>
        <v>0</v>
      </c>
      <c r="Q19" s="14">
        <f t="shared" si="1"/>
        <v>0</v>
      </c>
      <c r="R19" s="14">
        <f t="shared" si="1"/>
        <v>250500</v>
      </c>
    </row>
    <row r="20" spans="1:21">
      <c r="A20" s="15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21" ht="15.75" thickBot="1">
      <c r="A21" s="18"/>
      <c r="B21" s="19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21">
      <c r="A22" s="20" t="s">
        <v>8</v>
      </c>
      <c r="B22" s="21" t="s">
        <v>8</v>
      </c>
      <c r="C22" s="76">
        <v>1830</v>
      </c>
      <c r="D22" s="76">
        <v>1835</v>
      </c>
      <c r="E22" s="76">
        <v>1840</v>
      </c>
      <c r="F22" s="76">
        <v>1845</v>
      </c>
      <c r="G22" s="76">
        <v>1850</v>
      </c>
      <c r="H22" s="76">
        <v>1855</v>
      </c>
      <c r="I22" s="76">
        <v>1820</v>
      </c>
      <c r="J22" s="76">
        <v>1915</v>
      </c>
      <c r="K22" s="76">
        <v>1860</v>
      </c>
      <c r="L22" s="76">
        <v>1808</v>
      </c>
      <c r="M22" s="76">
        <v>1920</v>
      </c>
      <c r="N22" s="76">
        <v>1925</v>
      </c>
      <c r="O22" s="76">
        <v>1930</v>
      </c>
      <c r="P22" s="76">
        <v>1940</v>
      </c>
      <c r="Q22" s="82">
        <v>1980</v>
      </c>
      <c r="R22" s="77" t="s">
        <v>3</v>
      </c>
    </row>
    <row r="23" spans="1:21">
      <c r="A23" s="5" t="s">
        <v>17</v>
      </c>
      <c r="B23" s="6" t="s">
        <v>84</v>
      </c>
      <c r="C23" s="24">
        <v>45000</v>
      </c>
      <c r="D23" s="25">
        <v>80000</v>
      </c>
      <c r="E23" s="25">
        <v>1000</v>
      </c>
      <c r="F23" s="25">
        <v>3000</v>
      </c>
      <c r="G23" s="25">
        <v>9000</v>
      </c>
      <c r="H23" s="25">
        <v>12000</v>
      </c>
      <c r="I23" s="8"/>
      <c r="J23" s="8"/>
      <c r="K23" s="8"/>
      <c r="L23" s="8"/>
      <c r="M23" s="8"/>
      <c r="N23" s="8"/>
      <c r="O23" s="8"/>
      <c r="P23" s="8"/>
      <c r="Q23" s="59"/>
      <c r="R23" s="67">
        <f>SUM(C23:P23)</f>
        <v>150000</v>
      </c>
      <c r="U23" s="55"/>
    </row>
    <row r="24" spans="1:21">
      <c r="A24" s="10"/>
      <c r="B24" s="6" t="s">
        <v>162</v>
      </c>
      <c r="C24" s="7">
        <v>40000</v>
      </c>
      <c r="D24" s="11">
        <v>70000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9"/>
      <c r="R24" s="67">
        <f>SUM(C24:P24)</f>
        <v>110000</v>
      </c>
    </row>
    <row r="25" spans="1:21">
      <c r="A25" s="10"/>
      <c r="B25" s="6" t="s">
        <v>163</v>
      </c>
      <c r="C25" s="7">
        <v>15000</v>
      </c>
      <c r="D25" s="11">
        <v>35000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9"/>
      <c r="R25" s="67">
        <f>SUM(C25:P25)</f>
        <v>50000</v>
      </c>
    </row>
    <row r="26" spans="1:21">
      <c r="A26" s="5"/>
      <c r="B26" s="6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59"/>
      <c r="R26" s="67"/>
    </row>
    <row r="27" spans="1:21">
      <c r="A27" s="10"/>
      <c r="B27" s="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59"/>
      <c r="R27" s="9"/>
    </row>
    <row r="28" spans="1:21">
      <c r="A28" s="10"/>
      <c r="B28" s="6" t="s">
        <v>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9"/>
      <c r="R28" s="9"/>
    </row>
    <row r="29" spans="1:21" ht="15.75" thickBot="1">
      <c r="A29" s="12" t="s">
        <v>10</v>
      </c>
      <c r="B29" s="13" t="str">
        <f>A29</f>
        <v>Sub-Total System Renewal</v>
      </c>
      <c r="C29" s="14">
        <f t="shared" ref="C29:I29" si="2">SUM(C23:C26)</f>
        <v>100000</v>
      </c>
      <c r="D29" s="14">
        <f t="shared" si="2"/>
        <v>185000</v>
      </c>
      <c r="E29" s="14">
        <f t="shared" si="2"/>
        <v>1000</v>
      </c>
      <c r="F29" s="14">
        <f t="shared" si="2"/>
        <v>3000</v>
      </c>
      <c r="G29" s="14">
        <f t="shared" si="2"/>
        <v>9000</v>
      </c>
      <c r="H29" s="14">
        <f t="shared" si="2"/>
        <v>12000</v>
      </c>
      <c r="I29" s="14">
        <f t="shared" si="2"/>
        <v>0</v>
      </c>
      <c r="J29" s="14"/>
      <c r="K29" s="14">
        <f t="shared" ref="K29:P29" si="3">SUM(K23:K26)</f>
        <v>0</v>
      </c>
      <c r="L29" s="14">
        <f t="shared" si="3"/>
        <v>0</v>
      </c>
      <c r="M29" s="14">
        <f t="shared" si="3"/>
        <v>0</v>
      </c>
      <c r="N29" s="14">
        <f t="shared" si="3"/>
        <v>0</v>
      </c>
      <c r="O29" s="14">
        <f t="shared" si="3"/>
        <v>0</v>
      </c>
      <c r="P29" s="14">
        <f t="shared" si="3"/>
        <v>0</v>
      </c>
      <c r="Q29" s="14"/>
      <c r="R29" s="80">
        <f>SUM(R23:R27)</f>
        <v>310000</v>
      </c>
    </row>
    <row r="30" spans="1:21">
      <c r="A30" s="15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1:21" ht="15.75" thickBot="1">
      <c r="A31" s="15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21">
      <c r="A32" s="20" t="s">
        <v>11</v>
      </c>
      <c r="B32" s="21" t="s">
        <v>11</v>
      </c>
      <c r="C32" s="76">
        <v>1830</v>
      </c>
      <c r="D32" s="76">
        <v>1835</v>
      </c>
      <c r="E32" s="76">
        <v>1840</v>
      </c>
      <c r="F32" s="76">
        <v>1845</v>
      </c>
      <c r="G32" s="76">
        <v>1850</v>
      </c>
      <c r="H32" s="76">
        <v>1855</v>
      </c>
      <c r="I32" s="76">
        <v>1820</v>
      </c>
      <c r="J32" s="76">
        <v>1915</v>
      </c>
      <c r="K32" s="76">
        <v>1860</v>
      </c>
      <c r="L32" s="76">
        <v>1808</v>
      </c>
      <c r="M32" s="76">
        <v>1920</v>
      </c>
      <c r="N32" s="76">
        <v>1925</v>
      </c>
      <c r="O32" s="76">
        <v>1930</v>
      </c>
      <c r="P32" s="76">
        <v>1940</v>
      </c>
      <c r="Q32" s="82">
        <v>1980</v>
      </c>
      <c r="R32" s="77" t="s">
        <v>3</v>
      </c>
    </row>
    <row r="33" spans="1:18">
      <c r="A33" s="10"/>
      <c r="B33" s="6" t="s">
        <v>159</v>
      </c>
      <c r="C33" s="25"/>
      <c r="D33" s="8"/>
      <c r="E33" s="8"/>
      <c r="F33" s="8"/>
      <c r="G33" s="8">
        <v>25000</v>
      </c>
      <c r="H33" s="8"/>
      <c r="I33" s="8"/>
      <c r="J33" s="8"/>
      <c r="K33" s="8"/>
      <c r="L33" s="8"/>
      <c r="M33" s="8"/>
      <c r="N33" s="8"/>
      <c r="O33" s="8"/>
      <c r="P33" s="8"/>
      <c r="Q33" s="59"/>
      <c r="R33" s="67">
        <f>SUM(C33:P33)</f>
        <v>25000</v>
      </c>
    </row>
    <row r="34" spans="1:18">
      <c r="A34" s="10"/>
      <c r="B34" s="6" t="s">
        <v>161</v>
      </c>
      <c r="C34" s="8"/>
      <c r="D34" s="8"/>
      <c r="E34" s="8"/>
      <c r="F34" s="8"/>
      <c r="G34" s="8">
        <v>175000</v>
      </c>
      <c r="H34" s="8"/>
      <c r="I34" s="8"/>
      <c r="J34" s="8"/>
      <c r="K34" s="8"/>
      <c r="L34" s="8"/>
      <c r="M34" s="8"/>
      <c r="N34" s="8"/>
      <c r="O34" s="8"/>
      <c r="P34" s="8"/>
      <c r="Q34" s="59"/>
      <c r="R34" s="67">
        <f>SUM(C34:P34)</f>
        <v>175000</v>
      </c>
    </row>
    <row r="35" spans="1:18">
      <c r="A35" s="10"/>
      <c r="B35" s="6" t="s">
        <v>160</v>
      </c>
      <c r="C35" s="8"/>
      <c r="D35" s="8"/>
      <c r="E35" s="8"/>
      <c r="F35" s="8"/>
      <c r="G35" s="8"/>
      <c r="H35" s="8"/>
      <c r="I35" s="8">
        <v>1657000</v>
      </c>
      <c r="J35" s="8"/>
      <c r="K35" s="8"/>
      <c r="L35" s="8"/>
      <c r="M35" s="8"/>
      <c r="N35" s="8"/>
      <c r="O35" s="8"/>
      <c r="P35" s="8"/>
      <c r="Q35" s="59"/>
      <c r="R35" s="67">
        <f>SUM(C35:Q35)</f>
        <v>1657000</v>
      </c>
    </row>
    <row r="36" spans="1:18">
      <c r="A36" s="10"/>
      <c r="B36" s="6" t="s">
        <v>154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3">
        <v>50000</v>
      </c>
      <c r="R36" s="67">
        <f>SUM(C36:Q36)</f>
        <v>50000</v>
      </c>
    </row>
    <row r="37" spans="1:18">
      <c r="A37" s="10"/>
      <c r="B37" s="6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59"/>
      <c r="R37" s="67">
        <f>SUM(C37:Q37)</f>
        <v>0</v>
      </c>
    </row>
    <row r="38" spans="1:18">
      <c r="A38" s="10"/>
      <c r="B38" s="6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59"/>
      <c r="R38" s="9">
        <f>SUM(C38:P38)</f>
        <v>0</v>
      </c>
    </row>
    <row r="39" spans="1:18">
      <c r="A39" s="10"/>
      <c r="B39" s="6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59"/>
      <c r="R39" s="9"/>
    </row>
    <row r="40" spans="1:18" ht="15.75" thickBot="1">
      <c r="A40" s="12" t="s">
        <v>12</v>
      </c>
      <c r="B40" s="13" t="str">
        <f>A40</f>
        <v>Sub-Total System Service</v>
      </c>
      <c r="C40" s="14">
        <f t="shared" ref="C40:R40" si="4">SUM(C33:C38)</f>
        <v>0</v>
      </c>
      <c r="D40" s="14">
        <f t="shared" si="4"/>
        <v>0</v>
      </c>
      <c r="E40" s="14">
        <f t="shared" si="4"/>
        <v>0</v>
      </c>
      <c r="F40" s="14">
        <f t="shared" si="4"/>
        <v>0</v>
      </c>
      <c r="G40" s="14">
        <f t="shared" si="4"/>
        <v>200000</v>
      </c>
      <c r="H40" s="14">
        <f t="shared" si="4"/>
        <v>0</v>
      </c>
      <c r="I40" s="14">
        <f t="shared" si="4"/>
        <v>1657000</v>
      </c>
      <c r="J40" s="14">
        <f t="shared" si="4"/>
        <v>0</v>
      </c>
      <c r="K40" s="14">
        <f t="shared" si="4"/>
        <v>0</v>
      </c>
      <c r="L40" s="14">
        <f t="shared" si="4"/>
        <v>0</v>
      </c>
      <c r="M40" s="14">
        <f t="shared" si="4"/>
        <v>0</v>
      </c>
      <c r="N40" s="14">
        <f t="shared" si="4"/>
        <v>0</v>
      </c>
      <c r="O40" s="14">
        <f t="shared" si="4"/>
        <v>0</v>
      </c>
      <c r="P40" s="14">
        <f t="shared" si="4"/>
        <v>0</v>
      </c>
      <c r="Q40" s="14">
        <f t="shared" si="4"/>
        <v>50000</v>
      </c>
      <c r="R40" s="80">
        <f t="shared" si="4"/>
        <v>1907000</v>
      </c>
    </row>
    <row r="41" spans="1:18">
      <c r="A41" s="15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1:18" ht="15.75" thickBot="1">
      <c r="A42" s="15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1:18">
      <c r="A43" s="20" t="s">
        <v>13</v>
      </c>
      <c r="B43" s="21" t="s">
        <v>13</v>
      </c>
      <c r="C43" s="76">
        <v>1830</v>
      </c>
      <c r="D43" s="76">
        <v>1835</v>
      </c>
      <c r="E43" s="76">
        <v>1840</v>
      </c>
      <c r="F43" s="76">
        <v>1845</v>
      </c>
      <c r="G43" s="76">
        <v>1850</v>
      </c>
      <c r="H43" s="76">
        <v>1855</v>
      </c>
      <c r="I43" s="76">
        <v>1820</v>
      </c>
      <c r="J43" s="76">
        <v>1915</v>
      </c>
      <c r="K43" s="76">
        <v>1860</v>
      </c>
      <c r="L43" s="76">
        <v>1810</v>
      </c>
      <c r="M43" s="76">
        <v>1920</v>
      </c>
      <c r="N43" s="76">
        <v>1925</v>
      </c>
      <c r="O43" s="76">
        <v>1930</v>
      </c>
      <c r="P43" s="76">
        <v>1940</v>
      </c>
      <c r="Q43" s="82">
        <v>1980</v>
      </c>
      <c r="R43" s="77" t="s">
        <v>3</v>
      </c>
    </row>
    <row r="44" spans="1:18">
      <c r="A44" s="10"/>
      <c r="B44" s="6" t="s">
        <v>166</v>
      </c>
      <c r="C44" s="26"/>
      <c r="D44" s="27"/>
      <c r="E44" s="27"/>
      <c r="F44" s="27"/>
      <c r="G44" s="27"/>
      <c r="H44" s="27"/>
      <c r="I44" s="27"/>
      <c r="J44" s="27"/>
      <c r="K44" s="27"/>
      <c r="L44" s="25"/>
      <c r="M44" s="25"/>
      <c r="N44" s="25"/>
      <c r="O44" s="25">
        <v>350000</v>
      </c>
      <c r="P44" s="27"/>
      <c r="Q44" s="60"/>
      <c r="R44" s="67">
        <f>SUM(C44:Q44)</f>
        <v>350000</v>
      </c>
    </row>
    <row r="45" spans="1:18">
      <c r="A45" s="10"/>
      <c r="B45" s="6" t="s">
        <v>115</v>
      </c>
      <c r="C45" s="26"/>
      <c r="D45" s="27"/>
      <c r="E45" s="27"/>
      <c r="F45" s="27"/>
      <c r="G45" s="27"/>
      <c r="H45" s="27"/>
      <c r="I45" s="27"/>
      <c r="J45" s="27"/>
      <c r="K45" s="27"/>
      <c r="L45" s="47"/>
      <c r="M45" s="25"/>
      <c r="N45" s="25"/>
      <c r="O45" s="25"/>
      <c r="P45" s="27">
        <v>5000</v>
      </c>
      <c r="Q45" s="60"/>
      <c r="R45" s="67">
        <f t="shared" ref="R45:R50" si="5">SUM(C45:Q45)</f>
        <v>5000</v>
      </c>
    </row>
    <row r="46" spans="1:18">
      <c r="A46" s="10"/>
      <c r="B46" s="6" t="s">
        <v>56</v>
      </c>
      <c r="C46" s="26"/>
      <c r="D46" s="27"/>
      <c r="E46" s="27"/>
      <c r="F46" s="27"/>
      <c r="G46" s="27"/>
      <c r="H46" s="27"/>
      <c r="I46" s="27"/>
      <c r="J46" s="27"/>
      <c r="K46" s="27"/>
      <c r="L46" s="25"/>
      <c r="M46" s="25">
        <v>10000</v>
      </c>
      <c r="N46" s="25"/>
      <c r="O46" s="25"/>
      <c r="P46" s="27"/>
      <c r="Q46" s="60"/>
      <c r="R46" s="67">
        <f t="shared" si="5"/>
        <v>10000</v>
      </c>
    </row>
    <row r="47" spans="1:18">
      <c r="A47" s="10"/>
      <c r="B47" s="6" t="s">
        <v>57</v>
      </c>
      <c r="C47" s="26"/>
      <c r="D47" s="27"/>
      <c r="E47" s="27"/>
      <c r="F47" s="27"/>
      <c r="G47" s="27"/>
      <c r="H47" s="27"/>
      <c r="I47" s="27"/>
      <c r="J47" s="27"/>
      <c r="K47" s="27"/>
      <c r="L47" s="25"/>
      <c r="M47" s="25"/>
      <c r="N47" s="25">
        <v>25000</v>
      </c>
      <c r="O47" s="25"/>
      <c r="P47" s="27"/>
      <c r="Q47" s="60"/>
      <c r="R47" s="67">
        <f t="shared" si="5"/>
        <v>25000</v>
      </c>
    </row>
    <row r="48" spans="1:18">
      <c r="A48" s="10"/>
      <c r="B48" s="6" t="s">
        <v>164</v>
      </c>
      <c r="C48" s="26"/>
      <c r="D48" s="27"/>
      <c r="E48" s="27"/>
      <c r="F48" s="27"/>
      <c r="G48" s="27"/>
      <c r="H48" s="27"/>
      <c r="I48" s="27"/>
      <c r="J48" s="27"/>
      <c r="K48" s="27"/>
      <c r="L48" s="25">
        <v>20000</v>
      </c>
      <c r="M48" s="25"/>
      <c r="N48" s="25"/>
      <c r="O48" s="25"/>
      <c r="P48" s="27"/>
      <c r="Q48" s="60"/>
      <c r="R48" s="67">
        <f t="shared" si="5"/>
        <v>20000</v>
      </c>
    </row>
    <row r="49" spans="1:18">
      <c r="A49" s="10"/>
      <c r="B49" s="6" t="s">
        <v>165</v>
      </c>
      <c r="C49" s="26"/>
      <c r="D49" s="27"/>
      <c r="E49" s="27"/>
      <c r="F49" s="27"/>
      <c r="G49" s="27"/>
      <c r="H49" s="27"/>
      <c r="I49" s="27"/>
      <c r="J49" s="27">
        <v>10000</v>
      </c>
      <c r="K49" s="27"/>
      <c r="L49" s="25"/>
      <c r="M49" s="25"/>
      <c r="N49" s="25"/>
      <c r="O49" s="25"/>
      <c r="P49" s="27"/>
      <c r="Q49" s="60"/>
      <c r="R49" s="67">
        <f t="shared" si="5"/>
        <v>10000</v>
      </c>
    </row>
    <row r="50" spans="1:18">
      <c r="A50" s="10"/>
      <c r="B50" s="6"/>
      <c r="C50" s="26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60"/>
      <c r="R50" s="67">
        <f t="shared" si="5"/>
        <v>0</v>
      </c>
    </row>
    <row r="51" spans="1:18">
      <c r="A51" s="10"/>
      <c r="B51" s="6"/>
      <c r="C51" s="2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60"/>
      <c r="R51" s="28"/>
    </row>
    <row r="52" spans="1:18">
      <c r="A52" s="10"/>
      <c r="B52" s="6"/>
      <c r="C52" s="2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61"/>
      <c r="R52" s="28"/>
    </row>
    <row r="53" spans="1:18">
      <c r="A53" s="30" t="s">
        <v>14</v>
      </c>
      <c r="B53" s="31" t="str">
        <f>A53</f>
        <v>Sub-Total General Plant</v>
      </c>
      <c r="C53" s="32">
        <f t="shared" ref="C53:R53" si="6">SUM(C44:C52)</f>
        <v>0</v>
      </c>
      <c r="D53" s="32">
        <f t="shared" si="6"/>
        <v>0</v>
      </c>
      <c r="E53" s="32">
        <f t="shared" si="6"/>
        <v>0</v>
      </c>
      <c r="F53" s="32">
        <f t="shared" si="6"/>
        <v>0</v>
      </c>
      <c r="G53" s="32">
        <f t="shared" si="6"/>
        <v>0</v>
      </c>
      <c r="H53" s="32">
        <f t="shared" si="6"/>
        <v>0</v>
      </c>
      <c r="I53" s="32">
        <f t="shared" si="6"/>
        <v>0</v>
      </c>
      <c r="J53" s="32">
        <f t="shared" si="6"/>
        <v>10000</v>
      </c>
      <c r="K53" s="32">
        <f t="shared" si="6"/>
        <v>0</v>
      </c>
      <c r="L53" s="32">
        <f t="shared" si="6"/>
        <v>20000</v>
      </c>
      <c r="M53" s="32">
        <f t="shared" si="6"/>
        <v>10000</v>
      </c>
      <c r="N53" s="32">
        <f t="shared" si="6"/>
        <v>25000</v>
      </c>
      <c r="O53" s="32">
        <f t="shared" si="6"/>
        <v>350000</v>
      </c>
      <c r="P53" s="32">
        <f t="shared" si="6"/>
        <v>5000</v>
      </c>
      <c r="Q53" s="32">
        <f t="shared" si="6"/>
        <v>0</v>
      </c>
      <c r="R53" s="85">
        <f t="shared" si="6"/>
        <v>420000</v>
      </c>
    </row>
    <row r="54" spans="1:18">
      <c r="A54" s="3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62"/>
      <c r="R54" s="35"/>
    </row>
    <row r="55" spans="1:18" ht="15.75" thickBot="1">
      <c r="A55" s="12" t="s">
        <v>15</v>
      </c>
      <c r="B55" s="13"/>
      <c r="C55" s="49">
        <f t="shared" ref="C55:R55" si="7">+C53+C40+C29+C19</f>
        <v>110000</v>
      </c>
      <c r="D55" s="49">
        <f t="shared" si="7"/>
        <v>202000</v>
      </c>
      <c r="E55" s="49">
        <f t="shared" si="7"/>
        <v>3500</v>
      </c>
      <c r="F55" s="49">
        <f t="shared" si="7"/>
        <v>51000</v>
      </c>
      <c r="G55" s="49">
        <f t="shared" si="7"/>
        <v>269000</v>
      </c>
      <c r="H55" s="49">
        <f t="shared" si="7"/>
        <v>92000</v>
      </c>
      <c r="I55" s="49">
        <f t="shared" si="7"/>
        <v>1657000</v>
      </c>
      <c r="J55" s="49">
        <f t="shared" si="7"/>
        <v>10000</v>
      </c>
      <c r="K55" s="49">
        <f t="shared" si="7"/>
        <v>33000</v>
      </c>
      <c r="L55" s="49">
        <f t="shared" si="7"/>
        <v>20000</v>
      </c>
      <c r="M55" s="49">
        <f t="shared" si="7"/>
        <v>10000</v>
      </c>
      <c r="N55" s="49">
        <f t="shared" si="7"/>
        <v>25000</v>
      </c>
      <c r="O55" s="49">
        <f t="shared" si="7"/>
        <v>350000</v>
      </c>
      <c r="P55" s="49">
        <f t="shared" si="7"/>
        <v>5000</v>
      </c>
      <c r="Q55" s="49">
        <f t="shared" si="7"/>
        <v>50000</v>
      </c>
      <c r="R55" s="80">
        <f t="shared" si="7"/>
        <v>2887500</v>
      </c>
    </row>
    <row r="56" spans="1:18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63"/>
    </row>
    <row r="57" spans="1:18">
      <c r="A57" s="4"/>
      <c r="B57" s="4"/>
      <c r="C57" s="48"/>
      <c r="D57" s="50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63"/>
    </row>
    <row r="58" spans="1:18">
      <c r="A58" s="4"/>
      <c r="B58" s="4"/>
      <c r="C58" s="48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64"/>
    </row>
    <row r="59" spans="1:18">
      <c r="A59" s="4"/>
      <c r="B59" s="4"/>
      <c r="C59" s="51"/>
      <c r="D59" s="52"/>
      <c r="E59" s="52"/>
      <c r="F59" s="52"/>
      <c r="G59" s="52"/>
      <c r="H59" s="52"/>
      <c r="I59" s="4"/>
      <c r="J59" s="4"/>
      <c r="K59" s="4"/>
      <c r="L59" s="4"/>
      <c r="M59" s="4"/>
      <c r="N59" s="4"/>
      <c r="O59" s="4"/>
      <c r="P59" s="4"/>
      <c r="Q59" s="4"/>
      <c r="R59" s="65"/>
    </row>
    <row r="60" spans="1:18">
      <c r="A60" s="4"/>
      <c r="B60" s="4"/>
      <c r="C60" s="48"/>
      <c r="D60" s="4"/>
      <c r="E60" s="4"/>
      <c r="F60" s="48"/>
      <c r="G60" s="48"/>
      <c r="H60" s="48"/>
      <c r="I60" s="4"/>
      <c r="J60" s="4"/>
      <c r="K60" s="48"/>
      <c r="L60" s="4"/>
      <c r="M60" s="4"/>
      <c r="N60" s="4"/>
      <c r="O60" s="4"/>
      <c r="P60" s="4"/>
      <c r="Q60" s="4"/>
      <c r="R60" s="63"/>
    </row>
    <row r="61" spans="1:18">
      <c r="A61" s="4"/>
      <c r="B61" s="4"/>
      <c r="C61" s="4"/>
      <c r="D61" s="4"/>
      <c r="E61" s="4"/>
      <c r="F61" s="4"/>
      <c r="G61" s="4"/>
      <c r="H61" s="4"/>
      <c r="I61" s="4"/>
      <c r="J61" s="4"/>
      <c r="K61" s="48"/>
      <c r="L61" s="4"/>
      <c r="M61" s="4"/>
      <c r="N61" s="4"/>
      <c r="O61" s="4"/>
      <c r="P61" s="4"/>
      <c r="Q61" s="4"/>
      <c r="R61" s="63"/>
    </row>
    <row r="62" spans="1:18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63"/>
    </row>
    <row r="63" spans="1:18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63"/>
    </row>
    <row r="64" spans="1:18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63"/>
    </row>
    <row r="65" spans="1:18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63"/>
    </row>
    <row r="66" spans="1:18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63"/>
    </row>
    <row r="67" spans="1:18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63"/>
    </row>
    <row r="68" spans="1:1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63"/>
    </row>
    <row r="69" spans="1:18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63"/>
    </row>
    <row r="70" spans="1:18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63"/>
    </row>
    <row r="71" spans="1:18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63"/>
    </row>
    <row r="72" spans="1:18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63"/>
    </row>
    <row r="73" spans="1:18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63"/>
    </row>
    <row r="74" spans="1:18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63"/>
    </row>
    <row r="75" spans="1:18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63"/>
    </row>
    <row r="76" spans="1:18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63"/>
    </row>
    <row r="77" spans="1:18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63"/>
    </row>
    <row r="78" spans="1:1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63"/>
    </row>
    <row r="79" spans="1:18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63"/>
    </row>
    <row r="80" spans="1:18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63"/>
    </row>
    <row r="81" spans="1:18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63"/>
    </row>
  </sheetData>
  <mergeCells count="2">
    <mergeCell ref="A1:R1"/>
    <mergeCell ref="A2:R2"/>
  </mergeCells>
  <dataValidations disablePrompts="1" count="1">
    <dataValidation type="list" allowBlank="1" showInputMessage="1" showErrorMessage="1" sqref="C4:R4">
      <formula1>"CGAAP,MIFRS,USGAAP,ASPE,NEWGAAP"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2015</vt:lpstr>
      <vt:lpstr>2016</vt:lpstr>
      <vt:lpstr>2017</vt:lpstr>
      <vt:lpstr>2018</vt:lpstr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Donnelly</dc:creator>
  <cp:lastModifiedBy>Jane Donnelly</cp:lastModifiedBy>
  <dcterms:created xsi:type="dcterms:W3CDTF">2018-12-12T13:19:09Z</dcterms:created>
  <dcterms:modified xsi:type="dcterms:W3CDTF">2018-12-14T21:08:07Z</dcterms:modified>
</cp:coreProperties>
</file>